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9.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0.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1.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12.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13.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1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5.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6.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7.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18.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eoughton\Desktop\Github\ascend\"/>
    </mc:Choice>
  </mc:AlternateContent>
  <xr:revisionPtr revIDLastSave="0" documentId="13_ncr:1_{B3926A7F-AD59-4E89-B653-42E7E9DCA79F}" xr6:coauthVersionLast="47" xr6:coauthVersionMax="47" xr10:uidLastSave="{00000000-0000-0000-0000-000000000000}"/>
  <bookViews>
    <workbookView xWindow="-108" yWindow="-108" windowWidth="30936" windowHeight="16896" tabRatio="780" activeTab="20" xr2:uid="{00000000-000D-0000-FFFF-FFFF00000000}"/>
  </bookViews>
  <sheets>
    <sheet name="Index" sheetId="1" r:id="rId1"/>
    <sheet name="Read_Me" sheetId="2" r:id="rId2"/>
    <sheet name="Current_Cost" sheetId="155" r:id="rId3"/>
    <sheet name="Future_Cost" sheetId="154" r:id="rId4"/>
    <sheet name="Current" sheetId="135" r:id="rId5"/>
    <sheet name="DTE_Lifespans_existing" sheetId="132" state="hidden" r:id="rId6"/>
    <sheet name="Use_case_lifespans" sheetId="136" state="hidden" r:id="rId7"/>
    <sheet name="New_missions" sheetId="137" state="hidden" r:id="rId8"/>
    <sheet name="lifespans_all" sheetId="138" state="hidden" r:id="rId9"/>
    <sheet name="Current_DTE" sheetId="140" state="hidden" r:id="rId10"/>
    <sheet name="DTE_mission_minutes" sheetId="133" state="hidden" r:id="rId11"/>
    <sheet name="DTE_demand_forecast" sheetId="134" state="hidden" r:id="rId12"/>
    <sheet name="Current_SR" sheetId="123" state="hidden" r:id="rId13"/>
    <sheet name="SR_mission_minutes" sheetId="146" state="hidden" r:id="rId14"/>
    <sheet name="SR_demand_forecast" sheetId="147" state="hidden" r:id="rId15"/>
    <sheet name="Minutes_by_use_case" sheetId="141" state="hidden" r:id="rId16"/>
    <sheet name="Costs - DTE" sheetId="158" r:id="rId17"/>
    <sheet name="Costs - SR - LEO" sheetId="162" r:id="rId18"/>
    <sheet name="Costs - SR - GEO" sheetId="129" r:id="rId19"/>
    <sheet name="Lookups" sheetId="164" r:id="rId20"/>
    <sheet name="Scenarios_Future" sheetId="163" r:id="rId21"/>
    <sheet name="List_Options" sheetId="160" r:id="rId22"/>
    <sheet name="DTE_cost_per_minute_forecast" sheetId="144" state="hidden" r:id="rId23"/>
    <sheet name="SR_cost_per_minute_forecast" sheetId="152" state="hidden" r:id="rId24"/>
    <sheet name="Lifespans" sheetId="142" state="hidden" r:id="rId25"/>
    <sheet name="Demand_forecast_by_use_case" sheetId="143" state="hidden" r:id="rId26"/>
    <sheet name="Demand_forecast_by_replacement" sheetId="153" state="hidden" r:id="rId27"/>
    <sheet name="DTE_cost_by_use_case" sheetId="145" state="hidden" r:id="rId28"/>
    <sheet name="SR_cost_by_use_case" sheetId="151" state="hidden" r:id="rId29"/>
    <sheet name="Aggregate_costs" sheetId="150" state="hidden" r:id="rId30"/>
  </sheets>
  <definedNames>
    <definedName name="_xlnm._FilterDatabase" localSheetId="4" hidden="1">Current!$G$56:$G$92</definedName>
    <definedName name="_xlnm._FilterDatabase" localSheetId="9" hidden="1">Current_DTE!$A$1:$V$48</definedName>
    <definedName name="_xlnm._FilterDatabase" localSheetId="11" hidden="1">DTE_demand_forecast!$A$1:$V$48</definedName>
    <definedName name="_xlnm._FilterDatabase" localSheetId="5" hidden="1">DTE_Lifespans_existing!$A$1:$V$48</definedName>
    <definedName name="_xlnm._FilterDatabase" localSheetId="10" hidden="1">DTE_mission_minutes!$A$1:$V$48</definedName>
    <definedName name="_xlnm._FilterDatabase" localSheetId="8" hidden="1">lifespans_all!$A$1:$V$48</definedName>
    <definedName name="_xlnm._FilterDatabase" localSheetId="15" hidden="1">Minutes_by_use_case!$A$1:$U$47</definedName>
    <definedName name="_xlnm._FilterDatabase" localSheetId="7" hidden="1">New_missions!$A$1:$V$52</definedName>
    <definedName name="_xlnm._FilterDatabase" localSheetId="6" hidden="1">Use_case_lifespans!$A$1:$V$48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2" i="163" l="1" a="1"/>
  <c r="I32" i="163"/>
  <c r="I33" i="163" a="1"/>
  <c r="I33" i="163"/>
  <c r="I34" i="163" a="1"/>
  <c r="I34" i="163"/>
  <c r="I35" i="163" a="1"/>
  <c r="I35" i="163"/>
  <c r="I36" i="163" a="1"/>
  <c r="I36" i="163"/>
  <c r="I37" i="163" a="1"/>
  <c r="I37" i="163"/>
  <c r="I38" i="163" a="1"/>
  <c r="I38" i="163"/>
  <c r="I31" i="163" a="1"/>
  <c r="I31" i="163"/>
  <c r="H32" i="163" a="1"/>
  <c r="H32" i="163" s="1"/>
  <c r="H33" i="163" a="1"/>
  <c r="H33" i="163"/>
  <c r="H34" i="163" a="1"/>
  <c r="H34" i="163" s="1"/>
  <c r="H35" i="163" a="1"/>
  <c r="H35" i="163"/>
  <c r="H36" i="163" a="1"/>
  <c r="H36" i="163"/>
  <c r="H37" i="163" a="1"/>
  <c r="H37" i="163"/>
  <c r="H38" i="163" a="1"/>
  <c r="H38" i="163"/>
  <c r="H31" i="163" a="1"/>
  <c r="H31" i="163" s="1"/>
  <c r="G32" i="163" a="1"/>
  <c r="G32" i="163" s="1"/>
  <c r="G33" i="163" a="1"/>
  <c r="G33" i="163" s="1"/>
  <c r="G34" i="163" a="1"/>
  <c r="G34" i="163"/>
  <c r="G35" i="163" a="1"/>
  <c r="G35" i="163" s="1"/>
  <c r="G36" i="163" a="1"/>
  <c r="G36" i="163"/>
  <c r="G37" i="163" a="1"/>
  <c r="G37" i="163" s="1"/>
  <c r="G38" i="163" a="1"/>
  <c r="G38" i="163" s="1"/>
  <c r="G31" i="163" a="1"/>
  <c r="G31" i="163" s="1"/>
  <c r="A3" i="164"/>
  <c r="E179" i="164"/>
  <c r="D179" i="164"/>
  <c r="E178" i="164"/>
  <c r="D178" i="164"/>
  <c r="E177" i="164"/>
  <c r="D177" i="164"/>
  <c r="E176" i="164"/>
  <c r="D176" i="164"/>
  <c r="E175" i="164"/>
  <c r="D175" i="164"/>
  <c r="E174" i="164"/>
  <c r="D174" i="164"/>
  <c r="E173" i="164"/>
  <c r="D173" i="164"/>
  <c r="E172" i="164"/>
  <c r="D172" i="164"/>
  <c r="E171" i="164"/>
  <c r="D171" i="164"/>
  <c r="E170" i="164"/>
  <c r="D170" i="164"/>
  <c r="E169" i="164"/>
  <c r="D169" i="164"/>
  <c r="E168" i="164"/>
  <c r="D168" i="164"/>
  <c r="E167" i="164"/>
  <c r="D167" i="164"/>
  <c r="E166" i="164"/>
  <c r="D166" i="164"/>
  <c r="E165" i="164"/>
  <c r="D165" i="164"/>
  <c r="E164" i="164"/>
  <c r="D164" i="164"/>
  <c r="E163" i="164"/>
  <c r="D163" i="164"/>
  <c r="E162" i="164"/>
  <c r="D162" i="164"/>
  <c r="E161" i="164"/>
  <c r="D161" i="164"/>
  <c r="E160" i="164"/>
  <c r="D160" i="164"/>
  <c r="E159" i="164"/>
  <c r="D159" i="164"/>
  <c r="E158" i="164"/>
  <c r="D158" i="164"/>
  <c r="E157" i="164"/>
  <c r="D157" i="164"/>
  <c r="E156" i="164"/>
  <c r="D156" i="164"/>
  <c r="E155" i="164"/>
  <c r="D155" i="164"/>
  <c r="E154" i="164"/>
  <c r="D154" i="164"/>
  <c r="E153" i="164"/>
  <c r="D153" i="164"/>
  <c r="E152" i="164"/>
  <c r="D152" i="164"/>
  <c r="E151" i="164"/>
  <c r="D151" i="164"/>
  <c r="E150" i="164"/>
  <c r="D150" i="164"/>
  <c r="E149" i="164"/>
  <c r="D149" i="164"/>
  <c r="E148" i="164"/>
  <c r="D148" i="164"/>
  <c r="E147" i="164"/>
  <c r="D147" i="164"/>
  <c r="E146" i="164"/>
  <c r="D146" i="164"/>
  <c r="E145" i="164"/>
  <c r="D145" i="164"/>
  <c r="E144" i="164"/>
  <c r="D144" i="164"/>
  <c r="E143" i="164"/>
  <c r="D143" i="164"/>
  <c r="E142" i="164"/>
  <c r="D142" i="164"/>
  <c r="E141" i="164"/>
  <c r="D141" i="164"/>
  <c r="E140" i="164"/>
  <c r="D140" i="164"/>
  <c r="E139" i="164"/>
  <c r="D139" i="164"/>
  <c r="E138" i="164"/>
  <c r="D138" i="164"/>
  <c r="E137" i="164"/>
  <c r="D137" i="164"/>
  <c r="E136" i="164"/>
  <c r="D136" i="164"/>
  <c r="E135" i="164"/>
  <c r="D135" i="164"/>
  <c r="E134" i="164"/>
  <c r="D134" i="164"/>
  <c r="E133" i="164"/>
  <c r="D133" i="164"/>
  <c r="E132" i="164"/>
  <c r="D132" i="164"/>
  <c r="E131" i="164"/>
  <c r="D131" i="164"/>
  <c r="E130" i="164"/>
  <c r="D130" i="164"/>
  <c r="E129" i="164"/>
  <c r="D129" i="164"/>
  <c r="E128" i="164"/>
  <c r="D128" i="164"/>
  <c r="E127" i="164"/>
  <c r="D127" i="164"/>
  <c r="E126" i="164"/>
  <c r="D126" i="164"/>
  <c r="E125" i="164"/>
  <c r="D125" i="164"/>
  <c r="E124" i="164"/>
  <c r="D124" i="164"/>
  <c r="E123" i="164"/>
  <c r="D123" i="164"/>
  <c r="E122" i="164"/>
  <c r="D122" i="164"/>
  <c r="E121" i="164"/>
  <c r="D121" i="164"/>
  <c r="E120" i="164"/>
  <c r="D120" i="164"/>
  <c r="E119" i="164"/>
  <c r="D119" i="164"/>
  <c r="E118" i="164"/>
  <c r="D118" i="164"/>
  <c r="E117" i="164"/>
  <c r="D117" i="164"/>
  <c r="E116" i="164"/>
  <c r="D116" i="164"/>
  <c r="E115" i="164"/>
  <c r="D115" i="164"/>
  <c r="E114" i="164"/>
  <c r="D114" i="164"/>
  <c r="E113" i="164"/>
  <c r="D113" i="164"/>
  <c r="E112" i="164"/>
  <c r="D112" i="164"/>
  <c r="E111" i="164"/>
  <c r="D111" i="164"/>
  <c r="E110" i="164"/>
  <c r="D110" i="164"/>
  <c r="E109" i="164"/>
  <c r="D109" i="164"/>
  <c r="E108" i="164"/>
  <c r="D108" i="164"/>
  <c r="E107" i="164"/>
  <c r="D107" i="164"/>
  <c r="E106" i="164"/>
  <c r="D106" i="164"/>
  <c r="E105" i="164"/>
  <c r="D105" i="164"/>
  <c r="E104" i="164"/>
  <c r="D104" i="164"/>
  <c r="E103" i="164"/>
  <c r="D103" i="164"/>
  <c r="E102" i="164"/>
  <c r="D102" i="164"/>
  <c r="E101" i="164"/>
  <c r="D101" i="164"/>
  <c r="E100" i="164"/>
  <c r="D100" i="164"/>
  <c r="E99" i="164"/>
  <c r="D99" i="164"/>
  <c r="E98" i="164"/>
  <c r="D98" i="164"/>
  <c r="E97" i="164"/>
  <c r="D97" i="164"/>
  <c r="E96" i="164"/>
  <c r="D96" i="164"/>
  <c r="E95" i="164"/>
  <c r="D95" i="164"/>
  <c r="E94" i="164"/>
  <c r="D94" i="164"/>
  <c r="E93" i="164"/>
  <c r="D93" i="164"/>
  <c r="E92" i="164"/>
  <c r="D92" i="164"/>
  <c r="E91" i="164"/>
  <c r="D91" i="164"/>
  <c r="E90" i="164"/>
  <c r="D90" i="164"/>
  <c r="E89" i="164"/>
  <c r="D89" i="164"/>
  <c r="E88" i="164"/>
  <c r="D88" i="164"/>
  <c r="E87" i="164"/>
  <c r="D87" i="164"/>
  <c r="E86" i="164"/>
  <c r="D86" i="164"/>
  <c r="E85" i="164"/>
  <c r="D85" i="164"/>
  <c r="E84" i="164"/>
  <c r="D84" i="164"/>
  <c r="E83" i="164"/>
  <c r="D83" i="164"/>
  <c r="E82" i="164"/>
  <c r="D82" i="164"/>
  <c r="E81" i="164"/>
  <c r="D81" i="164"/>
  <c r="E80" i="164"/>
  <c r="D80" i="164"/>
  <c r="E79" i="164"/>
  <c r="D79" i="164"/>
  <c r="E78" i="164"/>
  <c r="D78" i="164"/>
  <c r="E77" i="164"/>
  <c r="D77" i="164"/>
  <c r="E76" i="164"/>
  <c r="D76" i="164"/>
  <c r="E75" i="164"/>
  <c r="D75" i="164"/>
  <c r="E74" i="164"/>
  <c r="D74" i="164"/>
  <c r="E73" i="164"/>
  <c r="D73" i="164"/>
  <c r="E72" i="164"/>
  <c r="D72" i="164"/>
  <c r="E71" i="164"/>
  <c r="D71" i="164"/>
  <c r="E70" i="164"/>
  <c r="D70" i="164"/>
  <c r="E69" i="164"/>
  <c r="D69" i="164"/>
  <c r="E68" i="164"/>
  <c r="D68" i="164"/>
  <c r="E67" i="164"/>
  <c r="D67" i="164"/>
  <c r="E66" i="164"/>
  <c r="D66" i="164"/>
  <c r="E65" i="164"/>
  <c r="D65" i="164"/>
  <c r="E64" i="164"/>
  <c r="D64" i="164"/>
  <c r="E63" i="164"/>
  <c r="D63" i="164"/>
  <c r="E62" i="164"/>
  <c r="D62" i="164"/>
  <c r="E61" i="164"/>
  <c r="D61" i="164"/>
  <c r="E60" i="164"/>
  <c r="D60" i="164"/>
  <c r="E59" i="164"/>
  <c r="D59" i="164"/>
  <c r="E58" i="164"/>
  <c r="D58" i="164"/>
  <c r="E57" i="164"/>
  <c r="D57" i="164"/>
  <c r="E56" i="164"/>
  <c r="D56" i="164"/>
  <c r="E55" i="164"/>
  <c r="D55" i="164"/>
  <c r="H54" i="164"/>
  <c r="G54" i="164"/>
  <c r="E54" i="164"/>
  <c r="D54" i="164"/>
  <c r="H53" i="164"/>
  <c r="G53" i="164"/>
  <c r="E53" i="164"/>
  <c r="D53" i="164"/>
  <c r="H52" i="164"/>
  <c r="G52" i="164"/>
  <c r="E52" i="164"/>
  <c r="D52" i="164"/>
  <c r="H51" i="164"/>
  <c r="G51" i="164"/>
  <c r="E51" i="164"/>
  <c r="D51" i="164"/>
  <c r="H50" i="164"/>
  <c r="G50" i="164"/>
  <c r="E50" i="164"/>
  <c r="D50" i="164"/>
  <c r="H49" i="164"/>
  <c r="G49" i="164"/>
  <c r="E49" i="164"/>
  <c r="D49" i="164"/>
  <c r="H48" i="164"/>
  <c r="G48" i="164"/>
  <c r="E48" i="164"/>
  <c r="D48" i="164"/>
  <c r="H47" i="164"/>
  <c r="G47" i="164"/>
  <c r="E47" i="164"/>
  <c r="D47" i="164"/>
  <c r="H46" i="164"/>
  <c r="G46" i="164"/>
  <c r="E46" i="164"/>
  <c r="D46" i="164"/>
  <c r="H45" i="164"/>
  <c r="G45" i="164"/>
  <c r="E45" i="164"/>
  <c r="D45" i="164"/>
  <c r="H44" i="164"/>
  <c r="G44" i="164"/>
  <c r="E44" i="164"/>
  <c r="D44" i="164"/>
  <c r="H43" i="164"/>
  <c r="G43" i="164"/>
  <c r="E43" i="164"/>
  <c r="D43" i="164"/>
  <c r="H42" i="164"/>
  <c r="G42" i="164"/>
  <c r="E42" i="164"/>
  <c r="D42" i="164"/>
  <c r="H41" i="164"/>
  <c r="G41" i="164"/>
  <c r="E41" i="164"/>
  <c r="D41" i="164"/>
  <c r="H40" i="164"/>
  <c r="G40" i="164"/>
  <c r="E40" i="164"/>
  <c r="D40" i="164"/>
  <c r="H39" i="164"/>
  <c r="G39" i="164"/>
  <c r="E39" i="164"/>
  <c r="D39" i="164"/>
  <c r="H38" i="164"/>
  <c r="G38" i="164"/>
  <c r="E38" i="164"/>
  <c r="D38" i="164"/>
  <c r="H37" i="164"/>
  <c r="G37" i="164"/>
  <c r="E37" i="164"/>
  <c r="D37" i="164"/>
  <c r="H36" i="164"/>
  <c r="G36" i="164"/>
  <c r="E36" i="164"/>
  <c r="D36" i="164"/>
  <c r="H35" i="164"/>
  <c r="G35" i="164"/>
  <c r="E35" i="164"/>
  <c r="D35" i="164"/>
  <c r="H34" i="164"/>
  <c r="G34" i="164"/>
  <c r="E34" i="164"/>
  <c r="D34" i="164"/>
  <c r="H33" i="164"/>
  <c r="G33" i="164"/>
  <c r="E33" i="164"/>
  <c r="D33" i="164"/>
  <c r="H32" i="164"/>
  <c r="G32" i="164"/>
  <c r="E32" i="164"/>
  <c r="D32" i="164"/>
  <c r="H31" i="164"/>
  <c r="G31" i="164"/>
  <c r="E31" i="164"/>
  <c r="D31" i="164"/>
  <c r="H30" i="164"/>
  <c r="G30" i="164"/>
  <c r="E30" i="164"/>
  <c r="D30" i="164"/>
  <c r="H29" i="164"/>
  <c r="G29" i="164"/>
  <c r="E29" i="164"/>
  <c r="D29" i="164"/>
  <c r="H28" i="164"/>
  <c r="G28" i="164"/>
  <c r="E28" i="164"/>
  <c r="D28" i="164"/>
  <c r="B28" i="164"/>
  <c r="A28" i="164"/>
  <c r="H27" i="164"/>
  <c r="G27" i="164"/>
  <c r="E27" i="164"/>
  <c r="D27" i="164"/>
  <c r="B27" i="164"/>
  <c r="A27" i="164"/>
  <c r="H26" i="164"/>
  <c r="G26" i="164"/>
  <c r="E26" i="164"/>
  <c r="D26" i="164"/>
  <c r="B26" i="164"/>
  <c r="A26" i="164"/>
  <c r="H25" i="164"/>
  <c r="G25" i="164"/>
  <c r="E25" i="164"/>
  <c r="D25" i="164"/>
  <c r="B25" i="164"/>
  <c r="A25" i="164"/>
  <c r="H24" i="164"/>
  <c r="G24" i="164"/>
  <c r="E24" i="164"/>
  <c r="D24" i="164"/>
  <c r="B24" i="164"/>
  <c r="A24" i="164"/>
  <c r="H23" i="164"/>
  <c r="G23" i="164"/>
  <c r="E23" i="164"/>
  <c r="D23" i="164"/>
  <c r="B23" i="164"/>
  <c r="A23" i="164"/>
  <c r="H22" i="164"/>
  <c r="G22" i="164"/>
  <c r="E22" i="164"/>
  <c r="D22" i="164"/>
  <c r="B22" i="164"/>
  <c r="A22" i="164"/>
  <c r="H21" i="164"/>
  <c r="G21" i="164"/>
  <c r="E21" i="164"/>
  <c r="D21" i="164"/>
  <c r="B21" i="164"/>
  <c r="A21" i="164"/>
  <c r="H20" i="164"/>
  <c r="G20" i="164"/>
  <c r="E20" i="164"/>
  <c r="D20" i="164"/>
  <c r="B20" i="164"/>
  <c r="A20" i="164"/>
  <c r="H19" i="164"/>
  <c r="G19" i="164"/>
  <c r="E19" i="164"/>
  <c r="D19" i="164"/>
  <c r="B19" i="164"/>
  <c r="A19" i="164"/>
  <c r="H18" i="164"/>
  <c r="G18" i="164"/>
  <c r="E18" i="164"/>
  <c r="D18" i="164"/>
  <c r="B18" i="164"/>
  <c r="A18" i="164"/>
  <c r="H17" i="164"/>
  <c r="G17" i="164"/>
  <c r="E17" i="164"/>
  <c r="D17" i="164"/>
  <c r="B17" i="164"/>
  <c r="A17" i="164"/>
  <c r="H16" i="164"/>
  <c r="G16" i="164"/>
  <c r="E16" i="164"/>
  <c r="D16" i="164"/>
  <c r="B16" i="164"/>
  <c r="A16" i="164"/>
  <c r="H15" i="164"/>
  <c r="G15" i="164"/>
  <c r="E15" i="164"/>
  <c r="D15" i="164"/>
  <c r="B15" i="164"/>
  <c r="A15" i="164"/>
  <c r="H14" i="164"/>
  <c r="G14" i="164"/>
  <c r="E14" i="164"/>
  <c r="D14" i="164"/>
  <c r="B14" i="164"/>
  <c r="A14" i="164"/>
  <c r="H13" i="164"/>
  <c r="G13" i="164"/>
  <c r="E13" i="164"/>
  <c r="D13" i="164"/>
  <c r="B13" i="164"/>
  <c r="A13" i="164"/>
  <c r="H12" i="164"/>
  <c r="G12" i="164"/>
  <c r="E12" i="164"/>
  <c r="D12" i="164"/>
  <c r="B12" i="164"/>
  <c r="A12" i="164"/>
  <c r="H11" i="164"/>
  <c r="G11" i="164"/>
  <c r="E11" i="164"/>
  <c r="D11" i="164"/>
  <c r="B11" i="164"/>
  <c r="A11" i="164"/>
  <c r="H10" i="164"/>
  <c r="G10" i="164"/>
  <c r="E10" i="164"/>
  <c r="D10" i="164"/>
  <c r="B10" i="164"/>
  <c r="A10" i="164"/>
  <c r="H9" i="164"/>
  <c r="G9" i="164"/>
  <c r="E9" i="164"/>
  <c r="D9" i="164"/>
  <c r="B9" i="164"/>
  <c r="A9" i="164"/>
  <c r="H8" i="164"/>
  <c r="G8" i="164"/>
  <c r="E8" i="164"/>
  <c r="D8" i="164"/>
  <c r="B8" i="164"/>
  <c r="A8" i="164"/>
  <c r="H7" i="164"/>
  <c r="G7" i="164"/>
  <c r="E7" i="164"/>
  <c r="D7" i="164"/>
  <c r="B7" i="164"/>
  <c r="A7" i="164"/>
  <c r="H6" i="164"/>
  <c r="G6" i="164"/>
  <c r="E6" i="164"/>
  <c r="D6" i="164"/>
  <c r="B6" i="164"/>
  <c r="A6" i="164"/>
  <c r="H5" i="164"/>
  <c r="G5" i="164"/>
  <c r="E5" i="164"/>
  <c r="D5" i="164"/>
  <c r="B5" i="164"/>
  <c r="A5" i="164"/>
  <c r="H4" i="164"/>
  <c r="G4" i="164"/>
  <c r="E4" i="164"/>
  <c r="D4" i="164"/>
  <c r="B4" i="164"/>
  <c r="A4" i="164"/>
  <c r="H3" i="164"/>
  <c r="G3" i="164"/>
  <c r="E3" i="164"/>
  <c r="D3" i="164"/>
  <c r="H2" i="164"/>
  <c r="G2" i="164"/>
  <c r="E2" i="164"/>
  <c r="D2" i="164"/>
  <c r="B2" i="164"/>
  <c r="A2" i="164"/>
  <c r="I20" i="163"/>
  <c r="C33" i="163" s="1"/>
  <c r="C22" i="163"/>
  <c r="D22" i="163"/>
  <c r="E22" i="163"/>
  <c r="C23" i="163"/>
  <c r="H22" i="163" s="1"/>
  <c r="D23" i="163"/>
  <c r="I22" i="163" s="1"/>
  <c r="E23" i="163"/>
  <c r="J22" i="163" s="1"/>
  <c r="C24" i="163"/>
  <c r="D24" i="163"/>
  <c r="E24" i="163"/>
  <c r="C25" i="163"/>
  <c r="D25" i="163"/>
  <c r="E25" i="163"/>
  <c r="D21" i="163"/>
  <c r="E21" i="163"/>
  <c r="C21" i="163"/>
  <c r="A79" i="163"/>
  <c r="AJ4" i="158"/>
  <c r="AC36" i="158"/>
  <c r="AC37" i="158" s="1"/>
  <c r="AC35" i="158"/>
  <c r="AC34" i="158"/>
  <c r="AH36" i="158"/>
  <c r="AH37" i="158"/>
  <c r="AH38" i="158"/>
  <c r="AH39" i="158"/>
  <c r="AH40" i="158"/>
  <c r="AH41" i="158"/>
  <c r="AH42" i="158"/>
  <c r="AH43" i="158"/>
  <c r="AH44" i="158"/>
  <c r="AH45" i="158"/>
  <c r="AH46" i="158"/>
  <c r="AH47" i="158"/>
  <c r="AH48" i="158"/>
  <c r="AH49" i="158"/>
  <c r="AH50" i="158"/>
  <c r="AH51" i="158"/>
  <c r="AH52" i="158"/>
  <c r="AH53" i="158"/>
  <c r="AH54" i="158"/>
  <c r="AH55" i="158"/>
  <c r="AH56" i="158"/>
  <c r="AH57" i="158"/>
  <c r="AH58" i="158"/>
  <c r="AC64" i="158"/>
  <c r="AC4" i="158"/>
  <c r="AC5" i="158"/>
  <c r="AC6" i="158"/>
  <c r="J20" i="163" l="1"/>
  <c r="D32" i="163" s="1"/>
  <c r="J21" i="163"/>
  <c r="C31" i="163"/>
  <c r="C37" i="163"/>
  <c r="C36" i="163"/>
  <c r="I21" i="163"/>
  <c r="C38" i="163"/>
  <c r="H20" i="163"/>
  <c r="B38" i="163" s="1"/>
  <c r="H21" i="163"/>
  <c r="B31" i="163"/>
  <c r="B37" i="163"/>
  <c r="B33" i="163"/>
  <c r="B34" i="163"/>
  <c r="B32" i="163"/>
  <c r="B35" i="163"/>
  <c r="C35" i="163"/>
  <c r="C26" i="163"/>
  <c r="C34" i="163"/>
  <c r="E26" i="163"/>
  <c r="C32" i="163"/>
  <c r="D38" i="163"/>
  <c r="D37" i="163"/>
  <c r="D36" i="163"/>
  <c r="D35" i="163"/>
  <c r="D34" i="163"/>
  <c r="D33" i="163"/>
  <c r="D26" i="163"/>
  <c r="D31" i="163"/>
  <c r="AC67" i="158"/>
  <c r="AC38" i="158"/>
  <c r="AC65" i="158"/>
  <c r="AC8" i="158"/>
  <c r="AC66" i="158"/>
  <c r="AC7" i="158"/>
  <c r="B36" i="163" l="1"/>
  <c r="AC68" i="158"/>
  <c r="AC39" i="158"/>
  <c r="AE369" i="162"/>
  <c r="AE370" i="162"/>
  <c r="AE371" i="162"/>
  <c r="AE372" i="162"/>
  <c r="AE373" i="162"/>
  <c r="AE374" i="162"/>
  <c r="AE375" i="162"/>
  <c r="AE376" i="162"/>
  <c r="AE377" i="162"/>
  <c r="AE378" i="162"/>
  <c r="AE379" i="162"/>
  <c r="AE380" i="162"/>
  <c r="AE381" i="162"/>
  <c r="AE382" i="162"/>
  <c r="AE383" i="162"/>
  <c r="AE384" i="162"/>
  <c r="AE385" i="162"/>
  <c r="AE386" i="162"/>
  <c r="AE387" i="162"/>
  <c r="AE388" i="162"/>
  <c r="AE389" i="162"/>
  <c r="AE390" i="162"/>
  <c r="AE391" i="162"/>
  <c r="AE392" i="162"/>
  <c r="AE393" i="162"/>
  <c r="AE394" i="162"/>
  <c r="AE395" i="162"/>
  <c r="AE396" i="162"/>
  <c r="AE397" i="162"/>
  <c r="AE398" i="162"/>
  <c r="AE399" i="162"/>
  <c r="AE400" i="162"/>
  <c r="AE401" i="162"/>
  <c r="AE402" i="162"/>
  <c r="AE403" i="162"/>
  <c r="AE404" i="162"/>
  <c r="AE405" i="162"/>
  <c r="AE406" i="162"/>
  <c r="AE407" i="162"/>
  <c r="AE408" i="162"/>
  <c r="AE409" i="162"/>
  <c r="AE410" i="162"/>
  <c r="AE411" i="162"/>
  <c r="AE412" i="162"/>
  <c r="AE413" i="162"/>
  <c r="AE414" i="162"/>
  <c r="AE415" i="162"/>
  <c r="AE416" i="162"/>
  <c r="AE417" i="162"/>
  <c r="AE418" i="162"/>
  <c r="AE419" i="162"/>
  <c r="AE420" i="162"/>
  <c r="AE421" i="162"/>
  <c r="AE422" i="162"/>
  <c r="AE423" i="162"/>
  <c r="AE424" i="162"/>
  <c r="AE425" i="162"/>
  <c r="AE426" i="162"/>
  <c r="AE427" i="162"/>
  <c r="AE428" i="162"/>
  <c r="AE429" i="162"/>
  <c r="AE430" i="162"/>
  <c r="AE431" i="162"/>
  <c r="AE432" i="162"/>
  <c r="AE433" i="162"/>
  <c r="AE434" i="162"/>
  <c r="AE435" i="162"/>
  <c r="AE436" i="162"/>
  <c r="AE437" i="162"/>
  <c r="AE438" i="162"/>
  <c r="AE439" i="162"/>
  <c r="AE440" i="162"/>
  <c r="AE441" i="162"/>
  <c r="AE442" i="162"/>
  <c r="AE443" i="162"/>
  <c r="AE444" i="162"/>
  <c r="AE445" i="162"/>
  <c r="AE446" i="162"/>
  <c r="AE447" i="162"/>
  <c r="AE448" i="162"/>
  <c r="AE449" i="162"/>
  <c r="AE450" i="162"/>
  <c r="AE451" i="162"/>
  <c r="AE452" i="162"/>
  <c r="AE453" i="162"/>
  <c r="AE454" i="162"/>
  <c r="AE455" i="162"/>
  <c r="AE456" i="162"/>
  <c r="AE457" i="162"/>
  <c r="AE458" i="162"/>
  <c r="AE459" i="162"/>
  <c r="AE460" i="162"/>
  <c r="AE461" i="162"/>
  <c r="AE462" i="162"/>
  <c r="AE463" i="162"/>
  <c r="AE464" i="162"/>
  <c r="AE465" i="162"/>
  <c r="AE466" i="162"/>
  <c r="AE467" i="162"/>
  <c r="AE468" i="162"/>
  <c r="AE469" i="162"/>
  <c r="AE470" i="162"/>
  <c r="AE471" i="162"/>
  <c r="AE472" i="162"/>
  <c r="AE473" i="162"/>
  <c r="AE474" i="162"/>
  <c r="AE475" i="162"/>
  <c r="AE476" i="162"/>
  <c r="AE477" i="162"/>
  <c r="AE478" i="162"/>
  <c r="AE479" i="162"/>
  <c r="AE480" i="162"/>
  <c r="AE481" i="162"/>
  <c r="AE482" i="162"/>
  <c r="AE483" i="162"/>
  <c r="AE484" i="162"/>
  <c r="AE485" i="162"/>
  <c r="AE486" i="162"/>
  <c r="AE487" i="162"/>
  <c r="AE488" i="162"/>
  <c r="AE489" i="162"/>
  <c r="AE490" i="162"/>
  <c r="AE491" i="162"/>
  <c r="AE492" i="162"/>
  <c r="AE493" i="162"/>
  <c r="AE494" i="162"/>
  <c r="AE495" i="162"/>
  <c r="AE496" i="162"/>
  <c r="AE497" i="162"/>
  <c r="AE498" i="162"/>
  <c r="AE499" i="162"/>
  <c r="AE500" i="162"/>
  <c r="AE501" i="162"/>
  <c r="AE502" i="162"/>
  <c r="AE503" i="162"/>
  <c r="AE504" i="162"/>
  <c r="AE505" i="162"/>
  <c r="AE506" i="162"/>
  <c r="AE507" i="162"/>
  <c r="AE508" i="162"/>
  <c r="AE509" i="162"/>
  <c r="AE510" i="162"/>
  <c r="AE511" i="162"/>
  <c r="AE512" i="162"/>
  <c r="AE513" i="162"/>
  <c r="AE514" i="162"/>
  <c r="AE515" i="162"/>
  <c r="AE516" i="162"/>
  <c r="AE517" i="162"/>
  <c r="AE518" i="162"/>
  <c r="AE519" i="162"/>
  <c r="AE520" i="162"/>
  <c r="AE521" i="162"/>
  <c r="AE522" i="162"/>
  <c r="AE523" i="162"/>
  <c r="AE524" i="162"/>
  <c r="AE525" i="162"/>
  <c r="AE526" i="162"/>
  <c r="AE527" i="162"/>
  <c r="AE528" i="162"/>
  <c r="AE529" i="162"/>
  <c r="AE530" i="162"/>
  <c r="AE531" i="162"/>
  <c r="AE532" i="162"/>
  <c r="AE533" i="162"/>
  <c r="AE534" i="162"/>
  <c r="AE535" i="162"/>
  <c r="AE536" i="162"/>
  <c r="AE537" i="162"/>
  <c r="AE538" i="162"/>
  <c r="AE539" i="162"/>
  <c r="AE540" i="162"/>
  <c r="AE541" i="162"/>
  <c r="AE542" i="162"/>
  <c r="AE543" i="162"/>
  <c r="AE544" i="162"/>
  <c r="AE368" i="162"/>
  <c r="AE187" i="162"/>
  <c r="AE188" i="162"/>
  <c r="AE189" i="162"/>
  <c r="AE190" i="162"/>
  <c r="AE191" i="162"/>
  <c r="AE192" i="162"/>
  <c r="AE193" i="162"/>
  <c r="AE194" i="162"/>
  <c r="AE195" i="162"/>
  <c r="AE196" i="162"/>
  <c r="AE197" i="162"/>
  <c r="AE198" i="162"/>
  <c r="AE199" i="162"/>
  <c r="AE200" i="162"/>
  <c r="AE201" i="162"/>
  <c r="AE202" i="162"/>
  <c r="AE203" i="162"/>
  <c r="AE204" i="162"/>
  <c r="AE205" i="162"/>
  <c r="AE206" i="162"/>
  <c r="AE207" i="162"/>
  <c r="AE208" i="162"/>
  <c r="AE209" i="162"/>
  <c r="AE210" i="162"/>
  <c r="AE211" i="162"/>
  <c r="AE212" i="162"/>
  <c r="AE213" i="162"/>
  <c r="AE214" i="162"/>
  <c r="AE215" i="162"/>
  <c r="AE216" i="162"/>
  <c r="AE217" i="162"/>
  <c r="AE218" i="162"/>
  <c r="AE219" i="162"/>
  <c r="AE220" i="162"/>
  <c r="AE221" i="162"/>
  <c r="AE222" i="162"/>
  <c r="AE223" i="162"/>
  <c r="AE224" i="162"/>
  <c r="AE225" i="162"/>
  <c r="AE226" i="162"/>
  <c r="AE227" i="162"/>
  <c r="AE228" i="162"/>
  <c r="AE229" i="162"/>
  <c r="AE230" i="162"/>
  <c r="AE231" i="162"/>
  <c r="AE232" i="162"/>
  <c r="AE233" i="162"/>
  <c r="AE234" i="162"/>
  <c r="AE235" i="162"/>
  <c r="AE236" i="162"/>
  <c r="AE237" i="162"/>
  <c r="AE238" i="162"/>
  <c r="AE239" i="162"/>
  <c r="AE240" i="162"/>
  <c r="AE241" i="162"/>
  <c r="AE242" i="162"/>
  <c r="AE243" i="162"/>
  <c r="AE244" i="162"/>
  <c r="AE245" i="162"/>
  <c r="AE246" i="162"/>
  <c r="AE247" i="162"/>
  <c r="AE248" i="162"/>
  <c r="AE249" i="162"/>
  <c r="AE250" i="162"/>
  <c r="AE251" i="162"/>
  <c r="AE252" i="162"/>
  <c r="AE253" i="162"/>
  <c r="AE254" i="162"/>
  <c r="AE255" i="162"/>
  <c r="AE256" i="162"/>
  <c r="AE257" i="162"/>
  <c r="AE258" i="162"/>
  <c r="AE259" i="162"/>
  <c r="AE260" i="162"/>
  <c r="AE261" i="162"/>
  <c r="AE262" i="162"/>
  <c r="AE263" i="162"/>
  <c r="AE264" i="162"/>
  <c r="AE265" i="162"/>
  <c r="AE266" i="162"/>
  <c r="AE267" i="162"/>
  <c r="AE268" i="162"/>
  <c r="AE269" i="162"/>
  <c r="AE270" i="162"/>
  <c r="AE271" i="162"/>
  <c r="AE272" i="162"/>
  <c r="AE273" i="162"/>
  <c r="AE274" i="162"/>
  <c r="AE275" i="162"/>
  <c r="AE276" i="162"/>
  <c r="AE277" i="162"/>
  <c r="AE278" i="162"/>
  <c r="AE279" i="162"/>
  <c r="AE280" i="162"/>
  <c r="AE281" i="162"/>
  <c r="AE282" i="162"/>
  <c r="AE283" i="162"/>
  <c r="AE284" i="162"/>
  <c r="AE285" i="162"/>
  <c r="AE286" i="162"/>
  <c r="AE287" i="162"/>
  <c r="AE288" i="162"/>
  <c r="AE289" i="162"/>
  <c r="AE290" i="162"/>
  <c r="AE291" i="162"/>
  <c r="AE292" i="162"/>
  <c r="AE293" i="162"/>
  <c r="AE294" i="162"/>
  <c r="AE295" i="162"/>
  <c r="AE296" i="162"/>
  <c r="AE297" i="162"/>
  <c r="AE298" i="162"/>
  <c r="AE299" i="162"/>
  <c r="AE300" i="162"/>
  <c r="AE301" i="162"/>
  <c r="AE302" i="162"/>
  <c r="AE303" i="162"/>
  <c r="AE304" i="162"/>
  <c r="AE305" i="162"/>
  <c r="AE306" i="162"/>
  <c r="AE307" i="162"/>
  <c r="AE308" i="162"/>
  <c r="AE309" i="162"/>
  <c r="AE310" i="162"/>
  <c r="AE311" i="162"/>
  <c r="AE312" i="162"/>
  <c r="AE313" i="162"/>
  <c r="AE314" i="162"/>
  <c r="AE315" i="162"/>
  <c r="AE316" i="162"/>
  <c r="AE317" i="162"/>
  <c r="AE318" i="162"/>
  <c r="AE319" i="162"/>
  <c r="AE320" i="162"/>
  <c r="AE321" i="162"/>
  <c r="AE322" i="162"/>
  <c r="AE323" i="162"/>
  <c r="AE324" i="162"/>
  <c r="AE325" i="162"/>
  <c r="AE326" i="162"/>
  <c r="AE327" i="162"/>
  <c r="AE328" i="162"/>
  <c r="AE329" i="162"/>
  <c r="AE330" i="162"/>
  <c r="AE331" i="162"/>
  <c r="AE332" i="162"/>
  <c r="AE333" i="162"/>
  <c r="AE334" i="162"/>
  <c r="AE335" i="162"/>
  <c r="AE336" i="162"/>
  <c r="AE337" i="162"/>
  <c r="AE338" i="162"/>
  <c r="AE339" i="162"/>
  <c r="AE340" i="162"/>
  <c r="AE341" i="162"/>
  <c r="AE342" i="162"/>
  <c r="AE343" i="162"/>
  <c r="AE344" i="162"/>
  <c r="AE345" i="162"/>
  <c r="AE346" i="162"/>
  <c r="AE347" i="162"/>
  <c r="AE348" i="162"/>
  <c r="AE349" i="162"/>
  <c r="AE350" i="162"/>
  <c r="AE351" i="162"/>
  <c r="AE352" i="162"/>
  <c r="AE353" i="162"/>
  <c r="AE354" i="162"/>
  <c r="AE355" i="162"/>
  <c r="AE356" i="162"/>
  <c r="AE357" i="162"/>
  <c r="AE358" i="162"/>
  <c r="AE359" i="162"/>
  <c r="AE360" i="162"/>
  <c r="AE361" i="162"/>
  <c r="AE362" i="162"/>
  <c r="AE186" i="162"/>
  <c r="AM82" i="129"/>
  <c r="AM83" i="129"/>
  <c r="AM84" i="129"/>
  <c r="AM85" i="129"/>
  <c r="AM86" i="129"/>
  <c r="AO142" i="129" s="1"/>
  <c r="AM87" i="129"/>
  <c r="AM88" i="129"/>
  <c r="AM144" i="129" s="1"/>
  <c r="AM89" i="129"/>
  <c r="AM145" i="129" s="1"/>
  <c r="AM90" i="129"/>
  <c r="AM146" i="129" s="1"/>
  <c r="AM91" i="129"/>
  <c r="AM147" i="129" s="1"/>
  <c r="AM92" i="129"/>
  <c r="AM93" i="129"/>
  <c r="AM149" i="129" s="1"/>
  <c r="AM94" i="129"/>
  <c r="AM150" i="129" s="1"/>
  <c r="AM95" i="129"/>
  <c r="AO151" i="129" s="1"/>
  <c r="AM96" i="129"/>
  <c r="AO152" i="129" s="1"/>
  <c r="AM97" i="129"/>
  <c r="AO153" i="129" s="1"/>
  <c r="AM98" i="129"/>
  <c r="AM154" i="129" s="1"/>
  <c r="AM99" i="129"/>
  <c r="AM155" i="129" s="1"/>
  <c r="AM100" i="129"/>
  <c r="AM156" i="129" s="1"/>
  <c r="AM101" i="129"/>
  <c r="AM157" i="129" s="1"/>
  <c r="AM102" i="129"/>
  <c r="AM103" i="129"/>
  <c r="AM104" i="129"/>
  <c r="AM105" i="129"/>
  <c r="AM106" i="129"/>
  <c r="AO162" i="129" s="1"/>
  <c r="AM107" i="129"/>
  <c r="AM108" i="129"/>
  <c r="AM109" i="129"/>
  <c r="AM110" i="129"/>
  <c r="AM166" i="129" s="1"/>
  <c r="AM111" i="129"/>
  <c r="AM112" i="129"/>
  <c r="AM113" i="129"/>
  <c r="AM169" i="129" s="1"/>
  <c r="AM114" i="129"/>
  <c r="AO170" i="129" s="1"/>
  <c r="AN132" i="129"/>
  <c r="AN133" i="129"/>
  <c r="AN134" i="129"/>
  <c r="AN135" i="129"/>
  <c r="AN136" i="129"/>
  <c r="AN137" i="129"/>
  <c r="AN138" i="129"/>
  <c r="AN139" i="129"/>
  <c r="AN140" i="129"/>
  <c r="AN141" i="129"/>
  <c r="AN142" i="129"/>
  <c r="AN143" i="129"/>
  <c r="AN144" i="129"/>
  <c r="AN145" i="129"/>
  <c r="AN146" i="129"/>
  <c r="AN147" i="129"/>
  <c r="AN148" i="129"/>
  <c r="AN149" i="129"/>
  <c r="AN150" i="129"/>
  <c r="AN151" i="129"/>
  <c r="AN152" i="129"/>
  <c r="AN153" i="129"/>
  <c r="AN154" i="129"/>
  <c r="AN155" i="129"/>
  <c r="AN156" i="129"/>
  <c r="AN157" i="129"/>
  <c r="AN158" i="129"/>
  <c r="AN159" i="129"/>
  <c r="AN160" i="129"/>
  <c r="AN161" i="129"/>
  <c r="AN162" i="129"/>
  <c r="AN163" i="129"/>
  <c r="AN164" i="129"/>
  <c r="AN165" i="129"/>
  <c r="AN166" i="129"/>
  <c r="AN167" i="129"/>
  <c r="AN168" i="129"/>
  <c r="AN169" i="129"/>
  <c r="AN170" i="129"/>
  <c r="AJ139" i="129"/>
  <c r="AL139" i="129"/>
  <c r="AM139" i="129"/>
  <c r="AO139" i="129"/>
  <c r="AJ140" i="129"/>
  <c r="AL140" i="129"/>
  <c r="AM140" i="129"/>
  <c r="AJ141" i="129"/>
  <c r="AL141" i="129"/>
  <c r="AM141" i="129"/>
  <c r="AO141" i="129"/>
  <c r="AJ142" i="129"/>
  <c r="AK142" i="129"/>
  <c r="AL142" i="129"/>
  <c r="AM142" i="129"/>
  <c r="AJ143" i="129"/>
  <c r="AK143" i="129"/>
  <c r="AL143" i="129"/>
  <c r="AJ144" i="129"/>
  <c r="AL144" i="129"/>
  <c r="AJ145" i="129"/>
  <c r="AL145" i="129"/>
  <c r="AO145" i="129"/>
  <c r="AJ146" i="129"/>
  <c r="AK146" i="129"/>
  <c r="AL146" i="129"/>
  <c r="AJ147" i="129"/>
  <c r="AL147" i="129"/>
  <c r="AJ148" i="129"/>
  <c r="AL148" i="129"/>
  <c r="AJ149" i="129"/>
  <c r="AL149" i="129"/>
  <c r="AJ150" i="129"/>
  <c r="AL150" i="129"/>
  <c r="AJ151" i="129"/>
  <c r="AK151" i="129"/>
  <c r="AL151" i="129"/>
  <c r="AJ152" i="129"/>
  <c r="AL152" i="129"/>
  <c r="AJ153" i="129"/>
  <c r="AL153" i="129"/>
  <c r="AJ154" i="129"/>
  <c r="AL154" i="129"/>
  <c r="AJ155" i="129"/>
  <c r="AL155" i="129"/>
  <c r="AJ156" i="129"/>
  <c r="AL156" i="129"/>
  <c r="AJ157" i="129"/>
  <c r="AL157" i="129"/>
  <c r="AJ158" i="129"/>
  <c r="AL158" i="129"/>
  <c r="AM158" i="129"/>
  <c r="AJ159" i="129"/>
  <c r="AL159" i="129"/>
  <c r="AM159" i="129"/>
  <c r="AJ160" i="129"/>
  <c r="AL160" i="129"/>
  <c r="AM160" i="129"/>
  <c r="AO160" i="129"/>
  <c r="AJ161" i="129"/>
  <c r="AK161" i="129"/>
  <c r="AL161" i="129"/>
  <c r="AM161" i="129"/>
  <c r="AO161" i="129"/>
  <c r="AJ162" i="129"/>
  <c r="AK162" i="129"/>
  <c r="AL162" i="129"/>
  <c r="AJ163" i="129"/>
  <c r="AL163" i="129"/>
  <c r="AM163" i="129"/>
  <c r="AJ164" i="129"/>
  <c r="AL164" i="129"/>
  <c r="AM164" i="129"/>
  <c r="AJ165" i="129"/>
  <c r="AL165" i="129"/>
  <c r="AM165" i="129"/>
  <c r="AJ166" i="129"/>
  <c r="AL166" i="129"/>
  <c r="AJ167" i="129"/>
  <c r="AL167" i="129"/>
  <c r="AJ168" i="129"/>
  <c r="AL168" i="129"/>
  <c r="AJ169" i="129"/>
  <c r="AL169" i="129"/>
  <c r="AJ170" i="129"/>
  <c r="AL170" i="129"/>
  <c r="AG139" i="129"/>
  <c r="AG140" i="129"/>
  <c r="AG141" i="129"/>
  <c r="AG142" i="129"/>
  <c r="AG143" i="129"/>
  <c r="AG144" i="129"/>
  <c r="AG145" i="129"/>
  <c r="AG146" i="129"/>
  <c r="AG147" i="129"/>
  <c r="AG148" i="129"/>
  <c r="AG149" i="129"/>
  <c r="AG150" i="129"/>
  <c r="AG151" i="129"/>
  <c r="AG152" i="129"/>
  <c r="AG153" i="129"/>
  <c r="AG154" i="129"/>
  <c r="AG155" i="129"/>
  <c r="AG156" i="129"/>
  <c r="AG157" i="129"/>
  <c r="AG158" i="129"/>
  <c r="AG159" i="129"/>
  <c r="AG160" i="129"/>
  <c r="AG161" i="129"/>
  <c r="AG162" i="129"/>
  <c r="AG163" i="129"/>
  <c r="AG164" i="129"/>
  <c r="AG165" i="129"/>
  <c r="AG166" i="129"/>
  <c r="AG167" i="129"/>
  <c r="AG168" i="129"/>
  <c r="AG169" i="129"/>
  <c r="AG170" i="129"/>
  <c r="AK83" i="129"/>
  <c r="AK139" i="129" s="1"/>
  <c r="AO83" i="129"/>
  <c r="AK84" i="129"/>
  <c r="AK140" i="129" s="1"/>
  <c r="AO84" i="129"/>
  <c r="AO140" i="129" s="1"/>
  <c r="AK85" i="129"/>
  <c r="AK141" i="129" s="1"/>
  <c r="AO85" i="129"/>
  <c r="AK86" i="129"/>
  <c r="AO86" i="129"/>
  <c r="AK87" i="129"/>
  <c r="AO87" i="129"/>
  <c r="AK88" i="129"/>
  <c r="AK144" i="129" s="1"/>
  <c r="AO88" i="129"/>
  <c r="AK89" i="129"/>
  <c r="AK145" i="129" s="1"/>
  <c r="AO89" i="129"/>
  <c r="AK90" i="129"/>
  <c r="AO90" i="129"/>
  <c r="AK91" i="129"/>
  <c r="AK147" i="129" s="1"/>
  <c r="AO91" i="129"/>
  <c r="AK92" i="129"/>
  <c r="AK148" i="129" s="1"/>
  <c r="AO92" i="129"/>
  <c r="AK93" i="129"/>
  <c r="AK149" i="129" s="1"/>
  <c r="AO93" i="129"/>
  <c r="AK94" i="129"/>
  <c r="AK150" i="129" s="1"/>
  <c r="AO94" i="129"/>
  <c r="AK95" i="129"/>
  <c r="AO95" i="129"/>
  <c r="AK96" i="129"/>
  <c r="AK152" i="129" s="1"/>
  <c r="AO96" i="129"/>
  <c r="AK97" i="129"/>
  <c r="AK153" i="129" s="1"/>
  <c r="AO97" i="129"/>
  <c r="AK98" i="129"/>
  <c r="AK154" i="129" s="1"/>
  <c r="AO98" i="129"/>
  <c r="AK99" i="129"/>
  <c r="AK155" i="129" s="1"/>
  <c r="AO99" i="129"/>
  <c r="AK100" i="129"/>
  <c r="AK156" i="129" s="1"/>
  <c r="AO100" i="129"/>
  <c r="AK101" i="129"/>
  <c r="AK157" i="129" s="1"/>
  <c r="AO101" i="129"/>
  <c r="AK102" i="129"/>
  <c r="AK158" i="129" s="1"/>
  <c r="AO102" i="129"/>
  <c r="AO158" i="129" s="1"/>
  <c r="AK103" i="129"/>
  <c r="AK159" i="129" s="1"/>
  <c r="AO103" i="129"/>
  <c r="AO159" i="129" s="1"/>
  <c r="AK104" i="129"/>
  <c r="AK160" i="129" s="1"/>
  <c r="AO104" i="129"/>
  <c r="AK105" i="129"/>
  <c r="AO105" i="129"/>
  <c r="AK106" i="129"/>
  <c r="AO106" i="129"/>
  <c r="AK107" i="129"/>
  <c r="AK163" i="129" s="1"/>
  <c r="AO107" i="129"/>
  <c r="AO163" i="129" s="1"/>
  <c r="AK108" i="129"/>
  <c r="AK164" i="129" s="1"/>
  <c r="AO108" i="129"/>
  <c r="AO164" i="129" s="1"/>
  <c r="AK109" i="129"/>
  <c r="AK165" i="129" s="1"/>
  <c r="AO109" i="129"/>
  <c r="AO165" i="129" s="1"/>
  <c r="AK110" i="129"/>
  <c r="AK166" i="129" s="1"/>
  <c r="AO110" i="129"/>
  <c r="AK111" i="129"/>
  <c r="AK167" i="129" s="1"/>
  <c r="AO111" i="129"/>
  <c r="AK112" i="129"/>
  <c r="AK168" i="129" s="1"/>
  <c r="AO112" i="129"/>
  <c r="AK113" i="129"/>
  <c r="AK169" i="129" s="1"/>
  <c r="AO113" i="129"/>
  <c r="AK114" i="129"/>
  <c r="AK170" i="129" s="1"/>
  <c r="AO114" i="129"/>
  <c r="AG5" i="129"/>
  <c r="AG6" i="129"/>
  <c r="AG7" i="129"/>
  <c r="AG8" i="129"/>
  <c r="AG9" i="129"/>
  <c r="AG10" i="129"/>
  <c r="AG11" i="129"/>
  <c r="AG12" i="129"/>
  <c r="AG13" i="129"/>
  <c r="AG14" i="129"/>
  <c r="AG15" i="129"/>
  <c r="AG16" i="129"/>
  <c r="AG17" i="129"/>
  <c r="AG18" i="129"/>
  <c r="AG19" i="129"/>
  <c r="AG20" i="129"/>
  <c r="AG21" i="129"/>
  <c r="AG22" i="129"/>
  <c r="AG23" i="129"/>
  <c r="AG24" i="129"/>
  <c r="AG25" i="129"/>
  <c r="AG26" i="129"/>
  <c r="AG27" i="129"/>
  <c r="AG28" i="129"/>
  <c r="AG29" i="129"/>
  <c r="AG30" i="129"/>
  <c r="AG31" i="129"/>
  <c r="AG32" i="129"/>
  <c r="AG33" i="129"/>
  <c r="AG34" i="129"/>
  <c r="AG35" i="129"/>
  <c r="AG36" i="129"/>
  <c r="AG37" i="129"/>
  <c r="AG38" i="129"/>
  <c r="AG39" i="129"/>
  <c r="AG40" i="129"/>
  <c r="AG41" i="129"/>
  <c r="AG42" i="129"/>
  <c r="AG43" i="129"/>
  <c r="AG44" i="129"/>
  <c r="AG45" i="129"/>
  <c r="AG46" i="129"/>
  <c r="AG47" i="129"/>
  <c r="AG48" i="129"/>
  <c r="AG49" i="129"/>
  <c r="AG50" i="129"/>
  <c r="AG51" i="129"/>
  <c r="AG52" i="129"/>
  <c r="AG53" i="129"/>
  <c r="AG54" i="129"/>
  <c r="AG55" i="129"/>
  <c r="AG4" i="129"/>
  <c r="AE4" i="162"/>
  <c r="AE5" i="162"/>
  <c r="AE7" i="162"/>
  <c r="AE8" i="162" s="1"/>
  <c r="AE9" i="162" s="1"/>
  <c r="AE10" i="162" s="1"/>
  <c r="AE11" i="162" s="1"/>
  <c r="AE12" i="162" s="1"/>
  <c r="AE13" i="162" s="1"/>
  <c r="AE14" i="162" s="1"/>
  <c r="AE15" i="162" s="1"/>
  <c r="AE16" i="162" s="1"/>
  <c r="AE17" i="162" s="1"/>
  <c r="AE18" i="162" s="1"/>
  <c r="AE19" i="162" s="1"/>
  <c r="AE20" i="162" s="1"/>
  <c r="AE21" i="162" s="1"/>
  <c r="AE22" i="162" s="1"/>
  <c r="AE23" i="162" s="1"/>
  <c r="AE24" i="162" s="1"/>
  <c r="AF121" i="129"/>
  <c r="AF65" i="129"/>
  <c r="AK363" i="162"/>
  <c r="AF58" i="162"/>
  <c r="AF59" i="162"/>
  <c r="AF60" i="162"/>
  <c r="AF61" i="162"/>
  <c r="AF62" i="162"/>
  <c r="AF63" i="162"/>
  <c r="AF64" i="162"/>
  <c r="AF65" i="162"/>
  <c r="AF66" i="162"/>
  <c r="AF67" i="162"/>
  <c r="AF68" i="162"/>
  <c r="AF69" i="162"/>
  <c r="AF70" i="162"/>
  <c r="AF71" i="162"/>
  <c r="AF72" i="162"/>
  <c r="AF73" i="162"/>
  <c r="AF74" i="162"/>
  <c r="AF75" i="162"/>
  <c r="AF76" i="162"/>
  <c r="AF77" i="162"/>
  <c r="AF78" i="162"/>
  <c r="AF79" i="162"/>
  <c r="AF80" i="162"/>
  <c r="AF81" i="162"/>
  <c r="AF82" i="162"/>
  <c r="AF83" i="162"/>
  <c r="AF84" i="162"/>
  <c r="AF85" i="162"/>
  <c r="AF86" i="162"/>
  <c r="AF87" i="162"/>
  <c r="AF88" i="162"/>
  <c r="AF89" i="162"/>
  <c r="AF90" i="162"/>
  <c r="AF91" i="162"/>
  <c r="AF92" i="162"/>
  <c r="AF93" i="162"/>
  <c r="AF94" i="162"/>
  <c r="AF95" i="162"/>
  <c r="AF96" i="162"/>
  <c r="AF97" i="162"/>
  <c r="AF98" i="162"/>
  <c r="AF99" i="162"/>
  <c r="AF100" i="162"/>
  <c r="AF101" i="162"/>
  <c r="AF102" i="162"/>
  <c r="AF103" i="162"/>
  <c r="AF104" i="162"/>
  <c r="AF105" i="162"/>
  <c r="AF106" i="162"/>
  <c r="AF107" i="162"/>
  <c r="AF108" i="162"/>
  <c r="AF109" i="162"/>
  <c r="AF110" i="162"/>
  <c r="AF111" i="162"/>
  <c r="AF112" i="162"/>
  <c r="AF113" i="162"/>
  <c r="AF114" i="162"/>
  <c r="AF115" i="162"/>
  <c r="AF116" i="162"/>
  <c r="AF117" i="162"/>
  <c r="AF118" i="162"/>
  <c r="AF119" i="162"/>
  <c r="AF120" i="162"/>
  <c r="AF121" i="162"/>
  <c r="AF122" i="162"/>
  <c r="AF123" i="162"/>
  <c r="AF124" i="162"/>
  <c r="AF125" i="162"/>
  <c r="AF126" i="162"/>
  <c r="AF127" i="162"/>
  <c r="AF128" i="162"/>
  <c r="AF129" i="162"/>
  <c r="AF130" i="162"/>
  <c r="AF131" i="162"/>
  <c r="AF132" i="162"/>
  <c r="AF133" i="162"/>
  <c r="AF134" i="162"/>
  <c r="AF135" i="162"/>
  <c r="AF136" i="162"/>
  <c r="AF137" i="162"/>
  <c r="AF138" i="162"/>
  <c r="AF139" i="162"/>
  <c r="AF140" i="162"/>
  <c r="AF141" i="162"/>
  <c r="AF142" i="162"/>
  <c r="AF143" i="162"/>
  <c r="AF144" i="162"/>
  <c r="AF145" i="162"/>
  <c r="AF146" i="162"/>
  <c r="AF147" i="162"/>
  <c r="AF148" i="162"/>
  <c r="AF149" i="162"/>
  <c r="AF150" i="162"/>
  <c r="AF151" i="162"/>
  <c r="AF152" i="162"/>
  <c r="AF153" i="162"/>
  <c r="AF154" i="162"/>
  <c r="AF155" i="162"/>
  <c r="AF156" i="162"/>
  <c r="AF157" i="162"/>
  <c r="AF158" i="162"/>
  <c r="AF159" i="162"/>
  <c r="AF160" i="162"/>
  <c r="AF161" i="162"/>
  <c r="AF162" i="162"/>
  <c r="AF163" i="162"/>
  <c r="AF164" i="162"/>
  <c r="AF165" i="162"/>
  <c r="AF166" i="162"/>
  <c r="AF167" i="162"/>
  <c r="AF168" i="162"/>
  <c r="AF169" i="162"/>
  <c r="AF170" i="162"/>
  <c r="AF171" i="162"/>
  <c r="AF172" i="162"/>
  <c r="AF173" i="162"/>
  <c r="AF174" i="162"/>
  <c r="AF175" i="162"/>
  <c r="AF176" i="162"/>
  <c r="AF177" i="162"/>
  <c r="AF178" i="162"/>
  <c r="AF179" i="162"/>
  <c r="AF180" i="162"/>
  <c r="AF24" i="162"/>
  <c r="AF25" i="162"/>
  <c r="AF26" i="162"/>
  <c r="AF27" i="162"/>
  <c r="AF28" i="162"/>
  <c r="AF29" i="162"/>
  <c r="AF30" i="162"/>
  <c r="AF31" i="162"/>
  <c r="AF32" i="162"/>
  <c r="AF33" i="162"/>
  <c r="AF34" i="162"/>
  <c r="AF35" i="162"/>
  <c r="AF36" i="162"/>
  <c r="AF37" i="162"/>
  <c r="AF38" i="162"/>
  <c r="AF39" i="162"/>
  <c r="AF40" i="162"/>
  <c r="AF41" i="162"/>
  <c r="AF42" i="162"/>
  <c r="AF43" i="162"/>
  <c r="AF44" i="162"/>
  <c r="AF45" i="162"/>
  <c r="AF46" i="162"/>
  <c r="AF47" i="162"/>
  <c r="AF48" i="162"/>
  <c r="AF49" i="162"/>
  <c r="AF50" i="162"/>
  <c r="AF51" i="162"/>
  <c r="AF52" i="162"/>
  <c r="AF53" i="162"/>
  <c r="AF54" i="162"/>
  <c r="AF55" i="162"/>
  <c r="AF56" i="162"/>
  <c r="AF57" i="162"/>
  <c r="AK388" i="162"/>
  <c r="AK389" i="162"/>
  <c r="AK390" i="162"/>
  <c r="AK391" i="162"/>
  <c r="AK392" i="162"/>
  <c r="AK393" i="162"/>
  <c r="AK394" i="162"/>
  <c r="AK395" i="162"/>
  <c r="AK396" i="162"/>
  <c r="AK397" i="162"/>
  <c r="AK398" i="162"/>
  <c r="AK399" i="162"/>
  <c r="AK400" i="162"/>
  <c r="AK401" i="162"/>
  <c r="AK402" i="162"/>
  <c r="AK403" i="162"/>
  <c r="AK404" i="162"/>
  <c r="AK405" i="162"/>
  <c r="AK406" i="162"/>
  <c r="AK407" i="162"/>
  <c r="AK408" i="162"/>
  <c r="AK409" i="162"/>
  <c r="AK410" i="162"/>
  <c r="AK411" i="162"/>
  <c r="AK412" i="162"/>
  <c r="AK413" i="162"/>
  <c r="AK414" i="162"/>
  <c r="AK415" i="162"/>
  <c r="AK416" i="162"/>
  <c r="AK417" i="162"/>
  <c r="AK418" i="162"/>
  <c r="AK419" i="162"/>
  <c r="AK420" i="162"/>
  <c r="AK421" i="162"/>
  <c r="AK422" i="162"/>
  <c r="AK423" i="162"/>
  <c r="AK424" i="162"/>
  <c r="AK425" i="162"/>
  <c r="AK426" i="162"/>
  <c r="AK427" i="162"/>
  <c r="AK428" i="162"/>
  <c r="AK429" i="162"/>
  <c r="AK430" i="162"/>
  <c r="AK431" i="162"/>
  <c r="AK432" i="162"/>
  <c r="AK433" i="162"/>
  <c r="AK434" i="162"/>
  <c r="AK435" i="162"/>
  <c r="AK436" i="162"/>
  <c r="AK437" i="162"/>
  <c r="AK438" i="162"/>
  <c r="AK439" i="162"/>
  <c r="AK440" i="162"/>
  <c r="AK441" i="162"/>
  <c r="AK442" i="162"/>
  <c r="AK443" i="162"/>
  <c r="AK444" i="162"/>
  <c r="AK445" i="162"/>
  <c r="AK446" i="162"/>
  <c r="AK447" i="162"/>
  <c r="AK448" i="162"/>
  <c r="AK449" i="162"/>
  <c r="AK450" i="162"/>
  <c r="AK451" i="162"/>
  <c r="AK452" i="162"/>
  <c r="AK453" i="162"/>
  <c r="AK454" i="162"/>
  <c r="AK455" i="162"/>
  <c r="AK456" i="162"/>
  <c r="AK457" i="162"/>
  <c r="AK458" i="162"/>
  <c r="AK459" i="162"/>
  <c r="AK460" i="162"/>
  <c r="AK461" i="162"/>
  <c r="AK462" i="162"/>
  <c r="AK463" i="162"/>
  <c r="AK464" i="162"/>
  <c r="AK465" i="162"/>
  <c r="AK466" i="162"/>
  <c r="AK467" i="162"/>
  <c r="AK468" i="162"/>
  <c r="AK469" i="162"/>
  <c r="AK470" i="162"/>
  <c r="AK471" i="162"/>
  <c r="AK472" i="162"/>
  <c r="AK473" i="162"/>
  <c r="AK474" i="162"/>
  <c r="AK475" i="162"/>
  <c r="AK476" i="162"/>
  <c r="AK477" i="162"/>
  <c r="AK478" i="162"/>
  <c r="AK479" i="162"/>
  <c r="AK480" i="162"/>
  <c r="AK481" i="162"/>
  <c r="AK482" i="162"/>
  <c r="AK483" i="162"/>
  <c r="AK484" i="162"/>
  <c r="AK485" i="162"/>
  <c r="AK486" i="162"/>
  <c r="AK487" i="162"/>
  <c r="AK488" i="162"/>
  <c r="AK489" i="162"/>
  <c r="AK490" i="162"/>
  <c r="AK491" i="162"/>
  <c r="AK492" i="162"/>
  <c r="AK493" i="162"/>
  <c r="AK494" i="162"/>
  <c r="AK495" i="162"/>
  <c r="AK496" i="162"/>
  <c r="AK497" i="162"/>
  <c r="AK498" i="162"/>
  <c r="AK499" i="162"/>
  <c r="AK500" i="162"/>
  <c r="AK501" i="162"/>
  <c r="AK502" i="162"/>
  <c r="AK503" i="162"/>
  <c r="AK504" i="162"/>
  <c r="AK505" i="162"/>
  <c r="AK506" i="162"/>
  <c r="AK507" i="162"/>
  <c r="AK508" i="162"/>
  <c r="AK509" i="162"/>
  <c r="AK510" i="162"/>
  <c r="AK511" i="162"/>
  <c r="AK512" i="162"/>
  <c r="AK513" i="162"/>
  <c r="AK514" i="162"/>
  <c r="AK515" i="162"/>
  <c r="AK516" i="162"/>
  <c r="AK517" i="162"/>
  <c r="AK518" i="162"/>
  <c r="AK519" i="162"/>
  <c r="AK520" i="162"/>
  <c r="AK521" i="162"/>
  <c r="AK522" i="162"/>
  <c r="AK523" i="162"/>
  <c r="AK524" i="162"/>
  <c r="AK525" i="162"/>
  <c r="AK526" i="162"/>
  <c r="AK527" i="162"/>
  <c r="AK528" i="162"/>
  <c r="AK529" i="162"/>
  <c r="AK530" i="162"/>
  <c r="AK531" i="162"/>
  <c r="AK532" i="162"/>
  <c r="AK533" i="162"/>
  <c r="AK534" i="162"/>
  <c r="AK535" i="162"/>
  <c r="AK536" i="162"/>
  <c r="AK537" i="162"/>
  <c r="AK538" i="162"/>
  <c r="AK539" i="162"/>
  <c r="AK540" i="162"/>
  <c r="AK541" i="162"/>
  <c r="AK542" i="162"/>
  <c r="AK543" i="162"/>
  <c r="AK544" i="162"/>
  <c r="AF388" i="162"/>
  <c r="AM388" i="162"/>
  <c r="AF389" i="162"/>
  <c r="AM389" i="162"/>
  <c r="AF390" i="162"/>
  <c r="AM390" i="162"/>
  <c r="AF391" i="162"/>
  <c r="AM391" i="162"/>
  <c r="AF392" i="162"/>
  <c r="AM392" i="162"/>
  <c r="AF393" i="162"/>
  <c r="AM393" i="162"/>
  <c r="AF394" i="162"/>
  <c r="AM394" i="162"/>
  <c r="AF395" i="162"/>
  <c r="AM395" i="162"/>
  <c r="AF396" i="162"/>
  <c r="AM396" i="162"/>
  <c r="AF397" i="162"/>
  <c r="AM397" i="162"/>
  <c r="AF398" i="162"/>
  <c r="AM398" i="162"/>
  <c r="AF399" i="162"/>
  <c r="AM399" i="162"/>
  <c r="AF400" i="162"/>
  <c r="AM400" i="162"/>
  <c r="AF401" i="162"/>
  <c r="AM401" i="162"/>
  <c r="AF402" i="162"/>
  <c r="AM402" i="162"/>
  <c r="AF403" i="162"/>
  <c r="AM403" i="162"/>
  <c r="AF404" i="162"/>
  <c r="AM404" i="162"/>
  <c r="AF405" i="162"/>
  <c r="AM405" i="162"/>
  <c r="AF406" i="162"/>
  <c r="AM406" i="162"/>
  <c r="AF407" i="162"/>
  <c r="AM407" i="162"/>
  <c r="AF408" i="162"/>
  <c r="AM408" i="162"/>
  <c r="AF409" i="162"/>
  <c r="AM409" i="162"/>
  <c r="AF410" i="162"/>
  <c r="AM410" i="162"/>
  <c r="AF411" i="162"/>
  <c r="AM411" i="162"/>
  <c r="AF412" i="162"/>
  <c r="AM412" i="162"/>
  <c r="AF413" i="162"/>
  <c r="AM413" i="162"/>
  <c r="AF414" i="162"/>
  <c r="AM414" i="162"/>
  <c r="AF415" i="162"/>
  <c r="AM415" i="162"/>
  <c r="AF416" i="162"/>
  <c r="AJ416" i="162"/>
  <c r="AM416" i="162"/>
  <c r="AF417" i="162"/>
  <c r="AM417" i="162"/>
  <c r="AF418" i="162"/>
  <c r="AM418" i="162"/>
  <c r="AF419" i="162"/>
  <c r="AM419" i="162"/>
  <c r="AF420" i="162"/>
  <c r="AM420" i="162"/>
  <c r="AF421" i="162"/>
  <c r="AM421" i="162"/>
  <c r="AF422" i="162"/>
  <c r="AM422" i="162"/>
  <c r="AF423" i="162"/>
  <c r="AM423" i="162"/>
  <c r="AF424" i="162"/>
  <c r="AM424" i="162"/>
  <c r="AF425" i="162"/>
  <c r="AM425" i="162"/>
  <c r="AF426" i="162"/>
  <c r="AM426" i="162"/>
  <c r="AF427" i="162"/>
  <c r="AM427" i="162"/>
  <c r="AF428" i="162"/>
  <c r="AM428" i="162"/>
  <c r="AF429" i="162"/>
  <c r="AM429" i="162"/>
  <c r="AF430" i="162"/>
  <c r="AM430" i="162"/>
  <c r="AF431" i="162"/>
  <c r="AM431" i="162"/>
  <c r="AF432" i="162"/>
  <c r="AM432" i="162"/>
  <c r="AF433" i="162"/>
  <c r="AM433" i="162"/>
  <c r="AF434" i="162"/>
  <c r="AM434" i="162"/>
  <c r="AF435" i="162"/>
  <c r="AM435" i="162"/>
  <c r="AF436" i="162"/>
  <c r="AM436" i="162"/>
  <c r="AF437" i="162"/>
  <c r="AM437" i="162"/>
  <c r="AF438" i="162"/>
  <c r="AM438" i="162"/>
  <c r="AF439" i="162"/>
  <c r="AM439" i="162"/>
  <c r="AF440" i="162"/>
  <c r="AM440" i="162"/>
  <c r="AF441" i="162"/>
  <c r="AM441" i="162"/>
  <c r="AF442" i="162"/>
  <c r="AM442" i="162"/>
  <c r="AF443" i="162"/>
  <c r="AM443" i="162"/>
  <c r="AF444" i="162"/>
  <c r="AM444" i="162"/>
  <c r="AF445" i="162"/>
  <c r="AM445" i="162"/>
  <c r="AF446" i="162"/>
  <c r="AM446" i="162"/>
  <c r="AF447" i="162"/>
  <c r="AM447" i="162"/>
  <c r="AF448" i="162"/>
  <c r="AM448" i="162"/>
  <c r="AF449" i="162"/>
  <c r="AM449" i="162"/>
  <c r="AF450" i="162"/>
  <c r="AM450" i="162"/>
  <c r="AF451" i="162"/>
  <c r="AM451" i="162"/>
  <c r="AF452" i="162"/>
  <c r="AM452" i="162"/>
  <c r="AF453" i="162"/>
  <c r="AM453" i="162"/>
  <c r="AF454" i="162"/>
  <c r="AM454" i="162"/>
  <c r="AF455" i="162"/>
  <c r="AM455" i="162"/>
  <c r="AF456" i="162"/>
  <c r="AM456" i="162"/>
  <c r="AF457" i="162"/>
  <c r="AM457" i="162"/>
  <c r="AF458" i="162"/>
  <c r="AM458" i="162"/>
  <c r="AF459" i="162"/>
  <c r="AM459" i="162"/>
  <c r="AF460" i="162"/>
  <c r="AM460" i="162"/>
  <c r="AF461" i="162"/>
  <c r="AM461" i="162"/>
  <c r="AF462" i="162"/>
  <c r="AM462" i="162"/>
  <c r="AF463" i="162"/>
  <c r="AM463" i="162"/>
  <c r="AF464" i="162"/>
  <c r="AM464" i="162"/>
  <c r="AF465" i="162"/>
  <c r="AM465" i="162"/>
  <c r="AF466" i="162"/>
  <c r="AM466" i="162"/>
  <c r="AF467" i="162"/>
  <c r="AM467" i="162"/>
  <c r="AF468" i="162"/>
  <c r="AM468" i="162"/>
  <c r="AF469" i="162"/>
  <c r="AM469" i="162"/>
  <c r="AF470" i="162"/>
  <c r="AM470" i="162"/>
  <c r="AF471" i="162"/>
  <c r="AM471" i="162"/>
  <c r="AF472" i="162"/>
  <c r="AM472" i="162"/>
  <c r="AF473" i="162"/>
  <c r="AM473" i="162"/>
  <c r="AF474" i="162"/>
  <c r="AM474" i="162"/>
  <c r="AF475" i="162"/>
  <c r="AM475" i="162"/>
  <c r="AF476" i="162"/>
  <c r="AM476" i="162"/>
  <c r="AF477" i="162"/>
  <c r="AM477" i="162"/>
  <c r="AF478" i="162"/>
  <c r="AM478" i="162"/>
  <c r="AF479" i="162"/>
  <c r="AM479" i="162"/>
  <c r="AF480" i="162"/>
  <c r="AM480" i="162"/>
  <c r="AF481" i="162"/>
  <c r="AM481" i="162"/>
  <c r="AF482" i="162"/>
  <c r="AM482" i="162"/>
  <c r="AF483" i="162"/>
  <c r="AM483" i="162"/>
  <c r="AF484" i="162"/>
  <c r="AM484" i="162"/>
  <c r="AF485" i="162"/>
  <c r="AM485" i="162"/>
  <c r="AF486" i="162"/>
  <c r="AM486" i="162"/>
  <c r="AF487" i="162"/>
  <c r="AM487" i="162"/>
  <c r="AF488" i="162"/>
  <c r="AM488" i="162"/>
  <c r="AF489" i="162"/>
  <c r="AM489" i="162"/>
  <c r="AF490" i="162"/>
  <c r="AM490" i="162"/>
  <c r="AF491" i="162"/>
  <c r="AM491" i="162"/>
  <c r="AF492" i="162"/>
  <c r="AM492" i="162"/>
  <c r="AF493" i="162"/>
  <c r="AM493" i="162"/>
  <c r="AF494" i="162"/>
  <c r="AM494" i="162"/>
  <c r="AF495" i="162"/>
  <c r="AM495" i="162"/>
  <c r="AF496" i="162"/>
  <c r="AM496" i="162"/>
  <c r="AF497" i="162"/>
  <c r="AM497" i="162"/>
  <c r="AF498" i="162"/>
  <c r="AM498" i="162"/>
  <c r="AF499" i="162"/>
  <c r="AM499" i="162"/>
  <c r="AF500" i="162"/>
  <c r="AI500" i="162"/>
  <c r="AM500" i="162"/>
  <c r="AF501" i="162"/>
  <c r="AM501" i="162"/>
  <c r="AF502" i="162"/>
  <c r="AM502" i="162"/>
  <c r="AF503" i="162"/>
  <c r="AM503" i="162"/>
  <c r="AF504" i="162"/>
  <c r="AM504" i="162"/>
  <c r="AF505" i="162"/>
  <c r="AM505" i="162"/>
  <c r="AF506" i="162"/>
  <c r="AM506" i="162"/>
  <c r="AF507" i="162"/>
  <c r="AM507" i="162"/>
  <c r="AF508" i="162"/>
  <c r="AM508" i="162"/>
  <c r="AF509" i="162"/>
  <c r="AM509" i="162"/>
  <c r="AF510" i="162"/>
  <c r="AM510" i="162"/>
  <c r="AF511" i="162"/>
  <c r="AM511" i="162"/>
  <c r="AF512" i="162"/>
  <c r="AM512" i="162"/>
  <c r="AF513" i="162"/>
  <c r="AM513" i="162"/>
  <c r="AF514" i="162"/>
  <c r="AM514" i="162"/>
  <c r="AF515" i="162"/>
  <c r="AM515" i="162"/>
  <c r="AF516" i="162"/>
  <c r="AM516" i="162"/>
  <c r="AF517" i="162"/>
  <c r="AM517" i="162"/>
  <c r="AF518" i="162"/>
  <c r="AI518" i="162"/>
  <c r="AJ518" i="162"/>
  <c r="AM518" i="162"/>
  <c r="AF519" i="162"/>
  <c r="AM519" i="162"/>
  <c r="AF520" i="162"/>
  <c r="AM520" i="162"/>
  <c r="AF521" i="162"/>
  <c r="AM521" i="162"/>
  <c r="AF522" i="162"/>
  <c r="AM522" i="162"/>
  <c r="AF523" i="162"/>
  <c r="AM523" i="162"/>
  <c r="AF524" i="162"/>
  <c r="AM524" i="162"/>
  <c r="AF525" i="162"/>
  <c r="AM525" i="162"/>
  <c r="AF526" i="162"/>
  <c r="AM526" i="162"/>
  <c r="AF527" i="162"/>
  <c r="AM527" i="162"/>
  <c r="AF528" i="162"/>
  <c r="AM528" i="162"/>
  <c r="AF529" i="162"/>
  <c r="AM529" i="162"/>
  <c r="AF530" i="162"/>
  <c r="AM530" i="162"/>
  <c r="AF531" i="162"/>
  <c r="AM531" i="162"/>
  <c r="AF532" i="162"/>
  <c r="AI532" i="162"/>
  <c r="AM532" i="162"/>
  <c r="AF533" i="162"/>
  <c r="AM533" i="162"/>
  <c r="AF534" i="162"/>
  <c r="AM534" i="162"/>
  <c r="AF535" i="162"/>
  <c r="AM535" i="162"/>
  <c r="AF536" i="162"/>
  <c r="AI536" i="162"/>
  <c r="AM536" i="162"/>
  <c r="AF537" i="162"/>
  <c r="AM537" i="162"/>
  <c r="AF538" i="162"/>
  <c r="AM538" i="162"/>
  <c r="AF539" i="162"/>
  <c r="AM539" i="162"/>
  <c r="AF540" i="162"/>
  <c r="AM540" i="162"/>
  <c r="AF541" i="162"/>
  <c r="AM541" i="162"/>
  <c r="AF542" i="162"/>
  <c r="AM542" i="162"/>
  <c r="AF543" i="162"/>
  <c r="AM543" i="162"/>
  <c r="AF544" i="162"/>
  <c r="AM544" i="162"/>
  <c r="AI355" i="162"/>
  <c r="AJ355" i="162" s="1"/>
  <c r="AJ537" i="162" s="1"/>
  <c r="AL355" i="162"/>
  <c r="AL537" i="162" s="1"/>
  <c r="AN355" i="162"/>
  <c r="AI356" i="162"/>
  <c r="AJ356" i="162" s="1"/>
  <c r="AJ538" i="162" s="1"/>
  <c r="AL356" i="162"/>
  <c r="AL538" i="162" s="1"/>
  <c r="AN356" i="162"/>
  <c r="AI357" i="162"/>
  <c r="AL357" i="162"/>
  <c r="AL539" i="162" s="1"/>
  <c r="AN357" i="162"/>
  <c r="AI358" i="162"/>
  <c r="AL358" i="162"/>
  <c r="AL540" i="162" s="1"/>
  <c r="AN358" i="162"/>
  <c r="AI359" i="162"/>
  <c r="AI541" i="162" s="1"/>
  <c r="AL359" i="162"/>
  <c r="AL541" i="162" s="1"/>
  <c r="AN359" i="162"/>
  <c r="AI360" i="162"/>
  <c r="AI542" i="162" s="1"/>
  <c r="AL360" i="162"/>
  <c r="AL542" i="162" s="1"/>
  <c r="AN360" i="162"/>
  <c r="AI361" i="162"/>
  <c r="AJ361" i="162" s="1"/>
  <c r="AJ543" i="162" s="1"/>
  <c r="AL361" i="162"/>
  <c r="AL543" i="162" s="1"/>
  <c r="AN361" i="162"/>
  <c r="AI362" i="162"/>
  <c r="AI544" i="162" s="1"/>
  <c r="AL362" i="162"/>
  <c r="AL544" i="162" s="1"/>
  <c r="AN362" i="162"/>
  <c r="AI308" i="162"/>
  <c r="AJ308" i="162" s="1"/>
  <c r="AJ490" i="162" s="1"/>
  <c r="AL308" i="162"/>
  <c r="AL490" i="162" s="1"/>
  <c r="AN308" i="162"/>
  <c r="AI309" i="162"/>
  <c r="AI491" i="162" s="1"/>
  <c r="AL309" i="162"/>
  <c r="AL491" i="162" s="1"/>
  <c r="AN309" i="162"/>
  <c r="AI310" i="162"/>
  <c r="AJ310" i="162" s="1"/>
  <c r="AJ492" i="162" s="1"/>
  <c r="AL310" i="162"/>
  <c r="AL492" i="162" s="1"/>
  <c r="AN310" i="162"/>
  <c r="AI311" i="162"/>
  <c r="AL311" i="162"/>
  <c r="AL493" i="162" s="1"/>
  <c r="AN311" i="162"/>
  <c r="AI312" i="162"/>
  <c r="AL312" i="162"/>
  <c r="AL494" i="162" s="1"/>
  <c r="AN312" i="162"/>
  <c r="AI313" i="162"/>
  <c r="AI495" i="162" s="1"/>
  <c r="AJ313" i="162"/>
  <c r="AJ495" i="162" s="1"/>
  <c r="AL313" i="162"/>
  <c r="AL495" i="162" s="1"/>
  <c r="AN313" i="162"/>
  <c r="AI314" i="162"/>
  <c r="AI496" i="162" s="1"/>
  <c r="AL314" i="162"/>
  <c r="AL496" i="162" s="1"/>
  <c r="AN314" i="162"/>
  <c r="AI315" i="162"/>
  <c r="AL315" i="162"/>
  <c r="AL497" i="162" s="1"/>
  <c r="AN315" i="162"/>
  <c r="AI316" i="162"/>
  <c r="AJ316" i="162" s="1"/>
  <c r="AJ498" i="162" s="1"/>
  <c r="AL316" i="162"/>
  <c r="AL498" i="162" s="1"/>
  <c r="AN316" i="162"/>
  <c r="AI317" i="162"/>
  <c r="AI499" i="162" s="1"/>
  <c r="AL317" i="162"/>
  <c r="AL499" i="162" s="1"/>
  <c r="AN317" i="162"/>
  <c r="AI318" i="162"/>
  <c r="AJ318" i="162" s="1"/>
  <c r="AJ500" i="162" s="1"/>
  <c r="AL318" i="162"/>
  <c r="AL500" i="162" s="1"/>
  <c r="AN318" i="162"/>
  <c r="AI319" i="162"/>
  <c r="AI501" i="162" s="1"/>
  <c r="AJ319" i="162"/>
  <c r="AJ501" i="162" s="1"/>
  <c r="AL319" i="162"/>
  <c r="AL501" i="162" s="1"/>
  <c r="AN319" i="162"/>
  <c r="AI320" i="162"/>
  <c r="AL320" i="162"/>
  <c r="AL502" i="162" s="1"/>
  <c r="AN320" i="162"/>
  <c r="AI321" i="162"/>
  <c r="AL321" i="162"/>
  <c r="AL503" i="162" s="1"/>
  <c r="AN321" i="162"/>
  <c r="AI322" i="162"/>
  <c r="AJ322" i="162" s="1"/>
  <c r="AJ504" i="162" s="1"/>
  <c r="AL322" i="162"/>
  <c r="AL504" i="162" s="1"/>
  <c r="AN322" i="162"/>
  <c r="AI323" i="162"/>
  <c r="AI505" i="162" s="1"/>
  <c r="AL323" i="162"/>
  <c r="AL505" i="162" s="1"/>
  <c r="AN323" i="162"/>
  <c r="AI324" i="162"/>
  <c r="AJ324" i="162" s="1"/>
  <c r="AJ506" i="162" s="1"/>
  <c r="AL324" i="162"/>
  <c r="AL506" i="162" s="1"/>
  <c r="AN324" i="162"/>
  <c r="AI325" i="162"/>
  <c r="AL325" i="162"/>
  <c r="AL507" i="162" s="1"/>
  <c r="AN325" i="162"/>
  <c r="AI326" i="162"/>
  <c r="AI508" i="162" s="1"/>
  <c r="AL326" i="162"/>
  <c r="AL508" i="162" s="1"/>
  <c r="AN326" i="162"/>
  <c r="AI327" i="162"/>
  <c r="AL327" i="162"/>
  <c r="AL509" i="162" s="1"/>
  <c r="AN327" i="162"/>
  <c r="AI328" i="162"/>
  <c r="AJ328" i="162" s="1"/>
  <c r="AJ510" i="162" s="1"/>
  <c r="AL328" i="162"/>
  <c r="AL510" i="162" s="1"/>
  <c r="AN328" i="162"/>
  <c r="AI329" i="162"/>
  <c r="AJ329" i="162" s="1"/>
  <c r="AJ511" i="162" s="1"/>
  <c r="AL329" i="162"/>
  <c r="AL511" i="162" s="1"/>
  <c r="AN329" i="162"/>
  <c r="AI330" i="162"/>
  <c r="AI512" i="162" s="1"/>
  <c r="AL330" i="162"/>
  <c r="AL512" i="162" s="1"/>
  <c r="AN330" i="162"/>
  <c r="AI331" i="162"/>
  <c r="AL331" i="162"/>
  <c r="AL513" i="162" s="1"/>
  <c r="AN331" i="162"/>
  <c r="AI332" i="162"/>
  <c r="AI514" i="162" s="1"/>
  <c r="AL332" i="162"/>
  <c r="AL514" i="162" s="1"/>
  <c r="AN332" i="162"/>
  <c r="AI333" i="162"/>
  <c r="AL333" i="162"/>
  <c r="AL515" i="162" s="1"/>
  <c r="AN333" i="162"/>
  <c r="AI334" i="162"/>
  <c r="AJ334" i="162" s="1"/>
  <c r="AJ516" i="162" s="1"/>
  <c r="AL334" i="162"/>
  <c r="AL516" i="162" s="1"/>
  <c r="AN334" i="162"/>
  <c r="AI335" i="162"/>
  <c r="AI517" i="162" s="1"/>
  <c r="AL335" i="162"/>
  <c r="AL517" i="162" s="1"/>
  <c r="AN335" i="162"/>
  <c r="AI336" i="162"/>
  <c r="AJ336" i="162" s="1"/>
  <c r="AL336" i="162"/>
  <c r="AL518" i="162" s="1"/>
  <c r="AN336" i="162"/>
  <c r="AI337" i="162"/>
  <c r="AI519" i="162" s="1"/>
  <c r="AJ337" i="162"/>
  <c r="AJ519" i="162" s="1"/>
  <c r="AL337" i="162"/>
  <c r="AL519" i="162" s="1"/>
  <c r="AN337" i="162"/>
  <c r="AI338" i="162"/>
  <c r="AL338" i="162"/>
  <c r="AL520" i="162" s="1"/>
  <c r="AN338" i="162"/>
  <c r="AI339" i="162"/>
  <c r="AL339" i="162"/>
  <c r="AL521" i="162" s="1"/>
  <c r="AN339" i="162"/>
  <c r="AI340" i="162"/>
  <c r="AJ340" i="162" s="1"/>
  <c r="AJ522" i="162" s="1"/>
  <c r="AL340" i="162"/>
  <c r="AL522" i="162" s="1"/>
  <c r="AN340" i="162"/>
  <c r="AI341" i="162"/>
  <c r="AJ341" i="162" s="1"/>
  <c r="AJ523" i="162" s="1"/>
  <c r="AL341" i="162"/>
  <c r="AL523" i="162" s="1"/>
  <c r="AN341" i="162"/>
  <c r="AI342" i="162"/>
  <c r="AI524" i="162" s="1"/>
  <c r="AL342" i="162"/>
  <c r="AL524" i="162" s="1"/>
  <c r="AN342" i="162"/>
  <c r="AI343" i="162"/>
  <c r="AI525" i="162" s="1"/>
  <c r="AL343" i="162"/>
  <c r="AL525" i="162" s="1"/>
  <c r="AN343" i="162"/>
  <c r="AI344" i="162"/>
  <c r="AJ344" i="162" s="1"/>
  <c r="AJ526" i="162" s="1"/>
  <c r="AL344" i="162"/>
  <c r="AL526" i="162" s="1"/>
  <c r="AN344" i="162"/>
  <c r="AI345" i="162"/>
  <c r="AL345" i="162"/>
  <c r="AL527" i="162" s="1"/>
  <c r="AN345" i="162"/>
  <c r="AI346" i="162"/>
  <c r="AJ346" i="162" s="1"/>
  <c r="AJ528" i="162" s="1"/>
  <c r="AL346" i="162"/>
  <c r="AL528" i="162" s="1"/>
  <c r="AN346" i="162"/>
  <c r="AI347" i="162"/>
  <c r="AL347" i="162"/>
  <c r="AL529" i="162" s="1"/>
  <c r="AN347" i="162"/>
  <c r="AI348" i="162"/>
  <c r="AJ348" i="162" s="1"/>
  <c r="AJ530" i="162" s="1"/>
  <c r="AL348" i="162"/>
  <c r="AL530" i="162" s="1"/>
  <c r="AN348" i="162"/>
  <c r="AI349" i="162"/>
  <c r="AJ349" i="162" s="1"/>
  <c r="AJ531" i="162" s="1"/>
  <c r="AL349" i="162"/>
  <c r="AL531" i="162" s="1"/>
  <c r="AN349" i="162"/>
  <c r="AI350" i="162"/>
  <c r="AJ350" i="162" s="1"/>
  <c r="AJ532" i="162" s="1"/>
  <c r="AL350" i="162"/>
  <c r="AL532" i="162" s="1"/>
  <c r="AN350" i="162"/>
  <c r="AI351" i="162"/>
  <c r="AL351" i="162"/>
  <c r="AL533" i="162" s="1"/>
  <c r="AN351" i="162"/>
  <c r="AI352" i="162"/>
  <c r="AJ352" i="162" s="1"/>
  <c r="AJ534" i="162" s="1"/>
  <c r="AL352" i="162"/>
  <c r="AL534" i="162" s="1"/>
  <c r="AN352" i="162"/>
  <c r="AI353" i="162"/>
  <c r="AI535" i="162" s="1"/>
  <c r="AJ353" i="162"/>
  <c r="AJ535" i="162" s="1"/>
  <c r="AL353" i="162"/>
  <c r="AL535" i="162" s="1"/>
  <c r="AN353" i="162"/>
  <c r="AI354" i="162"/>
  <c r="AJ354" i="162" s="1"/>
  <c r="AJ536" i="162" s="1"/>
  <c r="AL354" i="162"/>
  <c r="AL536" i="162" s="1"/>
  <c r="AN354" i="162"/>
  <c r="AI188" i="162"/>
  <c r="AI187" i="162"/>
  <c r="AI186" i="162"/>
  <c r="AI206" i="162"/>
  <c r="AL206" i="162"/>
  <c r="AL388" i="162" s="1"/>
  <c r="AN206" i="162"/>
  <c r="AI207" i="162"/>
  <c r="AJ207" i="162" s="1"/>
  <c r="AJ389" i="162" s="1"/>
  <c r="AL207" i="162"/>
  <c r="AL389" i="162" s="1"/>
  <c r="AN207" i="162"/>
  <c r="AI208" i="162"/>
  <c r="AL208" i="162"/>
  <c r="AL390" i="162" s="1"/>
  <c r="AN208" i="162"/>
  <c r="AI209" i="162"/>
  <c r="AI391" i="162" s="1"/>
  <c r="AL209" i="162"/>
  <c r="AL391" i="162" s="1"/>
  <c r="AN209" i="162"/>
  <c r="AI210" i="162"/>
  <c r="AJ210" i="162" s="1"/>
  <c r="AJ392" i="162" s="1"/>
  <c r="AL210" i="162"/>
  <c r="AL392" i="162" s="1"/>
  <c r="AN210" i="162"/>
  <c r="AI211" i="162"/>
  <c r="AL211" i="162"/>
  <c r="AL393" i="162" s="1"/>
  <c r="AN211" i="162"/>
  <c r="AI212" i="162"/>
  <c r="AL212" i="162"/>
  <c r="AL394" i="162" s="1"/>
  <c r="AN212" i="162"/>
  <c r="AI213" i="162"/>
  <c r="AJ213" i="162" s="1"/>
  <c r="AJ395" i="162" s="1"/>
  <c r="AL213" i="162"/>
  <c r="AL395" i="162" s="1"/>
  <c r="AN213" i="162"/>
  <c r="AI214" i="162"/>
  <c r="AL214" i="162"/>
  <c r="AL396" i="162" s="1"/>
  <c r="AN214" i="162"/>
  <c r="AI215" i="162"/>
  <c r="AL215" i="162"/>
  <c r="AL397" i="162" s="1"/>
  <c r="AN215" i="162"/>
  <c r="AI216" i="162"/>
  <c r="AI398" i="162" s="1"/>
  <c r="AL216" i="162"/>
  <c r="AL398" i="162" s="1"/>
  <c r="AN216" i="162"/>
  <c r="AI217" i="162"/>
  <c r="AL217" i="162"/>
  <c r="AL399" i="162" s="1"/>
  <c r="AN217" i="162"/>
  <c r="AI218" i="162"/>
  <c r="AL218" i="162"/>
  <c r="AL400" i="162" s="1"/>
  <c r="AN218" i="162"/>
  <c r="AI219" i="162"/>
  <c r="AL219" i="162"/>
  <c r="AL401" i="162" s="1"/>
  <c r="AN219" i="162"/>
  <c r="AI220" i="162"/>
  <c r="AL220" i="162"/>
  <c r="AL402" i="162" s="1"/>
  <c r="AN220" i="162"/>
  <c r="AI221" i="162"/>
  <c r="AL221" i="162"/>
  <c r="AL403" i="162" s="1"/>
  <c r="AN221" i="162"/>
  <c r="AI222" i="162"/>
  <c r="AJ222" i="162" s="1"/>
  <c r="AJ404" i="162" s="1"/>
  <c r="AL222" i="162"/>
  <c r="AL404" i="162" s="1"/>
  <c r="AN222" i="162"/>
  <c r="AI223" i="162"/>
  <c r="AJ223" i="162" s="1"/>
  <c r="AJ405" i="162" s="1"/>
  <c r="AL223" i="162"/>
  <c r="AL405" i="162" s="1"/>
  <c r="AN223" i="162"/>
  <c r="AI224" i="162"/>
  <c r="AL224" i="162"/>
  <c r="AL406" i="162" s="1"/>
  <c r="AN224" i="162"/>
  <c r="AI225" i="162"/>
  <c r="AL225" i="162"/>
  <c r="AL407" i="162" s="1"/>
  <c r="AN225" i="162"/>
  <c r="AI226" i="162"/>
  <c r="AL226" i="162"/>
  <c r="AL408" i="162" s="1"/>
  <c r="AN226" i="162"/>
  <c r="AI227" i="162"/>
  <c r="AL227" i="162"/>
  <c r="AL409" i="162" s="1"/>
  <c r="AN227" i="162"/>
  <c r="AI228" i="162"/>
  <c r="AI410" i="162" s="1"/>
  <c r="AL228" i="162"/>
  <c r="AL410" i="162" s="1"/>
  <c r="AN228" i="162"/>
  <c r="AI229" i="162"/>
  <c r="AJ229" i="162" s="1"/>
  <c r="AJ411" i="162" s="1"/>
  <c r="AL229" i="162"/>
  <c r="AL411" i="162" s="1"/>
  <c r="AN229" i="162"/>
  <c r="AI230" i="162"/>
  <c r="AL230" i="162"/>
  <c r="AL412" i="162" s="1"/>
  <c r="AN230" i="162"/>
  <c r="AI231" i="162"/>
  <c r="AL231" i="162"/>
  <c r="AL413" i="162" s="1"/>
  <c r="AN231" i="162"/>
  <c r="AI232" i="162"/>
  <c r="AL232" i="162"/>
  <c r="AL414" i="162" s="1"/>
  <c r="AN232" i="162"/>
  <c r="AI233" i="162"/>
  <c r="AI415" i="162" s="1"/>
  <c r="AJ233" i="162"/>
  <c r="AJ415" i="162" s="1"/>
  <c r="AL233" i="162"/>
  <c r="AL415" i="162" s="1"/>
  <c r="AN233" i="162"/>
  <c r="AI234" i="162"/>
  <c r="AJ234" i="162" s="1"/>
  <c r="AL234" i="162"/>
  <c r="AL416" i="162" s="1"/>
  <c r="AN234" i="162"/>
  <c r="AI235" i="162"/>
  <c r="AJ235" i="162" s="1"/>
  <c r="AJ417" i="162" s="1"/>
  <c r="AL235" i="162"/>
  <c r="AL417" i="162" s="1"/>
  <c r="AN235" i="162"/>
  <c r="AI236" i="162"/>
  <c r="AI418" i="162" s="1"/>
  <c r="AL236" i="162"/>
  <c r="AL418" i="162" s="1"/>
  <c r="AN236" i="162"/>
  <c r="AI237" i="162"/>
  <c r="AL237" i="162"/>
  <c r="AL419" i="162" s="1"/>
  <c r="AN237" i="162"/>
  <c r="AI238" i="162"/>
  <c r="AL238" i="162"/>
  <c r="AL420" i="162" s="1"/>
  <c r="AN238" i="162"/>
  <c r="AI239" i="162"/>
  <c r="AL239" i="162"/>
  <c r="AL421" i="162" s="1"/>
  <c r="AN239" i="162"/>
  <c r="AI240" i="162"/>
  <c r="AL240" i="162"/>
  <c r="AL422" i="162" s="1"/>
  <c r="AN240" i="162"/>
  <c r="AI241" i="162"/>
  <c r="AJ241" i="162" s="1"/>
  <c r="AJ423" i="162" s="1"/>
  <c r="AL241" i="162"/>
  <c r="AL423" i="162" s="1"/>
  <c r="AN241" i="162"/>
  <c r="AI242" i="162"/>
  <c r="AJ242" i="162" s="1"/>
  <c r="AJ424" i="162" s="1"/>
  <c r="AL242" i="162"/>
  <c r="AL424" i="162" s="1"/>
  <c r="AN242" i="162"/>
  <c r="AI243" i="162"/>
  <c r="AL243" i="162"/>
  <c r="AL425" i="162" s="1"/>
  <c r="AN243" i="162"/>
  <c r="AI244" i="162"/>
  <c r="AL244" i="162"/>
  <c r="AL426" i="162" s="1"/>
  <c r="AN244" i="162"/>
  <c r="AI245" i="162"/>
  <c r="AL245" i="162"/>
  <c r="AL427" i="162" s="1"/>
  <c r="AN245" i="162"/>
  <c r="AI246" i="162"/>
  <c r="AL246" i="162"/>
  <c r="AL428" i="162" s="1"/>
  <c r="AN246" i="162"/>
  <c r="AI247" i="162"/>
  <c r="AJ247" i="162" s="1"/>
  <c r="AJ429" i="162" s="1"/>
  <c r="AL247" i="162"/>
  <c r="AL429" i="162" s="1"/>
  <c r="AN247" i="162"/>
  <c r="AI248" i="162"/>
  <c r="AI430" i="162" s="1"/>
  <c r="AL248" i="162"/>
  <c r="AL430" i="162" s="1"/>
  <c r="AN248" i="162"/>
  <c r="AI249" i="162"/>
  <c r="AI431" i="162" s="1"/>
  <c r="AL249" i="162"/>
  <c r="AL431" i="162" s="1"/>
  <c r="AN249" i="162"/>
  <c r="AI250" i="162"/>
  <c r="AL250" i="162"/>
  <c r="AL432" i="162" s="1"/>
  <c r="AN250" i="162"/>
  <c r="AI251" i="162"/>
  <c r="AL251" i="162"/>
  <c r="AL433" i="162" s="1"/>
  <c r="AN251" i="162"/>
  <c r="AI252" i="162"/>
  <c r="AI434" i="162" s="1"/>
  <c r="AJ252" i="162"/>
  <c r="AJ434" i="162" s="1"/>
  <c r="AL252" i="162"/>
  <c r="AL434" i="162" s="1"/>
  <c r="AN252" i="162"/>
  <c r="AI253" i="162"/>
  <c r="AJ253" i="162" s="1"/>
  <c r="AJ435" i="162" s="1"/>
  <c r="AL253" i="162"/>
  <c r="AL435" i="162" s="1"/>
  <c r="AN253" i="162"/>
  <c r="AI254" i="162"/>
  <c r="AJ254" i="162" s="1"/>
  <c r="AJ436" i="162" s="1"/>
  <c r="AL254" i="162"/>
  <c r="AL436" i="162" s="1"/>
  <c r="AN254" i="162"/>
  <c r="AI255" i="162"/>
  <c r="AL255" i="162"/>
  <c r="AL437" i="162" s="1"/>
  <c r="AN255" i="162"/>
  <c r="AI256" i="162"/>
  <c r="AL256" i="162"/>
  <c r="AL438" i="162" s="1"/>
  <c r="AN256" i="162"/>
  <c r="AI257" i="162"/>
  <c r="AL257" i="162"/>
  <c r="AL439" i="162" s="1"/>
  <c r="AN257" i="162"/>
  <c r="AI258" i="162"/>
  <c r="AL258" i="162"/>
  <c r="AL440" i="162" s="1"/>
  <c r="AN258" i="162"/>
  <c r="AI259" i="162"/>
  <c r="AL259" i="162"/>
  <c r="AL441" i="162" s="1"/>
  <c r="AN259" i="162"/>
  <c r="AI260" i="162"/>
  <c r="AJ260" i="162" s="1"/>
  <c r="AJ442" i="162" s="1"/>
  <c r="AL260" i="162"/>
  <c r="AL442" i="162" s="1"/>
  <c r="AN260" i="162"/>
  <c r="AI261" i="162"/>
  <c r="AI443" i="162" s="1"/>
  <c r="AJ261" i="162"/>
  <c r="AJ443" i="162" s="1"/>
  <c r="AL261" i="162"/>
  <c r="AL443" i="162" s="1"/>
  <c r="AN261" i="162"/>
  <c r="AI262" i="162"/>
  <c r="AJ262" i="162" s="1"/>
  <c r="AJ444" i="162" s="1"/>
  <c r="AL262" i="162"/>
  <c r="AL444" i="162" s="1"/>
  <c r="AN262" i="162"/>
  <c r="AI263" i="162"/>
  <c r="AL263" i="162"/>
  <c r="AL445" i="162" s="1"/>
  <c r="AN263" i="162"/>
  <c r="AI264" i="162"/>
  <c r="AI446" i="162" s="1"/>
  <c r="AL264" i="162"/>
  <c r="AL446" i="162" s="1"/>
  <c r="AN264" i="162"/>
  <c r="AI265" i="162"/>
  <c r="AL265" i="162"/>
  <c r="AL447" i="162" s="1"/>
  <c r="AN265" i="162"/>
  <c r="AI266" i="162"/>
  <c r="AJ266" i="162" s="1"/>
  <c r="AJ448" i="162" s="1"/>
  <c r="AL266" i="162"/>
  <c r="AL448" i="162" s="1"/>
  <c r="AN266" i="162"/>
  <c r="AI267" i="162"/>
  <c r="AL267" i="162"/>
  <c r="AL449" i="162" s="1"/>
  <c r="AN267" i="162"/>
  <c r="AI268" i="162"/>
  <c r="AJ268" i="162" s="1"/>
  <c r="AJ450" i="162" s="1"/>
  <c r="AL268" i="162"/>
  <c r="AL450" i="162" s="1"/>
  <c r="AN268" i="162"/>
  <c r="AI269" i="162"/>
  <c r="AI451" i="162" s="1"/>
  <c r="AL269" i="162"/>
  <c r="AL451" i="162" s="1"/>
  <c r="AN269" i="162"/>
  <c r="AI270" i="162"/>
  <c r="AL270" i="162"/>
  <c r="AL452" i="162" s="1"/>
  <c r="AN270" i="162"/>
  <c r="AI271" i="162"/>
  <c r="AL271" i="162"/>
  <c r="AL453" i="162" s="1"/>
  <c r="AN271" i="162"/>
  <c r="AI272" i="162"/>
  <c r="AL272" i="162"/>
  <c r="AL454" i="162" s="1"/>
  <c r="AN272" i="162"/>
  <c r="AI273" i="162"/>
  <c r="AI455" i="162" s="1"/>
  <c r="AL273" i="162"/>
  <c r="AL455" i="162" s="1"/>
  <c r="AN273" i="162"/>
  <c r="AI274" i="162"/>
  <c r="AJ274" i="162" s="1"/>
  <c r="AJ456" i="162" s="1"/>
  <c r="AL274" i="162"/>
  <c r="AL456" i="162" s="1"/>
  <c r="AN274" i="162"/>
  <c r="AI275" i="162"/>
  <c r="AJ275" i="162" s="1"/>
  <c r="AJ457" i="162" s="1"/>
  <c r="AL275" i="162"/>
  <c r="AL457" i="162" s="1"/>
  <c r="AN275" i="162"/>
  <c r="AI276" i="162"/>
  <c r="AL276" i="162"/>
  <c r="AL458" i="162" s="1"/>
  <c r="AN276" i="162"/>
  <c r="AI277" i="162"/>
  <c r="AL277" i="162"/>
  <c r="AL459" i="162" s="1"/>
  <c r="AN277" i="162"/>
  <c r="AI278" i="162"/>
  <c r="AJ278" i="162" s="1"/>
  <c r="AJ460" i="162" s="1"/>
  <c r="AL278" i="162"/>
  <c r="AL460" i="162" s="1"/>
  <c r="AN278" i="162"/>
  <c r="AI279" i="162"/>
  <c r="AL279" i="162"/>
  <c r="AL461" i="162" s="1"/>
  <c r="AN279" i="162"/>
  <c r="AI280" i="162"/>
  <c r="AI462" i="162" s="1"/>
  <c r="AL280" i="162"/>
  <c r="AL462" i="162" s="1"/>
  <c r="AN280" i="162"/>
  <c r="AI281" i="162"/>
  <c r="AJ281" i="162" s="1"/>
  <c r="AJ463" i="162" s="1"/>
  <c r="AL281" i="162"/>
  <c r="AL463" i="162" s="1"/>
  <c r="AN281" i="162"/>
  <c r="AI282" i="162"/>
  <c r="AJ282" i="162" s="1"/>
  <c r="AJ464" i="162" s="1"/>
  <c r="AL282" i="162"/>
  <c r="AL464" i="162" s="1"/>
  <c r="AN282" i="162"/>
  <c r="AI283" i="162"/>
  <c r="AL283" i="162"/>
  <c r="AL465" i="162" s="1"/>
  <c r="AN283" i="162"/>
  <c r="AI284" i="162"/>
  <c r="AJ284" i="162" s="1"/>
  <c r="AJ466" i="162" s="1"/>
  <c r="AL284" i="162"/>
  <c r="AL466" i="162" s="1"/>
  <c r="AN284" i="162"/>
  <c r="AI285" i="162"/>
  <c r="AJ285" i="162" s="1"/>
  <c r="AJ467" i="162" s="1"/>
  <c r="AL285" i="162"/>
  <c r="AL467" i="162" s="1"/>
  <c r="AN285" i="162"/>
  <c r="AI286" i="162"/>
  <c r="AL286" i="162"/>
  <c r="AL468" i="162" s="1"/>
  <c r="AN286" i="162"/>
  <c r="AI287" i="162"/>
  <c r="AJ287" i="162" s="1"/>
  <c r="AJ469" i="162" s="1"/>
  <c r="AL287" i="162"/>
  <c r="AL469" i="162" s="1"/>
  <c r="AN287" i="162"/>
  <c r="AI288" i="162"/>
  <c r="AJ288" i="162" s="1"/>
  <c r="AJ470" i="162" s="1"/>
  <c r="AL288" i="162"/>
  <c r="AL470" i="162" s="1"/>
  <c r="AN288" i="162"/>
  <c r="AI289" i="162"/>
  <c r="AL289" i="162"/>
  <c r="AL471" i="162" s="1"/>
  <c r="AN289" i="162"/>
  <c r="AI290" i="162"/>
  <c r="AL290" i="162"/>
  <c r="AL472" i="162" s="1"/>
  <c r="AN290" i="162"/>
  <c r="AI291" i="162"/>
  <c r="AL291" i="162"/>
  <c r="AL473" i="162" s="1"/>
  <c r="AN291" i="162"/>
  <c r="AI292" i="162"/>
  <c r="AI474" i="162" s="1"/>
  <c r="AL292" i="162"/>
  <c r="AL474" i="162" s="1"/>
  <c r="AN292" i="162"/>
  <c r="AI293" i="162"/>
  <c r="AI475" i="162" s="1"/>
  <c r="AJ293" i="162"/>
  <c r="AJ475" i="162" s="1"/>
  <c r="AL293" i="162"/>
  <c r="AL475" i="162" s="1"/>
  <c r="AN293" i="162"/>
  <c r="AI294" i="162"/>
  <c r="AL294" i="162"/>
  <c r="AL476" i="162" s="1"/>
  <c r="AN294" i="162"/>
  <c r="AI295" i="162"/>
  <c r="AL295" i="162"/>
  <c r="AL477" i="162" s="1"/>
  <c r="AN295" i="162"/>
  <c r="AI296" i="162"/>
  <c r="AI478" i="162" s="1"/>
  <c r="AJ296" i="162"/>
  <c r="AJ478" i="162" s="1"/>
  <c r="AL296" i="162"/>
  <c r="AL478" i="162" s="1"/>
  <c r="AN296" i="162"/>
  <c r="AI297" i="162"/>
  <c r="AJ297" i="162" s="1"/>
  <c r="AJ479" i="162" s="1"/>
  <c r="AL297" i="162"/>
  <c r="AL479" i="162" s="1"/>
  <c r="AN297" i="162"/>
  <c r="AI298" i="162"/>
  <c r="AL298" i="162"/>
  <c r="AL480" i="162" s="1"/>
  <c r="AN298" i="162"/>
  <c r="AI299" i="162"/>
  <c r="AJ299" i="162" s="1"/>
  <c r="AJ481" i="162" s="1"/>
  <c r="AL299" i="162"/>
  <c r="AL481" i="162" s="1"/>
  <c r="AN299" i="162"/>
  <c r="AI300" i="162"/>
  <c r="AJ300" i="162" s="1"/>
  <c r="AJ482" i="162" s="1"/>
  <c r="AL300" i="162"/>
  <c r="AL482" i="162" s="1"/>
  <c r="AN300" i="162"/>
  <c r="AI301" i="162"/>
  <c r="AI483" i="162" s="1"/>
  <c r="AJ301" i="162"/>
  <c r="AJ483" i="162" s="1"/>
  <c r="AL301" i="162"/>
  <c r="AL483" i="162" s="1"/>
  <c r="AN301" i="162"/>
  <c r="AI302" i="162"/>
  <c r="AL302" i="162"/>
  <c r="AL484" i="162" s="1"/>
  <c r="AN302" i="162"/>
  <c r="AI303" i="162"/>
  <c r="AL303" i="162"/>
  <c r="AL485" i="162" s="1"/>
  <c r="AN303" i="162"/>
  <c r="AI304" i="162"/>
  <c r="AI486" i="162" s="1"/>
  <c r="AL304" i="162"/>
  <c r="AL486" i="162" s="1"/>
  <c r="AN304" i="162"/>
  <c r="AI305" i="162"/>
  <c r="AI487" i="162" s="1"/>
  <c r="AJ305" i="162"/>
  <c r="AJ487" i="162" s="1"/>
  <c r="AL305" i="162"/>
  <c r="AL487" i="162" s="1"/>
  <c r="AN305" i="162"/>
  <c r="AI306" i="162"/>
  <c r="AL306" i="162"/>
  <c r="AL488" i="162" s="1"/>
  <c r="AN306" i="162"/>
  <c r="AI307" i="162"/>
  <c r="AL307" i="162"/>
  <c r="AL489" i="162" s="1"/>
  <c r="AN307" i="162"/>
  <c r="AJ73" i="158"/>
  <c r="AL73" i="158"/>
  <c r="AJ74" i="158"/>
  <c r="AL74" i="158"/>
  <c r="AJ75" i="158"/>
  <c r="AL75" i="158"/>
  <c r="AJ76" i="158"/>
  <c r="AL76" i="158"/>
  <c r="AJ77" i="158"/>
  <c r="AL77" i="158"/>
  <c r="AJ78" i="158"/>
  <c r="AL78" i="158"/>
  <c r="AJ79" i="158"/>
  <c r="AL79" i="158"/>
  <c r="AJ80" i="158"/>
  <c r="AL80" i="158"/>
  <c r="AJ81" i="158"/>
  <c r="AL81" i="158"/>
  <c r="AJ82" i="158"/>
  <c r="AL82" i="158"/>
  <c r="AJ83" i="158"/>
  <c r="AL83" i="158"/>
  <c r="AJ84" i="158"/>
  <c r="AL84" i="158"/>
  <c r="AJ85" i="158"/>
  <c r="AL85" i="158"/>
  <c r="AJ86" i="158"/>
  <c r="AL86" i="158"/>
  <c r="AJ87" i="158"/>
  <c r="AL87" i="158"/>
  <c r="AJ88" i="158"/>
  <c r="AL88" i="158"/>
  <c r="AE74" i="158"/>
  <c r="AF74" i="158"/>
  <c r="AG74" i="158"/>
  <c r="AI74" i="158"/>
  <c r="AE75" i="158"/>
  <c r="AF75" i="158"/>
  <c r="AG75" i="158"/>
  <c r="AI75" i="158"/>
  <c r="AE76" i="158"/>
  <c r="AF76" i="158"/>
  <c r="AG76" i="158"/>
  <c r="AK76" i="158" s="1"/>
  <c r="AI76" i="158"/>
  <c r="AE77" i="158"/>
  <c r="AF77" i="158"/>
  <c r="AG77" i="158"/>
  <c r="AH77" i="158"/>
  <c r="AI77" i="158"/>
  <c r="AE78" i="158"/>
  <c r="AF78" i="158"/>
  <c r="AG78" i="158"/>
  <c r="AK78" i="158" s="1"/>
  <c r="AI78" i="158"/>
  <c r="AE79" i="158"/>
  <c r="AF79" i="158"/>
  <c r="AG79" i="158"/>
  <c r="AK79" i="158" s="1"/>
  <c r="AI79" i="158"/>
  <c r="AE80" i="158"/>
  <c r="AF80" i="158"/>
  <c r="AG80" i="158"/>
  <c r="AI80" i="158"/>
  <c r="AE81" i="158"/>
  <c r="AF81" i="158"/>
  <c r="AG81" i="158"/>
  <c r="AI81" i="158"/>
  <c r="AE82" i="158"/>
  <c r="AF82" i="158"/>
  <c r="AG82" i="158"/>
  <c r="AI82" i="158"/>
  <c r="AE83" i="158"/>
  <c r="AF83" i="158"/>
  <c r="AG83" i="158"/>
  <c r="AI83" i="158"/>
  <c r="AE84" i="158"/>
  <c r="AF84" i="158"/>
  <c r="AG84" i="158"/>
  <c r="AK84" i="158" s="1"/>
  <c r="AI84" i="158"/>
  <c r="AE85" i="158"/>
  <c r="AF85" i="158"/>
  <c r="AG85" i="158"/>
  <c r="AI85" i="158"/>
  <c r="AE86" i="158"/>
  <c r="AF86" i="158"/>
  <c r="AG86" i="158"/>
  <c r="AK86" i="158" s="1"/>
  <c r="AI86" i="158"/>
  <c r="AE87" i="158"/>
  <c r="AF87" i="158"/>
  <c r="AG87" i="158"/>
  <c r="AH87" i="158"/>
  <c r="AI87" i="158"/>
  <c r="AE88" i="158"/>
  <c r="AF88" i="158"/>
  <c r="AG88" i="158"/>
  <c r="AH88" i="158"/>
  <c r="AI88" i="158"/>
  <c r="AC63" i="158"/>
  <c r="AH74" i="158"/>
  <c r="AK44" i="158"/>
  <c r="AH75" i="158"/>
  <c r="AK45" i="158"/>
  <c r="AH76" i="158"/>
  <c r="AK46" i="158"/>
  <c r="AK47" i="158"/>
  <c r="AH78" i="158"/>
  <c r="AK48" i="158"/>
  <c r="AH79" i="158"/>
  <c r="AK49" i="158"/>
  <c r="AH80" i="158"/>
  <c r="AK50" i="158"/>
  <c r="AH81" i="158"/>
  <c r="AK51" i="158"/>
  <c r="AH82" i="158"/>
  <c r="AK52" i="158"/>
  <c r="AH83" i="158"/>
  <c r="AK53" i="158"/>
  <c r="AH84" i="158"/>
  <c r="AK54" i="158"/>
  <c r="AH85" i="158"/>
  <c r="AK55" i="158"/>
  <c r="AH86" i="158"/>
  <c r="AK56" i="158"/>
  <c r="AK57" i="158"/>
  <c r="AK58" i="158"/>
  <c r="E79" i="163"/>
  <c r="D79" i="163"/>
  <c r="B83" i="163" s="1"/>
  <c r="C79" i="163"/>
  <c r="B79" i="163"/>
  <c r="W8" i="135"/>
  <c r="C20" i="154" s="1"/>
  <c r="V8" i="154"/>
  <c r="V9" i="154"/>
  <c r="V10" i="154"/>
  <c r="V11" i="154"/>
  <c r="V12" i="154"/>
  <c r="V13" i="154"/>
  <c r="V7" i="154"/>
  <c r="Q8" i="154"/>
  <c r="Q9" i="154"/>
  <c r="Q10" i="154"/>
  <c r="Q11" i="154"/>
  <c r="Q12" i="154"/>
  <c r="Q13" i="154"/>
  <c r="Q7" i="154"/>
  <c r="W10" i="135"/>
  <c r="Y10" i="135"/>
  <c r="L3" i="135"/>
  <c r="L4" i="135"/>
  <c r="L5" i="135"/>
  <c r="L6" i="135"/>
  <c r="L7" i="135"/>
  <c r="L8" i="135"/>
  <c r="L9" i="135"/>
  <c r="L10" i="135"/>
  <c r="L2" i="135"/>
  <c r="L12" i="135" s="1"/>
  <c r="J10" i="135"/>
  <c r="G70" i="135"/>
  <c r="C83" i="163" l="1"/>
  <c r="C84" i="163"/>
  <c r="C85" i="163"/>
  <c r="C86" i="163"/>
  <c r="C87" i="163"/>
  <c r="C88" i="163"/>
  <c r="C89" i="163"/>
  <c r="C90" i="163"/>
  <c r="B88" i="163"/>
  <c r="AK74" i="158"/>
  <c r="AK88" i="158"/>
  <c r="AK83" i="158"/>
  <c r="AK82" i="158"/>
  <c r="AK77" i="158"/>
  <c r="AK81" i="158"/>
  <c r="AK85" i="158"/>
  <c r="AK80" i="158"/>
  <c r="AN80" i="158" s="1"/>
  <c r="AP80" i="158" s="1"/>
  <c r="AK87" i="158"/>
  <c r="AK75" i="158"/>
  <c r="AC40" i="158"/>
  <c r="AC69" i="158"/>
  <c r="AC9" i="158"/>
  <c r="AN83" i="158"/>
  <c r="AQ83" i="158" s="1"/>
  <c r="AN75" i="158"/>
  <c r="AP75" i="158" s="1"/>
  <c r="AN81" i="158"/>
  <c r="BC81" i="158" s="1"/>
  <c r="AN77" i="158"/>
  <c r="AS77" i="158" s="1"/>
  <c r="AN85" i="158"/>
  <c r="AO85" i="158" s="1"/>
  <c r="AN87" i="158"/>
  <c r="BB81" i="158"/>
  <c r="AN88" i="158"/>
  <c r="BE88" i="158" s="1"/>
  <c r="AN76" i="158"/>
  <c r="AS76" i="158" s="1"/>
  <c r="AN82" i="158"/>
  <c r="AS82" i="158" s="1"/>
  <c r="AN84" i="158"/>
  <c r="AN79" i="158"/>
  <c r="AN86" i="158"/>
  <c r="AN74" i="158"/>
  <c r="BB74" i="158" s="1"/>
  <c r="AN78" i="158"/>
  <c r="BD75" i="158"/>
  <c r="AO75" i="158"/>
  <c r="AI526" i="162"/>
  <c r="AJ264" i="162"/>
  <c r="AJ446" i="162" s="1"/>
  <c r="AJ330" i="162"/>
  <c r="AJ512" i="162" s="1"/>
  <c r="AI435" i="162"/>
  <c r="AJ269" i="162"/>
  <c r="AJ451" i="162" s="1"/>
  <c r="AI395" i="162"/>
  <c r="AN482" i="162"/>
  <c r="AI467" i="162"/>
  <c r="AJ249" i="162"/>
  <c r="AJ431" i="162" s="1"/>
  <c r="AJ236" i="162"/>
  <c r="AJ418" i="162" s="1"/>
  <c r="AI442" i="162"/>
  <c r="AE25" i="162"/>
  <c r="AJ257" i="162"/>
  <c r="AJ439" i="162" s="1"/>
  <c r="AI439" i="162"/>
  <c r="AN517" i="162"/>
  <c r="AJ309" i="162"/>
  <c r="AJ491" i="162" s="1"/>
  <c r="AJ314" i="162"/>
  <c r="AJ496" i="162" s="1"/>
  <c r="AJ228" i="162"/>
  <c r="AJ410" i="162" s="1"/>
  <c r="AI538" i="162"/>
  <c r="AI530" i="162"/>
  <c r="AJ332" i="162"/>
  <c r="AJ514" i="162" s="1"/>
  <c r="AJ326" i="162"/>
  <c r="AJ508" i="162" s="1"/>
  <c r="AI444" i="162"/>
  <c r="AI417" i="162"/>
  <c r="AM168" i="129"/>
  <c r="AO168" i="129"/>
  <c r="AM148" i="129"/>
  <c r="AO148" i="129"/>
  <c r="AM167" i="129"/>
  <c r="AO167" i="129"/>
  <c r="AO143" i="129"/>
  <c r="AO144" i="129"/>
  <c r="AM152" i="129"/>
  <c r="AO147" i="129"/>
  <c r="AM143" i="129"/>
  <c r="AO155" i="129"/>
  <c r="AM151" i="129"/>
  <c r="AM162" i="129"/>
  <c r="AO150" i="129"/>
  <c r="AM170" i="129"/>
  <c r="AO166" i="129"/>
  <c r="AO169" i="129"/>
  <c r="AO149" i="129"/>
  <c r="AO154" i="129"/>
  <c r="AM153" i="129"/>
  <c r="AO146" i="129"/>
  <c r="AO157" i="129"/>
  <c r="AO156" i="129"/>
  <c r="AN542" i="162"/>
  <c r="AN539" i="162"/>
  <c r="AI511" i="162"/>
  <c r="AN510" i="162"/>
  <c r="AN455" i="162"/>
  <c r="AI392" i="162"/>
  <c r="AN410" i="162"/>
  <c r="AI424" i="162"/>
  <c r="AI516" i="162"/>
  <c r="AI416" i="162"/>
  <c r="AI523" i="162"/>
  <c r="AI482" i="162"/>
  <c r="AI456" i="162"/>
  <c r="AI423" i="162"/>
  <c r="AI490" i="162"/>
  <c r="AJ343" i="162"/>
  <c r="AJ525" i="162" s="1"/>
  <c r="AI404" i="162"/>
  <c r="AI436" i="162"/>
  <c r="AI429" i="162"/>
  <c r="AI510" i="162"/>
  <c r="AI504" i="162"/>
  <c r="AN530" i="162"/>
  <c r="AI528" i="162"/>
  <c r="AN476" i="162"/>
  <c r="AN450" i="162"/>
  <c r="AN412" i="162"/>
  <c r="AJ335" i="162"/>
  <c r="AJ517" i="162" s="1"/>
  <c r="AI534" i="162"/>
  <c r="AI460" i="162"/>
  <c r="AI411" i="162"/>
  <c r="AJ245" i="162"/>
  <c r="AJ427" i="162" s="1"/>
  <c r="AI427" i="162"/>
  <c r="AJ226" i="162"/>
  <c r="AJ408" i="162" s="1"/>
  <c r="AI408" i="162"/>
  <c r="AN533" i="162"/>
  <c r="AJ277" i="162"/>
  <c r="AJ459" i="162" s="1"/>
  <c r="AI459" i="162"/>
  <c r="AJ239" i="162"/>
  <c r="AJ421" i="162" s="1"/>
  <c r="AI421" i="162"/>
  <c r="AJ302" i="162"/>
  <c r="AJ484" i="162" s="1"/>
  <c r="AI484" i="162"/>
  <c r="AN471" i="162"/>
  <c r="AJ276" i="162"/>
  <c r="AJ458" i="162" s="1"/>
  <c r="AI458" i="162"/>
  <c r="AJ251" i="162"/>
  <c r="AJ433" i="162" s="1"/>
  <c r="AI433" i="162"/>
  <c r="AJ238" i="162"/>
  <c r="AJ420" i="162" s="1"/>
  <c r="AI420" i="162"/>
  <c r="AN508" i="162"/>
  <c r="AJ258" i="162"/>
  <c r="AJ440" i="162" s="1"/>
  <c r="AI440" i="162"/>
  <c r="AJ333" i="162"/>
  <c r="AJ515" i="162" s="1"/>
  <c r="AI515" i="162"/>
  <c r="AI539" i="162"/>
  <c r="AJ357" i="162"/>
  <c r="AJ539" i="162" s="1"/>
  <c r="AJ345" i="162"/>
  <c r="AJ527" i="162" s="1"/>
  <c r="AI527" i="162"/>
  <c r="AN490" i="162"/>
  <c r="AJ265" i="162"/>
  <c r="AJ447" i="162" s="1"/>
  <c r="AI447" i="162"/>
  <c r="AJ259" i="162"/>
  <c r="AJ441" i="162" s="1"/>
  <c r="AI441" i="162"/>
  <c r="AN428" i="162"/>
  <c r="AN409" i="162"/>
  <c r="AJ214" i="162"/>
  <c r="AJ396" i="162" s="1"/>
  <c r="AI396" i="162"/>
  <c r="AJ246" i="162"/>
  <c r="AJ428" i="162" s="1"/>
  <c r="AI428" i="162"/>
  <c r="AJ227" i="162"/>
  <c r="AJ409" i="162" s="1"/>
  <c r="AI409" i="162"/>
  <c r="AN452" i="162"/>
  <c r="AJ290" i="162"/>
  <c r="AJ472" i="162" s="1"/>
  <c r="AI472" i="162"/>
  <c r="AN489" i="162"/>
  <c r="AJ263" i="162"/>
  <c r="AJ445" i="162" s="1"/>
  <c r="AI445" i="162"/>
  <c r="AJ325" i="162"/>
  <c r="AJ507" i="162" s="1"/>
  <c r="AI507" i="162"/>
  <c r="AN413" i="162"/>
  <c r="AJ250" i="162"/>
  <c r="AJ432" i="162" s="1"/>
  <c r="AI432" i="162"/>
  <c r="AN488" i="162"/>
  <c r="AI464" i="162"/>
  <c r="AJ312" i="162"/>
  <c r="AJ494" i="162" s="1"/>
  <c r="AI494" i="162"/>
  <c r="AI537" i="162"/>
  <c r="AJ280" i="162"/>
  <c r="AJ462" i="162" s="1"/>
  <c r="AN449" i="162"/>
  <c r="AJ323" i="162"/>
  <c r="AJ505" i="162" s="1"/>
  <c r="AJ317" i="162"/>
  <c r="AJ499" i="162" s="1"/>
  <c r="AJ360" i="162"/>
  <c r="AJ542" i="162" s="1"/>
  <c r="AN416" i="162"/>
  <c r="AN396" i="162"/>
  <c r="AI529" i="162"/>
  <c r="AJ347" i="162"/>
  <c r="AJ529" i="162" s="1"/>
  <c r="AJ209" i="162"/>
  <c r="AJ391" i="162" s="1"/>
  <c r="AN528" i="162"/>
  <c r="AI522" i="162"/>
  <c r="AI463" i="162"/>
  <c r="AI470" i="162"/>
  <c r="AI492" i="162"/>
  <c r="AN492" i="162"/>
  <c r="AN468" i="162"/>
  <c r="AI543" i="162"/>
  <c r="AJ272" i="162"/>
  <c r="AJ454" i="162" s="1"/>
  <c r="AI454" i="162"/>
  <c r="AN402" i="162"/>
  <c r="AN470" i="162"/>
  <c r="AJ311" i="162"/>
  <c r="AJ493" i="162" s="1"/>
  <c r="AI493" i="162"/>
  <c r="AN390" i="162"/>
  <c r="AN503" i="162"/>
  <c r="AN491" i="162"/>
  <c r="AN431" i="162"/>
  <c r="AN393" i="162"/>
  <c r="AJ304" i="162"/>
  <c r="AJ486" i="162" s="1"/>
  <c r="AJ292" i="162"/>
  <c r="AJ474" i="162" s="1"/>
  <c r="AJ273" i="162"/>
  <c r="AJ455" i="162" s="1"/>
  <c r="AJ342" i="162"/>
  <c r="AJ524" i="162" s="1"/>
  <c r="AJ362" i="162"/>
  <c r="AJ544" i="162" s="1"/>
  <c r="AN430" i="162"/>
  <c r="AI479" i="162"/>
  <c r="AN448" i="162"/>
  <c r="AJ248" i="162"/>
  <c r="AJ430" i="162" s="1"/>
  <c r="AJ216" i="162"/>
  <c r="AJ398" i="162" s="1"/>
  <c r="AN494" i="162"/>
  <c r="AI405" i="162"/>
  <c r="AN473" i="162"/>
  <c r="AJ358" i="162"/>
  <c r="AJ540" i="162" s="1"/>
  <c r="AI540" i="162"/>
  <c r="AI394" i="162"/>
  <c r="AJ212" i="162"/>
  <c r="AJ394" i="162" s="1"/>
  <c r="AJ320" i="162"/>
  <c r="AJ502" i="162" s="1"/>
  <c r="AI502" i="162"/>
  <c r="AJ256" i="162"/>
  <c r="AJ438" i="162" s="1"/>
  <c r="AI438" i="162"/>
  <c r="AJ237" i="162"/>
  <c r="AJ419" i="162" s="1"/>
  <c r="AI419" i="162"/>
  <c r="AJ231" i="162"/>
  <c r="AJ413" i="162" s="1"/>
  <c r="AI413" i="162"/>
  <c r="AJ218" i="162"/>
  <c r="AJ400" i="162" s="1"/>
  <c r="AI400" i="162"/>
  <c r="AJ217" i="162"/>
  <c r="AJ399" i="162" s="1"/>
  <c r="AI399" i="162"/>
  <c r="AJ298" i="162"/>
  <c r="AJ480" i="162" s="1"/>
  <c r="AI480" i="162"/>
  <c r="AJ267" i="162"/>
  <c r="AJ449" i="162" s="1"/>
  <c r="AI449" i="162"/>
  <c r="AJ359" i="162"/>
  <c r="AJ541" i="162" s="1"/>
  <c r="AI450" i="162"/>
  <c r="AI509" i="162"/>
  <c r="AJ327" i="162"/>
  <c r="AJ509" i="162" s="1"/>
  <c r="AJ321" i="162"/>
  <c r="AJ503" i="162" s="1"/>
  <c r="AI503" i="162"/>
  <c r="AJ315" i="162"/>
  <c r="AJ497" i="162" s="1"/>
  <c r="AI497" i="162"/>
  <c r="AJ243" i="162"/>
  <c r="AJ425" i="162" s="1"/>
  <c r="AI425" i="162"/>
  <c r="AJ255" i="162"/>
  <c r="AJ437" i="162" s="1"/>
  <c r="AI437" i="162"/>
  <c r="AJ224" i="162"/>
  <c r="AJ406" i="162" s="1"/>
  <c r="AI406" i="162"/>
  <c r="AJ286" i="162"/>
  <c r="AJ468" i="162" s="1"/>
  <c r="AI468" i="162"/>
  <c r="AJ230" i="162"/>
  <c r="AJ412" i="162" s="1"/>
  <c r="AI412" i="162"/>
  <c r="AJ211" i="162"/>
  <c r="AJ393" i="162" s="1"/>
  <c r="AI393" i="162"/>
  <c r="AI531" i="162"/>
  <c r="AI426" i="162"/>
  <c r="AJ244" i="162"/>
  <c r="AJ426" i="162" s="1"/>
  <c r="AJ225" i="162"/>
  <c r="AJ407" i="162" s="1"/>
  <c r="AI407" i="162"/>
  <c r="AJ206" i="162"/>
  <c r="AJ388" i="162" s="1"/>
  <c r="AI388" i="162"/>
  <c r="AN474" i="162"/>
  <c r="AJ240" i="162"/>
  <c r="AJ422" i="162" s="1"/>
  <c r="AI422" i="162"/>
  <c r="AJ221" i="162"/>
  <c r="AJ403" i="162" s="1"/>
  <c r="AI403" i="162"/>
  <c r="AJ283" i="162"/>
  <c r="AJ465" i="162" s="1"/>
  <c r="AI465" i="162"/>
  <c r="AJ307" i="162"/>
  <c r="AJ489" i="162" s="1"/>
  <c r="AI489" i="162"/>
  <c r="AJ295" i="162"/>
  <c r="AJ477" i="162" s="1"/>
  <c r="AI477" i="162"/>
  <c r="AJ289" i="162"/>
  <c r="AJ471" i="162" s="1"/>
  <c r="AI471" i="162"/>
  <c r="AJ339" i="162"/>
  <c r="AJ521" i="162" s="1"/>
  <c r="AI521" i="162"/>
  <c r="AN529" i="162"/>
  <c r="AN429" i="162"/>
  <c r="AJ306" i="162"/>
  <c r="AJ488" i="162" s="1"/>
  <c r="AI488" i="162"/>
  <c r="AJ294" i="162"/>
  <c r="AJ476" i="162" s="1"/>
  <c r="AI476" i="162"/>
  <c r="AJ351" i="162"/>
  <c r="AJ533" i="162" s="1"/>
  <c r="AI533" i="162"/>
  <c r="AI498" i="162"/>
  <c r="AN388" i="162"/>
  <c r="AN451" i="162"/>
  <c r="AJ232" i="162"/>
  <c r="AJ414" i="162" s="1"/>
  <c r="AI414" i="162"/>
  <c r="AJ219" i="162"/>
  <c r="AJ401" i="162" s="1"/>
  <c r="AI401" i="162"/>
  <c r="AN509" i="162"/>
  <c r="AJ270" i="162"/>
  <c r="AJ452" i="162" s="1"/>
  <c r="AI452" i="162"/>
  <c r="AJ338" i="162"/>
  <c r="AJ520" i="162" s="1"/>
  <c r="AI520" i="162"/>
  <c r="AJ331" i="162"/>
  <c r="AJ513" i="162" s="1"/>
  <c r="AI513" i="162"/>
  <c r="AI448" i="162"/>
  <c r="AN467" i="162"/>
  <c r="AJ303" i="162"/>
  <c r="AJ485" i="162" s="1"/>
  <c r="AI485" i="162"/>
  <c r="AJ291" i="162"/>
  <c r="AJ473" i="162" s="1"/>
  <c r="AI473" i="162"/>
  <c r="AN512" i="162"/>
  <c r="AN389" i="162"/>
  <c r="AN535" i="162"/>
  <c r="AN485" i="162"/>
  <c r="AJ279" i="162"/>
  <c r="AJ461" i="162" s="1"/>
  <c r="AI461" i="162"/>
  <c r="AN472" i="162"/>
  <c r="AI466" i="162"/>
  <c r="AN524" i="162"/>
  <c r="AN464" i="162"/>
  <c r="AJ271" i="162"/>
  <c r="AJ453" i="162" s="1"/>
  <c r="AI453" i="162"/>
  <c r="AN434" i="162"/>
  <c r="AJ215" i="162"/>
  <c r="AJ397" i="162" s="1"/>
  <c r="AI397" i="162"/>
  <c r="AI506" i="162"/>
  <c r="AN423" i="162"/>
  <c r="AN469" i="162"/>
  <c r="AJ208" i="162"/>
  <c r="AJ390" i="162" s="1"/>
  <c r="AI390" i="162"/>
  <c r="AN511" i="162"/>
  <c r="AN499" i="162"/>
  <c r="AI389" i="162"/>
  <c r="AN500" i="162"/>
  <c r="AN440" i="162"/>
  <c r="AN420" i="162"/>
  <c r="AJ220" i="162"/>
  <c r="AJ402" i="162" s="1"/>
  <c r="AI402" i="162"/>
  <c r="AN419" i="162"/>
  <c r="AN408" i="162"/>
  <c r="AN395" i="162"/>
  <c r="AI481" i="162"/>
  <c r="AN518" i="162"/>
  <c r="AN458" i="162"/>
  <c r="AI469" i="162"/>
  <c r="AI457" i="162"/>
  <c r="AN457" i="162"/>
  <c r="AN437" i="162"/>
  <c r="AN411" i="162"/>
  <c r="AN478" i="162"/>
  <c r="AN433" i="162"/>
  <c r="AN479" i="162"/>
  <c r="AN475" i="162"/>
  <c r="AN454" i="162"/>
  <c r="AN532" i="162"/>
  <c r="AN521" i="162"/>
  <c r="AN461" i="162"/>
  <c r="AN497" i="162"/>
  <c r="AN417" i="162"/>
  <c r="AN496" i="162"/>
  <c r="AN436" i="162"/>
  <c r="AN414" i="162"/>
  <c r="AN493" i="162"/>
  <c r="AN443" i="162"/>
  <c r="AN399" i="162"/>
  <c r="AN536" i="162"/>
  <c r="AN515" i="162"/>
  <c r="AN514" i="162"/>
  <c r="AN392" i="162"/>
  <c r="AN487" i="162"/>
  <c r="AN447" i="162"/>
  <c r="AN486" i="162"/>
  <c r="AN426" i="162"/>
  <c r="AN484" i="162"/>
  <c r="AN424" i="162"/>
  <c r="AN502" i="162"/>
  <c r="AN422" i="162"/>
  <c r="AN501" i="162"/>
  <c r="AN421" i="162"/>
  <c r="AN519" i="162"/>
  <c r="AN438" i="162"/>
  <c r="AN398" i="162"/>
  <c r="AN537" i="162"/>
  <c r="AN456" i="162"/>
  <c r="AN534" i="162"/>
  <c r="AN453" i="162"/>
  <c r="AN507" i="162"/>
  <c r="AN407" i="162"/>
  <c r="AN526" i="162"/>
  <c r="AN466" i="162"/>
  <c r="AN406" i="162"/>
  <c r="AN504" i="162"/>
  <c r="AN444" i="162"/>
  <c r="AN463" i="162"/>
  <c r="AN522" i="162"/>
  <c r="AN442" i="162"/>
  <c r="AN481" i="162"/>
  <c r="AN439" i="162"/>
  <c r="AN477" i="162"/>
  <c r="AN432" i="162"/>
  <c r="AN527" i="162"/>
  <c r="AN427" i="162"/>
  <c r="AN506" i="162"/>
  <c r="AN446" i="162"/>
  <c r="AN544" i="162"/>
  <c r="AN404" i="162"/>
  <c r="AN403" i="162"/>
  <c r="AN462" i="162"/>
  <c r="AN541" i="162"/>
  <c r="AN441" i="162"/>
  <c r="AN401" i="162"/>
  <c r="AN459" i="162"/>
  <c r="AN418" i="162"/>
  <c r="AN397" i="162"/>
  <c r="AN516" i="162"/>
  <c r="AN394" i="162"/>
  <c r="AN531" i="162"/>
  <c r="AN391" i="162"/>
  <c r="AN460" i="162"/>
  <c r="AN520" i="162"/>
  <c r="AN538" i="162"/>
  <c r="AN483" i="162"/>
  <c r="AN415" i="162"/>
  <c r="AN498" i="162"/>
  <c r="AN513" i="162"/>
  <c r="AN400" i="162"/>
  <c r="AN405" i="162"/>
  <c r="AN425" i="162"/>
  <c r="AN525" i="162"/>
  <c r="AN505" i="162"/>
  <c r="AN523" i="162"/>
  <c r="AN445" i="162"/>
  <c r="AN480" i="162"/>
  <c r="AN465" i="162"/>
  <c r="AN495" i="162"/>
  <c r="AN543" i="162"/>
  <c r="AN540" i="162"/>
  <c r="AN435" i="162"/>
  <c r="B84" i="163"/>
  <c r="B87" i="163"/>
  <c r="B86" i="163"/>
  <c r="B90" i="163"/>
  <c r="B89" i="163"/>
  <c r="B85" i="163"/>
  <c r="AK35" i="158"/>
  <c r="AF118" i="129"/>
  <c r="AK368" i="162"/>
  <c r="AG127" i="129"/>
  <c r="AJ127" i="129"/>
  <c r="AL127" i="129"/>
  <c r="AN127" i="129"/>
  <c r="AG128" i="129"/>
  <c r="AJ128" i="129"/>
  <c r="AL128" i="129"/>
  <c r="AN128" i="129"/>
  <c r="AG129" i="129"/>
  <c r="AJ129" i="129"/>
  <c r="AL129" i="129"/>
  <c r="AN129" i="129"/>
  <c r="AG130" i="129"/>
  <c r="AJ130" i="129"/>
  <c r="AL130" i="129"/>
  <c r="AN130" i="129"/>
  <c r="AG131" i="129"/>
  <c r="AJ131" i="129"/>
  <c r="AL131" i="129"/>
  <c r="AN131" i="129"/>
  <c r="AG132" i="129"/>
  <c r="AJ132" i="129"/>
  <c r="AL132" i="129"/>
  <c r="AG133" i="129"/>
  <c r="AJ133" i="129"/>
  <c r="AL133" i="129"/>
  <c r="AG134" i="129"/>
  <c r="AJ134" i="129"/>
  <c r="AL134" i="129"/>
  <c r="AG135" i="129"/>
  <c r="AJ135" i="129"/>
  <c r="AL135" i="129"/>
  <c r="AG136" i="129"/>
  <c r="AJ136" i="129"/>
  <c r="AL136" i="129"/>
  <c r="AG137" i="129"/>
  <c r="AJ137" i="129"/>
  <c r="AL137" i="129"/>
  <c r="AG138" i="129"/>
  <c r="AJ138" i="129"/>
  <c r="AL138" i="129"/>
  <c r="AF23" i="162"/>
  <c r="AF22" i="162"/>
  <c r="AF21" i="162"/>
  <c r="AF20" i="162"/>
  <c r="AF19" i="162"/>
  <c r="AF18" i="162"/>
  <c r="AF17" i="162"/>
  <c r="AF16" i="162"/>
  <c r="AF15" i="162"/>
  <c r="AF14" i="162"/>
  <c r="AF13" i="162"/>
  <c r="AF12" i="162"/>
  <c r="AF11" i="162"/>
  <c r="AF10" i="162"/>
  <c r="AF9" i="162"/>
  <c r="AF8" i="162"/>
  <c r="AF7" i="162"/>
  <c r="AF6" i="162"/>
  <c r="AF5" i="162"/>
  <c r="AF4" i="162"/>
  <c r="D48" i="162"/>
  <c r="D51" i="162" s="1"/>
  <c r="AM387" i="162"/>
  <c r="AK387" i="162"/>
  <c r="AF387" i="162"/>
  <c r="D47" i="162"/>
  <c r="AM386" i="162"/>
  <c r="AK386" i="162"/>
  <c r="AF386" i="162"/>
  <c r="D46" i="162"/>
  <c r="AM385" i="162"/>
  <c r="AK385" i="162"/>
  <c r="AF385" i="162"/>
  <c r="D45" i="162"/>
  <c r="AM384" i="162"/>
  <c r="AK384" i="162"/>
  <c r="AF384" i="162"/>
  <c r="AM383" i="162"/>
  <c r="AK383" i="162"/>
  <c r="AF383" i="162"/>
  <c r="AM382" i="162"/>
  <c r="AK382" i="162"/>
  <c r="AF382" i="162"/>
  <c r="AM381" i="162"/>
  <c r="AK381" i="162"/>
  <c r="AF381" i="162"/>
  <c r="AM380" i="162"/>
  <c r="AK380" i="162"/>
  <c r="AF380" i="162"/>
  <c r="AM379" i="162"/>
  <c r="AK379" i="162"/>
  <c r="AF379" i="162"/>
  <c r="AM378" i="162"/>
  <c r="AK378" i="162"/>
  <c r="AF378" i="162"/>
  <c r="B38" i="162"/>
  <c r="D38" i="162" s="1"/>
  <c r="D41" i="162" s="1"/>
  <c r="AM377" i="162"/>
  <c r="AK377" i="162"/>
  <c r="AF377" i="162"/>
  <c r="B37" i="162"/>
  <c r="D37" i="162" s="1"/>
  <c r="AM376" i="162"/>
  <c r="AK376" i="162"/>
  <c r="AF376" i="162"/>
  <c r="B36" i="162"/>
  <c r="D36" i="162" s="1"/>
  <c r="AM375" i="162"/>
  <c r="AK375" i="162"/>
  <c r="AF375" i="162"/>
  <c r="B35" i="162"/>
  <c r="D35" i="162" s="1"/>
  <c r="AM374" i="162"/>
  <c r="AK374" i="162"/>
  <c r="AF374" i="162"/>
  <c r="AM373" i="162"/>
  <c r="AK373" i="162"/>
  <c r="AF373" i="162"/>
  <c r="AM372" i="162"/>
  <c r="AK372" i="162"/>
  <c r="AF372" i="162"/>
  <c r="AM371" i="162"/>
  <c r="AK371" i="162"/>
  <c r="AF371" i="162"/>
  <c r="AM370" i="162"/>
  <c r="AK370" i="162"/>
  <c r="AF370" i="162"/>
  <c r="AM369" i="162"/>
  <c r="AK369" i="162"/>
  <c r="AF369" i="162"/>
  <c r="AO368" i="162"/>
  <c r="AF368" i="162"/>
  <c r="D28" i="162"/>
  <c r="D31" i="162" s="1"/>
  <c r="AO367" i="162"/>
  <c r="AM367" i="162"/>
  <c r="AL367" i="162"/>
  <c r="AK367" i="162"/>
  <c r="AE367" i="162"/>
  <c r="D27" i="162"/>
  <c r="D26" i="162"/>
  <c r="D25" i="162"/>
  <c r="AN205" i="162"/>
  <c r="AL205" i="162"/>
  <c r="AL387" i="162" s="1"/>
  <c r="AI205" i="162"/>
  <c r="AJ205" i="162" s="1"/>
  <c r="AJ387" i="162" s="1"/>
  <c r="AN204" i="162"/>
  <c r="AL204" i="162"/>
  <c r="AL386" i="162" s="1"/>
  <c r="AI204" i="162"/>
  <c r="AJ204" i="162" s="1"/>
  <c r="AJ386" i="162" s="1"/>
  <c r="AN203" i="162"/>
  <c r="AL203" i="162"/>
  <c r="AL385" i="162" s="1"/>
  <c r="AI203" i="162"/>
  <c r="AJ203" i="162" s="1"/>
  <c r="AJ385" i="162" s="1"/>
  <c r="AN202" i="162"/>
  <c r="AL202" i="162"/>
  <c r="AL384" i="162" s="1"/>
  <c r="AI202" i="162"/>
  <c r="AN201" i="162"/>
  <c r="AL201" i="162"/>
  <c r="AL383" i="162" s="1"/>
  <c r="AI201" i="162"/>
  <c r="AI383" i="162" s="1"/>
  <c r="AN200" i="162"/>
  <c r="AL200" i="162"/>
  <c r="AL382" i="162" s="1"/>
  <c r="AI200" i="162"/>
  <c r="AJ200" i="162" s="1"/>
  <c r="AJ382" i="162" s="1"/>
  <c r="AN199" i="162"/>
  <c r="AL199" i="162"/>
  <c r="AL381" i="162" s="1"/>
  <c r="AI199" i="162"/>
  <c r="AJ199" i="162" s="1"/>
  <c r="AJ381" i="162" s="1"/>
  <c r="AN198" i="162"/>
  <c r="AL198" i="162"/>
  <c r="AL380" i="162" s="1"/>
  <c r="AI198" i="162"/>
  <c r="AI380" i="162" s="1"/>
  <c r="AN197" i="162"/>
  <c r="AL197" i="162"/>
  <c r="AL379" i="162" s="1"/>
  <c r="AI197" i="162"/>
  <c r="AJ197" i="162" s="1"/>
  <c r="AJ379" i="162" s="1"/>
  <c r="AN196" i="162"/>
  <c r="AL196" i="162"/>
  <c r="AL378" i="162" s="1"/>
  <c r="AI196" i="162"/>
  <c r="AI378" i="162" s="1"/>
  <c r="AN195" i="162"/>
  <c r="AL195" i="162"/>
  <c r="AL377" i="162" s="1"/>
  <c r="AI195" i="162"/>
  <c r="AJ195" i="162" s="1"/>
  <c r="AJ377" i="162" s="1"/>
  <c r="AN194" i="162"/>
  <c r="AL194" i="162"/>
  <c r="AL376" i="162" s="1"/>
  <c r="AI194" i="162"/>
  <c r="AJ194" i="162" s="1"/>
  <c r="AJ376" i="162" s="1"/>
  <c r="AN193" i="162"/>
  <c r="AL193" i="162"/>
  <c r="AL375" i="162" s="1"/>
  <c r="AI193" i="162"/>
  <c r="AN192" i="162"/>
  <c r="AL192" i="162"/>
  <c r="AL374" i="162" s="1"/>
  <c r="AI192" i="162"/>
  <c r="AI374" i="162" s="1"/>
  <c r="AN191" i="162"/>
  <c r="AL191" i="162"/>
  <c r="AL373" i="162" s="1"/>
  <c r="AI191" i="162"/>
  <c r="AJ191" i="162" s="1"/>
  <c r="AJ373" i="162" s="1"/>
  <c r="AN190" i="162"/>
  <c r="AL190" i="162"/>
  <c r="AL372" i="162" s="1"/>
  <c r="AI190" i="162"/>
  <c r="AI372" i="162" s="1"/>
  <c r="AN189" i="162"/>
  <c r="AL189" i="162"/>
  <c r="AL371" i="162" s="1"/>
  <c r="AI189" i="162"/>
  <c r="AI371" i="162" s="1"/>
  <c r="AN188" i="162"/>
  <c r="AL188" i="162"/>
  <c r="AL370" i="162" s="1"/>
  <c r="AJ188" i="162"/>
  <c r="AJ370" i="162" s="1"/>
  <c r="AN187" i="162"/>
  <c r="AL187" i="162"/>
  <c r="AJ187" i="162"/>
  <c r="AJ369" i="162" s="1"/>
  <c r="AN186" i="162"/>
  <c r="AM186" i="162"/>
  <c r="AL186" i="162"/>
  <c r="AL368" i="162" s="1"/>
  <c r="AI368" i="162"/>
  <c r="AK71" i="129"/>
  <c r="AK127" i="129" s="1"/>
  <c r="AM71" i="129"/>
  <c r="AM127" i="129" s="1"/>
  <c r="AO71" i="129"/>
  <c r="AK72" i="129"/>
  <c r="AK128" i="129" s="1"/>
  <c r="AM72" i="129"/>
  <c r="AM128" i="129" s="1"/>
  <c r="AO72" i="129"/>
  <c r="AK73" i="129"/>
  <c r="AK129" i="129" s="1"/>
  <c r="AM73" i="129"/>
  <c r="AM129" i="129" s="1"/>
  <c r="AO73" i="129"/>
  <c r="AK74" i="129"/>
  <c r="AK130" i="129" s="1"/>
  <c r="AM74" i="129"/>
  <c r="AM130" i="129" s="1"/>
  <c r="AO74" i="129"/>
  <c r="AK75" i="129"/>
  <c r="AK131" i="129" s="1"/>
  <c r="AM75" i="129"/>
  <c r="AM131" i="129" s="1"/>
  <c r="AO75" i="129"/>
  <c r="AK76" i="129"/>
  <c r="AK132" i="129" s="1"/>
  <c r="AM76" i="129"/>
  <c r="AO76" i="129"/>
  <c r="AK77" i="129"/>
  <c r="AK133" i="129" s="1"/>
  <c r="AM77" i="129"/>
  <c r="AM133" i="129" s="1"/>
  <c r="AO77" i="129"/>
  <c r="AO133" i="129" s="1"/>
  <c r="AK78" i="129"/>
  <c r="AK134" i="129" s="1"/>
  <c r="AM78" i="129"/>
  <c r="AM134" i="129" s="1"/>
  <c r="AO78" i="129"/>
  <c r="AK79" i="129"/>
  <c r="AK135" i="129" s="1"/>
  <c r="AM79" i="129"/>
  <c r="AM135" i="129" s="1"/>
  <c r="AO79" i="129"/>
  <c r="AK80" i="129"/>
  <c r="AK136" i="129" s="1"/>
  <c r="AM80" i="129"/>
  <c r="AO80" i="129"/>
  <c r="AK81" i="129"/>
  <c r="AK137" i="129" s="1"/>
  <c r="AM81" i="129"/>
  <c r="AM137" i="129" s="1"/>
  <c r="AO81" i="129"/>
  <c r="AK82" i="129"/>
  <c r="AK138" i="129" s="1"/>
  <c r="AM138" i="129"/>
  <c r="AO82" i="129"/>
  <c r="AO64" i="129"/>
  <c r="AO65" i="129"/>
  <c r="AO66" i="129"/>
  <c r="AO67" i="129"/>
  <c r="AO68" i="129"/>
  <c r="AO69" i="129"/>
  <c r="AO70" i="129"/>
  <c r="BE75" i="158" l="1"/>
  <c r="AZ75" i="158"/>
  <c r="AR81" i="158"/>
  <c r="BF81" i="158"/>
  <c r="BF75" i="158"/>
  <c r="AS81" i="158"/>
  <c r="AT81" i="158"/>
  <c r="BA75" i="158"/>
  <c r="AW75" i="158"/>
  <c r="AV75" i="158"/>
  <c r="AU75" i="158"/>
  <c r="BD83" i="158"/>
  <c r="BG77" i="158"/>
  <c r="AV77" i="158"/>
  <c r="BG81" i="158"/>
  <c r="BC83" i="158"/>
  <c r="AS83" i="158"/>
  <c r="BE83" i="158"/>
  <c r="AY83" i="158"/>
  <c r="BF77" i="158"/>
  <c r="AR83" i="158"/>
  <c r="AQ75" i="158"/>
  <c r="AR77" i="158"/>
  <c r="AU81" i="158"/>
  <c r="BG75" i="158"/>
  <c r="AQ81" i="158"/>
  <c r="BE81" i="158"/>
  <c r="BB75" i="158"/>
  <c r="AP83" i="158"/>
  <c r="AZ83" i="158"/>
  <c r="AT75" i="158"/>
  <c r="AS75" i="158"/>
  <c r="AX75" i="158"/>
  <c r="AR75" i="158"/>
  <c r="BC75" i="158"/>
  <c r="AP81" i="158"/>
  <c r="AC70" i="158"/>
  <c r="AC41" i="158"/>
  <c r="AC10" i="158"/>
  <c r="AY75" i="158"/>
  <c r="BF83" i="158"/>
  <c r="AV83" i="158"/>
  <c r="AU83" i="158"/>
  <c r="BB83" i="158"/>
  <c r="AT83" i="158"/>
  <c r="BG83" i="158"/>
  <c r="AX83" i="158"/>
  <c r="BA83" i="158"/>
  <c r="AW83" i="158"/>
  <c r="AO83" i="158"/>
  <c r="BE77" i="158"/>
  <c r="BD81" i="158"/>
  <c r="AT77" i="158"/>
  <c r="AQ77" i="158"/>
  <c r="BD77" i="158"/>
  <c r="BB77" i="158"/>
  <c r="AY77" i="158"/>
  <c r="AO77" i="158"/>
  <c r="AU77" i="158"/>
  <c r="BG80" i="158"/>
  <c r="AR80" i="158"/>
  <c r="BF80" i="158"/>
  <c r="BE80" i="158"/>
  <c r="AZ74" i="158"/>
  <c r="AZ81" i="158"/>
  <c r="BA81" i="158"/>
  <c r="AR74" i="158"/>
  <c r="AP77" i="158"/>
  <c r="BE74" i="158"/>
  <c r="BA77" i="158"/>
  <c r="AX77" i="158"/>
  <c r="BA74" i="158"/>
  <c r="AW77" i="158"/>
  <c r="AX81" i="158"/>
  <c r="AV81" i="158"/>
  <c r="AS74" i="158"/>
  <c r="AZ77" i="158"/>
  <c r="AY81" i="158"/>
  <c r="AO81" i="158"/>
  <c r="AX85" i="158"/>
  <c r="AQ74" i="158"/>
  <c r="AW85" i="158"/>
  <c r="AY80" i="158"/>
  <c r="AZ80" i="158"/>
  <c r="AT82" i="158"/>
  <c r="BA85" i="158"/>
  <c r="AX80" i="158"/>
  <c r="AQ82" i="158"/>
  <c r="BE76" i="158"/>
  <c r="BC76" i="158"/>
  <c r="BD76" i="158"/>
  <c r="AU74" i="158"/>
  <c r="AX76" i="158"/>
  <c r="AP74" i="158"/>
  <c r="AZ85" i="158"/>
  <c r="AO80" i="158"/>
  <c r="AY85" i="158"/>
  <c r="BD80" i="158"/>
  <c r="BB80" i="158"/>
  <c r="BC77" i="158"/>
  <c r="BC80" i="158"/>
  <c r="AP82" i="158"/>
  <c r="AW81" i="158"/>
  <c r="AT74" i="158"/>
  <c r="AW80" i="158"/>
  <c r="AV74" i="158"/>
  <c r="BA80" i="158"/>
  <c r="AQ80" i="158"/>
  <c r="AV82" i="158"/>
  <c r="BB76" i="158"/>
  <c r="AV85" i="158"/>
  <c r="AV76" i="158"/>
  <c r="BG82" i="158"/>
  <c r="BB85" i="158"/>
  <c r="BF76" i="158"/>
  <c r="BE85" i="158"/>
  <c r="BA76" i="158"/>
  <c r="AU76" i="158"/>
  <c r="BG74" i="158"/>
  <c r="AR82" i="158"/>
  <c r="AS88" i="158"/>
  <c r="BC88" i="158"/>
  <c r="BF88" i="158"/>
  <c r="BB88" i="158"/>
  <c r="BG76" i="158"/>
  <c r="BA88" i="158"/>
  <c r="AW76" i="158"/>
  <c r="AY76" i="158"/>
  <c r="BC74" i="158"/>
  <c r="AU82" i="158"/>
  <c r="BC82" i="158"/>
  <c r="AO88" i="158"/>
  <c r="AZ82" i="158"/>
  <c r="BG88" i="158"/>
  <c r="BD82" i="158"/>
  <c r="AZ76" i="158"/>
  <c r="BD74" i="158"/>
  <c r="AW88" i="158"/>
  <c r="BB82" i="158"/>
  <c r="AY82" i="158"/>
  <c r="AQ88" i="158"/>
  <c r="AO76" i="158"/>
  <c r="AR76" i="158"/>
  <c r="AP76" i="158"/>
  <c r="AQ76" i="158"/>
  <c r="AZ88" i="158"/>
  <c r="BA82" i="158"/>
  <c r="AX88" i="158"/>
  <c r="AX82" i="158"/>
  <c r="BG85" i="158"/>
  <c r="BD85" i="158"/>
  <c r="AR85" i="158"/>
  <c r="AT85" i="158"/>
  <c r="AU85" i="158"/>
  <c r="BC85" i="158"/>
  <c r="AS85" i="158"/>
  <c r="AP85" i="158"/>
  <c r="AQ85" i="158"/>
  <c r="BF85" i="158"/>
  <c r="AW82" i="158"/>
  <c r="AV88" i="158"/>
  <c r="AP88" i="158"/>
  <c r="AR88" i="158"/>
  <c r="AO82" i="158"/>
  <c r="AT88" i="158"/>
  <c r="AU88" i="158"/>
  <c r="BF82" i="158"/>
  <c r="BE82" i="158"/>
  <c r="AY88" i="158"/>
  <c r="AT76" i="158"/>
  <c r="AO74" i="158"/>
  <c r="AW74" i="158"/>
  <c r="AY74" i="158"/>
  <c r="AX74" i="158"/>
  <c r="BF74" i="158"/>
  <c r="BD88" i="158"/>
  <c r="AT80" i="158"/>
  <c r="AS80" i="158"/>
  <c r="AU80" i="158"/>
  <c r="AV80" i="158"/>
  <c r="AT84" i="158"/>
  <c r="AU84" i="158"/>
  <c r="AW84" i="158"/>
  <c r="AY84" i="158"/>
  <c r="AX84" i="158"/>
  <c r="AV84" i="158"/>
  <c r="AZ84" i="158"/>
  <c r="BA84" i="158"/>
  <c r="AO84" i="158"/>
  <c r="BB84" i="158"/>
  <c r="AP84" i="158"/>
  <c r="AR84" i="158"/>
  <c r="BF84" i="158"/>
  <c r="AQ84" i="158"/>
  <c r="AS84" i="158"/>
  <c r="BC84" i="158"/>
  <c r="BD84" i="158"/>
  <c r="BE84" i="158"/>
  <c r="BG84" i="158"/>
  <c r="AS87" i="158"/>
  <c r="AT87" i="158"/>
  <c r="AV87" i="158"/>
  <c r="AZ87" i="158"/>
  <c r="AX87" i="158"/>
  <c r="AU87" i="158"/>
  <c r="AW87" i="158"/>
  <c r="AY87" i="158"/>
  <c r="BE87" i="158"/>
  <c r="AO87" i="158"/>
  <c r="BF87" i="158"/>
  <c r="BG87" i="158"/>
  <c r="AP87" i="158"/>
  <c r="BC87" i="158"/>
  <c r="BD87" i="158"/>
  <c r="AR87" i="158"/>
  <c r="BA87" i="158"/>
  <c r="AQ87" i="158"/>
  <c r="BB87" i="158"/>
  <c r="AY79" i="158"/>
  <c r="BB79" i="158"/>
  <c r="BC79" i="158"/>
  <c r="BD79" i="158"/>
  <c r="BE79" i="158"/>
  <c r="BG79" i="158"/>
  <c r="BF79" i="158"/>
  <c r="AP79" i="158"/>
  <c r="AQ79" i="158"/>
  <c r="AR79" i="158"/>
  <c r="AS79" i="158"/>
  <c r="AO79" i="158"/>
  <c r="AU79" i="158"/>
  <c r="AT79" i="158"/>
  <c r="AW79" i="158"/>
  <c r="AV79" i="158"/>
  <c r="AX79" i="158"/>
  <c r="BA79" i="158"/>
  <c r="AZ79" i="158"/>
  <c r="AX86" i="158"/>
  <c r="AY86" i="158"/>
  <c r="BB86" i="158"/>
  <c r="AO86" i="158"/>
  <c r="BA86" i="158"/>
  <c r="BC86" i="158"/>
  <c r="BD86" i="158"/>
  <c r="AZ86" i="158"/>
  <c r="AP86" i="158"/>
  <c r="AQ86" i="158"/>
  <c r="AR86" i="158"/>
  <c r="AS86" i="158"/>
  <c r="AT86" i="158"/>
  <c r="AU86" i="158"/>
  <c r="AV86" i="158"/>
  <c r="AW86" i="158"/>
  <c r="BG86" i="158"/>
  <c r="BF86" i="158"/>
  <c r="BE86" i="158"/>
  <c r="AY78" i="158"/>
  <c r="BD78" i="158"/>
  <c r="BF78" i="158"/>
  <c r="AZ78" i="158"/>
  <c r="BC78" i="158"/>
  <c r="BE78" i="158"/>
  <c r="BA78" i="158"/>
  <c r="BB78" i="158"/>
  <c r="AU78" i="158"/>
  <c r="AV78" i="158"/>
  <c r="AX78" i="158"/>
  <c r="BG78" i="158"/>
  <c r="AW78" i="158"/>
  <c r="AO78" i="158"/>
  <c r="AP78" i="158"/>
  <c r="AQ78" i="158"/>
  <c r="AR78" i="158"/>
  <c r="AS78" i="158"/>
  <c r="AT78" i="158"/>
  <c r="AM368" i="162"/>
  <c r="AM363" i="162"/>
  <c r="AN363" i="162"/>
  <c r="AE26" i="162"/>
  <c r="AL369" i="162"/>
  <c r="AN369" i="162" s="1"/>
  <c r="AL363" i="162"/>
  <c r="AO132" i="129"/>
  <c r="AO131" i="129"/>
  <c r="AO138" i="129"/>
  <c r="AN374" i="162"/>
  <c r="AI369" i="162"/>
  <c r="AI370" i="162"/>
  <c r="AN381" i="162"/>
  <c r="AN370" i="162"/>
  <c r="AI385" i="162"/>
  <c r="AI376" i="162"/>
  <c r="AI381" i="162"/>
  <c r="AI382" i="162"/>
  <c r="AN386" i="162"/>
  <c r="AO136" i="129"/>
  <c r="AM136" i="129"/>
  <c r="AO128" i="129"/>
  <c r="AO135" i="129"/>
  <c r="AO130" i="129"/>
  <c r="AO127" i="129"/>
  <c r="AM132" i="129"/>
  <c r="AO134" i="129"/>
  <c r="AO129" i="129"/>
  <c r="AO137" i="129"/>
  <c r="AN372" i="162"/>
  <c r="AN375" i="162"/>
  <c r="D30" i="162"/>
  <c r="AI387" i="162"/>
  <c r="AI379" i="162"/>
  <c r="AJ196" i="162"/>
  <c r="AJ378" i="162" s="1"/>
  <c r="AN385" i="162"/>
  <c r="AJ192" i="162"/>
  <c r="AJ374" i="162" s="1"/>
  <c r="D40" i="162"/>
  <c r="AN367" i="162"/>
  <c r="AQ367" i="162" s="1"/>
  <c r="AN379" i="162"/>
  <c r="AN384" i="162"/>
  <c r="AN383" i="162"/>
  <c r="AJ198" i="162"/>
  <c r="AJ380" i="162" s="1"/>
  <c r="AJ189" i="162"/>
  <c r="AJ371" i="162" s="1"/>
  <c r="AJ186" i="162"/>
  <c r="AJ368" i="162" s="1"/>
  <c r="AJ201" i="162"/>
  <c r="AJ383" i="162" s="1"/>
  <c r="AN368" i="162"/>
  <c r="AQ368" i="162" s="1"/>
  <c r="AN377" i="162"/>
  <c r="AN380" i="162"/>
  <c r="AN371" i="162"/>
  <c r="AJ190" i="162"/>
  <c r="AJ372" i="162" s="1"/>
  <c r="AI384" i="162"/>
  <c r="AJ202" i="162"/>
  <c r="AJ384" i="162" s="1"/>
  <c r="AI375" i="162"/>
  <c r="AJ193" i="162"/>
  <c r="AJ375" i="162" s="1"/>
  <c r="AI377" i="162"/>
  <c r="AN376" i="162"/>
  <c r="AI373" i="162"/>
  <c r="AN382" i="162"/>
  <c r="AN373" i="162"/>
  <c r="AN387" i="162"/>
  <c r="AN378" i="162"/>
  <c r="D50" i="162"/>
  <c r="AI386" i="162"/>
  <c r="I68" i="154"/>
  <c r="H68" i="154"/>
  <c r="G68" i="154"/>
  <c r="I56" i="154"/>
  <c r="H56" i="154"/>
  <c r="G56" i="154"/>
  <c r="S5" i="154"/>
  <c r="P13" i="154"/>
  <c r="N5" i="154"/>
  <c r="B12" i="154"/>
  <c r="B11" i="154"/>
  <c r="BH76" i="158" l="1"/>
  <c r="BH84" i="158"/>
  <c r="AC11" i="158"/>
  <c r="AC42" i="158"/>
  <c r="AC71" i="158"/>
  <c r="BH78" i="158"/>
  <c r="BH82" i="158"/>
  <c r="BH86" i="158"/>
  <c r="BH83" i="158"/>
  <c r="BH77" i="158"/>
  <c r="BH81" i="158"/>
  <c r="BH75" i="158"/>
  <c r="BH88" i="158"/>
  <c r="BH80" i="158"/>
  <c r="BH79" i="158"/>
  <c r="BH85" i="158"/>
  <c r="BH87" i="158"/>
  <c r="AE27" i="162"/>
  <c r="AO323" i="162"/>
  <c r="AO505" i="162" s="1"/>
  <c r="AQ505" i="162" s="1"/>
  <c r="AO344" i="162"/>
  <c r="AO526" i="162" s="1"/>
  <c r="AQ526" i="162" s="1"/>
  <c r="AO215" i="162"/>
  <c r="AO397" i="162" s="1"/>
  <c r="AQ397" i="162" s="1"/>
  <c r="AO235" i="162"/>
  <c r="AO417" i="162" s="1"/>
  <c r="AQ417" i="162" s="1"/>
  <c r="AO255" i="162"/>
  <c r="AO437" i="162" s="1"/>
  <c r="AQ437" i="162" s="1"/>
  <c r="AO275" i="162"/>
  <c r="AO457" i="162" s="1"/>
  <c r="AQ457" i="162" s="1"/>
  <c r="AO295" i="162"/>
  <c r="AO477" i="162" s="1"/>
  <c r="AQ477" i="162" s="1"/>
  <c r="AO259" i="162"/>
  <c r="AO441" i="162" s="1"/>
  <c r="AQ441" i="162" s="1"/>
  <c r="AO341" i="162"/>
  <c r="AO523" i="162" s="1"/>
  <c r="AQ523" i="162" s="1"/>
  <c r="AO220" i="162"/>
  <c r="AO402" i="162" s="1"/>
  <c r="AQ402" i="162" s="1"/>
  <c r="AO300" i="162"/>
  <c r="AO482" i="162" s="1"/>
  <c r="AQ482" i="162" s="1"/>
  <c r="AO317" i="162"/>
  <c r="AO499" i="162" s="1"/>
  <c r="AQ499" i="162" s="1"/>
  <c r="AO358" i="162"/>
  <c r="AO540" i="162" s="1"/>
  <c r="AQ540" i="162" s="1"/>
  <c r="AO362" i="162"/>
  <c r="AO544" i="162" s="1"/>
  <c r="AQ544" i="162" s="1"/>
  <c r="AO340" i="162"/>
  <c r="AO522" i="162" s="1"/>
  <c r="AQ522" i="162" s="1"/>
  <c r="AO216" i="162"/>
  <c r="AO398" i="162" s="1"/>
  <c r="AQ398" i="162" s="1"/>
  <c r="AO236" i="162"/>
  <c r="AO418" i="162" s="1"/>
  <c r="AQ418" i="162" s="1"/>
  <c r="AO256" i="162"/>
  <c r="AO438" i="162" s="1"/>
  <c r="AQ438" i="162" s="1"/>
  <c r="AO276" i="162"/>
  <c r="AO458" i="162" s="1"/>
  <c r="AQ458" i="162" s="1"/>
  <c r="AO296" i="162"/>
  <c r="AO478" i="162" s="1"/>
  <c r="AQ478" i="162" s="1"/>
  <c r="AO279" i="162"/>
  <c r="AO461" i="162" s="1"/>
  <c r="AQ461" i="162" s="1"/>
  <c r="AO260" i="162"/>
  <c r="AO442" i="162" s="1"/>
  <c r="AQ442" i="162" s="1"/>
  <c r="AO226" i="162"/>
  <c r="AO408" i="162" s="1"/>
  <c r="AQ408" i="162" s="1"/>
  <c r="AO319" i="162"/>
  <c r="AO501" i="162" s="1"/>
  <c r="AQ501" i="162" s="1"/>
  <c r="AO332" i="162"/>
  <c r="AO514" i="162" s="1"/>
  <c r="AQ514" i="162" s="1"/>
  <c r="AO336" i="162"/>
  <c r="AO518" i="162" s="1"/>
  <c r="AQ518" i="162" s="1"/>
  <c r="AO353" i="162"/>
  <c r="AO535" i="162" s="1"/>
  <c r="AQ535" i="162" s="1"/>
  <c r="AO217" i="162"/>
  <c r="AO399" i="162" s="1"/>
  <c r="AQ399" i="162" s="1"/>
  <c r="AO237" i="162"/>
  <c r="AO419" i="162" s="1"/>
  <c r="AQ419" i="162" s="1"/>
  <c r="AO257" i="162"/>
  <c r="AO439" i="162" s="1"/>
  <c r="AQ439" i="162" s="1"/>
  <c r="AO277" i="162"/>
  <c r="AO459" i="162" s="1"/>
  <c r="AQ459" i="162" s="1"/>
  <c r="AO297" i="162"/>
  <c r="AO479" i="162" s="1"/>
  <c r="AQ479" i="162" s="1"/>
  <c r="AO324" i="162"/>
  <c r="AO506" i="162" s="1"/>
  <c r="AQ506" i="162" s="1"/>
  <c r="AO219" i="162"/>
  <c r="AO401" i="162" s="1"/>
  <c r="AQ401" i="162" s="1"/>
  <c r="AO299" i="162"/>
  <c r="AO481" i="162" s="1"/>
  <c r="AQ481" i="162" s="1"/>
  <c r="AO280" i="162"/>
  <c r="AO462" i="162" s="1"/>
  <c r="AQ462" i="162" s="1"/>
  <c r="AO338" i="162"/>
  <c r="AO520" i="162" s="1"/>
  <c r="AQ520" i="162" s="1"/>
  <c r="AO313" i="162"/>
  <c r="AO495" i="162" s="1"/>
  <c r="AQ495" i="162" s="1"/>
  <c r="AO347" i="162"/>
  <c r="AO529" i="162" s="1"/>
  <c r="AQ529" i="162" s="1"/>
  <c r="AO311" i="162"/>
  <c r="AO493" i="162" s="1"/>
  <c r="AQ493" i="162" s="1"/>
  <c r="AO315" i="162"/>
  <c r="AO497" i="162" s="1"/>
  <c r="AQ497" i="162" s="1"/>
  <c r="AO328" i="162"/>
  <c r="AO510" i="162" s="1"/>
  <c r="AQ510" i="162" s="1"/>
  <c r="AO349" i="162"/>
  <c r="AO531" i="162" s="1"/>
  <c r="AQ531" i="162" s="1"/>
  <c r="AO218" i="162"/>
  <c r="AO400" i="162" s="1"/>
  <c r="AQ400" i="162" s="1"/>
  <c r="AO238" i="162"/>
  <c r="AO420" i="162" s="1"/>
  <c r="AQ420" i="162" s="1"/>
  <c r="AO258" i="162"/>
  <c r="AO440" i="162" s="1"/>
  <c r="AQ440" i="162" s="1"/>
  <c r="AO278" i="162"/>
  <c r="AO460" i="162" s="1"/>
  <c r="AQ460" i="162" s="1"/>
  <c r="AO298" i="162"/>
  <c r="AO480" i="162" s="1"/>
  <c r="AQ480" i="162" s="1"/>
  <c r="AO355" i="162"/>
  <c r="AO537" i="162" s="1"/>
  <c r="AQ537" i="162" s="1"/>
  <c r="AO345" i="162"/>
  <c r="AO527" i="162" s="1"/>
  <c r="AQ527" i="162" s="1"/>
  <c r="AO239" i="162"/>
  <c r="AO421" i="162" s="1"/>
  <c r="AQ421" i="162" s="1"/>
  <c r="AO240" i="162"/>
  <c r="AO422" i="162" s="1"/>
  <c r="AQ422" i="162" s="1"/>
  <c r="AO206" i="162"/>
  <c r="AO388" i="162" s="1"/>
  <c r="AQ388" i="162" s="1"/>
  <c r="AO309" i="162"/>
  <c r="AO491" i="162" s="1"/>
  <c r="AQ491" i="162" s="1"/>
  <c r="AO330" i="162"/>
  <c r="AO512" i="162" s="1"/>
  <c r="AQ512" i="162" s="1"/>
  <c r="AO359" i="162"/>
  <c r="AO541" i="162" s="1"/>
  <c r="AQ541" i="162" s="1"/>
  <c r="AO308" i="162"/>
  <c r="AO490" i="162" s="1"/>
  <c r="AQ490" i="162" s="1"/>
  <c r="AO320" i="162"/>
  <c r="AO502" i="162" s="1"/>
  <c r="AQ502" i="162" s="1"/>
  <c r="AO221" i="162"/>
  <c r="AO403" i="162" s="1"/>
  <c r="AQ403" i="162" s="1"/>
  <c r="AO241" i="162"/>
  <c r="AO423" i="162" s="1"/>
  <c r="AQ423" i="162" s="1"/>
  <c r="AO261" i="162"/>
  <c r="AO443" i="162" s="1"/>
  <c r="AQ443" i="162" s="1"/>
  <c r="AO281" i="162"/>
  <c r="AO463" i="162" s="1"/>
  <c r="AQ463" i="162" s="1"/>
  <c r="AO301" i="162"/>
  <c r="AO483" i="162" s="1"/>
  <c r="AQ483" i="162" s="1"/>
  <c r="AO333" i="162"/>
  <c r="AO515" i="162" s="1"/>
  <c r="AQ515" i="162" s="1"/>
  <c r="AO337" i="162"/>
  <c r="AO519" i="162" s="1"/>
  <c r="AQ519" i="162" s="1"/>
  <c r="AO354" i="162"/>
  <c r="AO536" i="162" s="1"/>
  <c r="AQ536" i="162" s="1"/>
  <c r="AO222" i="162"/>
  <c r="AO404" i="162" s="1"/>
  <c r="AQ404" i="162" s="1"/>
  <c r="AO242" i="162"/>
  <c r="AO424" i="162" s="1"/>
  <c r="AQ424" i="162" s="1"/>
  <c r="AO262" i="162"/>
  <c r="AO444" i="162" s="1"/>
  <c r="AQ444" i="162" s="1"/>
  <c r="AO282" i="162"/>
  <c r="AO464" i="162" s="1"/>
  <c r="AQ464" i="162" s="1"/>
  <c r="AO302" i="162"/>
  <c r="AO484" i="162" s="1"/>
  <c r="AQ484" i="162" s="1"/>
  <c r="AO312" i="162"/>
  <c r="AO494" i="162" s="1"/>
  <c r="AQ494" i="162" s="1"/>
  <c r="AO316" i="162"/>
  <c r="AO498" i="162" s="1"/>
  <c r="AQ498" i="162" s="1"/>
  <c r="AO329" i="162"/>
  <c r="AO511" i="162" s="1"/>
  <c r="AQ511" i="162" s="1"/>
  <c r="AO350" i="162"/>
  <c r="AO532" i="162" s="1"/>
  <c r="AQ532" i="162" s="1"/>
  <c r="AO223" i="162"/>
  <c r="AO405" i="162" s="1"/>
  <c r="AQ405" i="162" s="1"/>
  <c r="AO243" i="162"/>
  <c r="AO425" i="162" s="1"/>
  <c r="AQ425" i="162" s="1"/>
  <c r="AO263" i="162"/>
  <c r="AO445" i="162" s="1"/>
  <c r="AQ445" i="162" s="1"/>
  <c r="AO283" i="162"/>
  <c r="AO465" i="162" s="1"/>
  <c r="AQ465" i="162" s="1"/>
  <c r="AO303" i="162"/>
  <c r="AO485" i="162" s="1"/>
  <c r="AQ485" i="162" s="1"/>
  <c r="AO325" i="162"/>
  <c r="AO507" i="162" s="1"/>
  <c r="AQ507" i="162" s="1"/>
  <c r="AO346" i="162"/>
  <c r="AO528" i="162" s="1"/>
  <c r="AQ528" i="162" s="1"/>
  <c r="AO224" i="162"/>
  <c r="AO406" i="162" s="1"/>
  <c r="AQ406" i="162" s="1"/>
  <c r="AO244" i="162"/>
  <c r="AO426" i="162" s="1"/>
  <c r="AQ426" i="162" s="1"/>
  <c r="AO264" i="162"/>
  <c r="AO446" i="162" s="1"/>
  <c r="AQ446" i="162" s="1"/>
  <c r="AO284" i="162"/>
  <c r="AO466" i="162" s="1"/>
  <c r="AQ466" i="162" s="1"/>
  <c r="AO304" i="162"/>
  <c r="AO486" i="162" s="1"/>
  <c r="AQ486" i="162" s="1"/>
  <c r="AO356" i="162"/>
  <c r="AO538" i="162" s="1"/>
  <c r="AQ538" i="162" s="1"/>
  <c r="AO321" i="162"/>
  <c r="AO503" i="162" s="1"/>
  <c r="AQ503" i="162" s="1"/>
  <c r="AO342" i="162"/>
  <c r="AO524" i="162" s="1"/>
  <c r="AQ524" i="162" s="1"/>
  <c r="AO225" i="162"/>
  <c r="AO407" i="162" s="1"/>
  <c r="AQ407" i="162" s="1"/>
  <c r="AO245" i="162"/>
  <c r="AO427" i="162" s="1"/>
  <c r="AQ427" i="162" s="1"/>
  <c r="AO265" i="162"/>
  <c r="AO447" i="162" s="1"/>
  <c r="AQ447" i="162" s="1"/>
  <c r="AO285" i="162"/>
  <c r="AO467" i="162" s="1"/>
  <c r="AQ467" i="162" s="1"/>
  <c r="AO305" i="162"/>
  <c r="AO487" i="162" s="1"/>
  <c r="AQ487" i="162" s="1"/>
  <c r="AO360" i="162"/>
  <c r="AO542" i="162" s="1"/>
  <c r="AQ542" i="162" s="1"/>
  <c r="AO246" i="162"/>
  <c r="AO428" i="162" s="1"/>
  <c r="AQ428" i="162" s="1"/>
  <c r="AO266" i="162"/>
  <c r="AO448" i="162" s="1"/>
  <c r="AQ448" i="162" s="1"/>
  <c r="AO286" i="162"/>
  <c r="AO468" i="162" s="1"/>
  <c r="AQ468" i="162" s="1"/>
  <c r="AO306" i="162"/>
  <c r="AO488" i="162" s="1"/>
  <c r="AQ488" i="162" s="1"/>
  <c r="AO334" i="162"/>
  <c r="AO516" i="162" s="1"/>
  <c r="AQ516" i="162" s="1"/>
  <c r="AO351" i="162"/>
  <c r="AO533" i="162" s="1"/>
  <c r="AQ533" i="162" s="1"/>
  <c r="AO207" i="162"/>
  <c r="AO389" i="162" s="1"/>
  <c r="AQ389" i="162" s="1"/>
  <c r="AO227" i="162"/>
  <c r="AO409" i="162" s="1"/>
  <c r="AQ409" i="162" s="1"/>
  <c r="AO247" i="162"/>
  <c r="AO429" i="162" s="1"/>
  <c r="AQ429" i="162" s="1"/>
  <c r="AO267" i="162"/>
  <c r="AO449" i="162" s="1"/>
  <c r="AQ449" i="162" s="1"/>
  <c r="AO287" i="162"/>
  <c r="AO469" i="162" s="1"/>
  <c r="AQ469" i="162" s="1"/>
  <c r="AO307" i="162"/>
  <c r="AO489" i="162" s="1"/>
  <c r="AQ489" i="162" s="1"/>
  <c r="AO208" i="162"/>
  <c r="AO390" i="162" s="1"/>
  <c r="AQ390" i="162" s="1"/>
  <c r="AO228" i="162"/>
  <c r="AO410" i="162" s="1"/>
  <c r="AQ410" i="162" s="1"/>
  <c r="AO248" i="162"/>
  <c r="AO430" i="162" s="1"/>
  <c r="AQ430" i="162" s="1"/>
  <c r="AO268" i="162"/>
  <c r="AO450" i="162" s="1"/>
  <c r="AQ450" i="162" s="1"/>
  <c r="AO288" i="162"/>
  <c r="AO470" i="162" s="1"/>
  <c r="AQ470" i="162" s="1"/>
  <c r="AO326" i="162"/>
  <c r="AO508" i="162" s="1"/>
  <c r="AQ508" i="162" s="1"/>
  <c r="AO209" i="162"/>
  <c r="AO391" i="162" s="1"/>
  <c r="AQ391" i="162" s="1"/>
  <c r="AO229" i="162"/>
  <c r="AO411" i="162" s="1"/>
  <c r="AQ411" i="162" s="1"/>
  <c r="AO249" i="162"/>
  <c r="AO431" i="162" s="1"/>
  <c r="AQ431" i="162" s="1"/>
  <c r="AO269" i="162"/>
  <c r="AO451" i="162" s="1"/>
  <c r="AQ451" i="162" s="1"/>
  <c r="AO289" i="162"/>
  <c r="AO471" i="162" s="1"/>
  <c r="AQ471" i="162" s="1"/>
  <c r="AO343" i="162"/>
  <c r="AO525" i="162" s="1"/>
  <c r="AQ525" i="162" s="1"/>
  <c r="AO210" i="162"/>
  <c r="AO392" i="162" s="1"/>
  <c r="AQ392" i="162" s="1"/>
  <c r="AO230" i="162"/>
  <c r="AO412" i="162" s="1"/>
  <c r="AQ412" i="162" s="1"/>
  <c r="AO250" i="162"/>
  <c r="AO432" i="162" s="1"/>
  <c r="AQ432" i="162" s="1"/>
  <c r="AO270" i="162"/>
  <c r="AO452" i="162" s="1"/>
  <c r="AQ452" i="162" s="1"/>
  <c r="AO290" i="162"/>
  <c r="AO472" i="162" s="1"/>
  <c r="AQ472" i="162" s="1"/>
  <c r="AO213" i="162"/>
  <c r="AO395" i="162" s="1"/>
  <c r="AQ395" i="162" s="1"/>
  <c r="AO253" i="162"/>
  <c r="AO435" i="162" s="1"/>
  <c r="AQ435" i="162" s="1"/>
  <c r="AO254" i="162"/>
  <c r="AO436" i="162" s="1"/>
  <c r="AQ436" i="162" s="1"/>
  <c r="AO327" i="162"/>
  <c r="AO509" i="162" s="1"/>
  <c r="AQ509" i="162" s="1"/>
  <c r="AO271" i="162"/>
  <c r="AO453" i="162" s="1"/>
  <c r="AQ453" i="162" s="1"/>
  <c r="AO357" i="162"/>
  <c r="AO539" i="162" s="1"/>
  <c r="AQ539" i="162" s="1"/>
  <c r="AO322" i="162"/>
  <c r="AO504" i="162" s="1"/>
  <c r="AQ504" i="162" s="1"/>
  <c r="AO348" i="162"/>
  <c r="AO530" i="162" s="1"/>
  <c r="AQ530" i="162" s="1"/>
  <c r="AO272" i="162"/>
  <c r="AO454" i="162" s="1"/>
  <c r="AQ454" i="162" s="1"/>
  <c r="AO273" i="162"/>
  <c r="AO455" i="162" s="1"/>
  <c r="AQ455" i="162" s="1"/>
  <c r="AO274" i="162"/>
  <c r="AO456" i="162" s="1"/>
  <c r="AQ456" i="162" s="1"/>
  <c r="AO291" i="162"/>
  <c r="AO473" i="162" s="1"/>
  <c r="AQ473" i="162" s="1"/>
  <c r="AO292" i="162"/>
  <c r="AO474" i="162" s="1"/>
  <c r="AQ474" i="162" s="1"/>
  <c r="AO293" i="162"/>
  <c r="AO475" i="162" s="1"/>
  <c r="AQ475" i="162" s="1"/>
  <c r="AO294" i="162"/>
  <c r="AO476" i="162" s="1"/>
  <c r="AQ476" i="162" s="1"/>
  <c r="AO339" i="162"/>
  <c r="AO521" i="162" s="1"/>
  <c r="AQ521" i="162" s="1"/>
  <c r="AO211" i="162"/>
  <c r="AO393" i="162" s="1"/>
  <c r="AQ393" i="162" s="1"/>
  <c r="AO212" i="162"/>
  <c r="AO394" i="162" s="1"/>
  <c r="AQ394" i="162" s="1"/>
  <c r="AO314" i="162"/>
  <c r="AO496" i="162" s="1"/>
  <c r="AQ496" i="162" s="1"/>
  <c r="AO214" i="162"/>
  <c r="AO396" i="162" s="1"/>
  <c r="AQ396" i="162" s="1"/>
  <c r="AO234" i="162"/>
  <c r="AO416" i="162" s="1"/>
  <c r="AQ416" i="162" s="1"/>
  <c r="AO352" i="162"/>
  <c r="AO534" i="162" s="1"/>
  <c r="AQ534" i="162" s="1"/>
  <c r="AO252" i="162"/>
  <c r="AO434" i="162" s="1"/>
  <c r="AQ434" i="162" s="1"/>
  <c r="AO318" i="162"/>
  <c r="AO500" i="162" s="1"/>
  <c r="AQ500" i="162" s="1"/>
  <c r="AO335" i="162"/>
  <c r="AO517" i="162" s="1"/>
  <c r="AQ517" i="162" s="1"/>
  <c r="AO231" i="162"/>
  <c r="AO413" i="162" s="1"/>
  <c r="AQ413" i="162" s="1"/>
  <c r="AO361" i="162"/>
  <c r="AO543" i="162" s="1"/>
  <c r="AQ543" i="162" s="1"/>
  <c r="AO232" i="162"/>
  <c r="AO414" i="162" s="1"/>
  <c r="AQ414" i="162" s="1"/>
  <c r="AO233" i="162"/>
  <c r="AO415" i="162" s="1"/>
  <c r="AQ415" i="162" s="1"/>
  <c r="AO310" i="162"/>
  <c r="AO492" i="162" s="1"/>
  <c r="AQ492" i="162" s="1"/>
  <c r="AO331" i="162"/>
  <c r="AO513" i="162" s="1"/>
  <c r="AQ513" i="162" s="1"/>
  <c r="AO251" i="162"/>
  <c r="AO433" i="162" s="1"/>
  <c r="AQ433" i="162" s="1"/>
  <c r="K56" i="154"/>
  <c r="K68" i="154"/>
  <c r="J56" i="154"/>
  <c r="L68" i="154"/>
  <c r="J68" i="154"/>
  <c r="L56" i="154"/>
  <c r="AO200" i="162"/>
  <c r="AO382" i="162" s="1"/>
  <c r="AQ382" i="162" s="1"/>
  <c r="AO190" i="162"/>
  <c r="AO372" i="162" s="1"/>
  <c r="AQ372" i="162" s="1"/>
  <c r="AO203" i="162"/>
  <c r="AO385" i="162" s="1"/>
  <c r="AQ385" i="162" s="1"/>
  <c r="AO193" i="162"/>
  <c r="AO375" i="162" s="1"/>
  <c r="AQ375" i="162" s="1"/>
  <c r="AO188" i="162"/>
  <c r="AO370" i="162" s="1"/>
  <c r="AQ370" i="162" s="1"/>
  <c r="AO202" i="162"/>
  <c r="AO384" i="162" s="1"/>
  <c r="AQ384" i="162" s="1"/>
  <c r="AO199" i="162"/>
  <c r="AO381" i="162" s="1"/>
  <c r="AQ381" i="162" s="1"/>
  <c r="AO191" i="162"/>
  <c r="AO373" i="162" s="1"/>
  <c r="AQ373" i="162" s="1"/>
  <c r="AO187" i="162"/>
  <c r="AO195" i="162"/>
  <c r="AO377" i="162" s="1"/>
  <c r="AQ377" i="162" s="1"/>
  <c r="AO198" i="162"/>
  <c r="AO380" i="162" s="1"/>
  <c r="AQ380" i="162" s="1"/>
  <c r="AO197" i="162"/>
  <c r="AO379" i="162" s="1"/>
  <c r="AQ379" i="162" s="1"/>
  <c r="AO204" i="162"/>
  <c r="AO386" i="162" s="1"/>
  <c r="AQ386" i="162" s="1"/>
  <c r="AO194" i="162"/>
  <c r="AO376" i="162" s="1"/>
  <c r="AQ376" i="162" s="1"/>
  <c r="AO196" i="162"/>
  <c r="AO378" i="162" s="1"/>
  <c r="AQ378" i="162" s="1"/>
  <c r="AO192" i="162"/>
  <c r="AO374" i="162" s="1"/>
  <c r="AQ374" i="162" s="1"/>
  <c r="AO201" i="162"/>
  <c r="AO383" i="162" s="1"/>
  <c r="AQ383" i="162" s="1"/>
  <c r="AO205" i="162"/>
  <c r="AO387" i="162" s="1"/>
  <c r="AQ387" i="162" s="1"/>
  <c r="AO189" i="162"/>
  <c r="AO371" i="162" s="1"/>
  <c r="AQ371" i="162" s="1"/>
  <c r="BA368" i="162"/>
  <c r="AZ368" i="162"/>
  <c r="AY368" i="162"/>
  <c r="AX368" i="162"/>
  <c r="AU368" i="162"/>
  <c r="BJ368" i="162"/>
  <c r="BI368" i="162"/>
  <c r="BH368" i="162"/>
  <c r="BG368" i="162"/>
  <c r="BF368" i="162"/>
  <c r="AT368" i="162"/>
  <c r="AS368" i="162"/>
  <c r="BC368" i="162"/>
  <c r="AR368" i="162"/>
  <c r="BE368" i="162"/>
  <c r="BD368" i="162"/>
  <c r="BB368" i="162"/>
  <c r="AW368" i="162"/>
  <c r="AV368" i="162"/>
  <c r="AR367" i="162"/>
  <c r="BJ367" i="162"/>
  <c r="BI367" i="162"/>
  <c r="BF367" i="162"/>
  <c r="AW367" i="162"/>
  <c r="AV367" i="162"/>
  <c r="AS367" i="162"/>
  <c r="AU367" i="162"/>
  <c r="AT367" i="162"/>
  <c r="BH367" i="162"/>
  <c r="BE367" i="162"/>
  <c r="BC367" i="162"/>
  <c r="BG367" i="162"/>
  <c r="BD367" i="162"/>
  <c r="AZ367" i="162"/>
  <c r="BB367" i="162"/>
  <c r="BA367" i="162"/>
  <c r="AY367" i="162"/>
  <c r="AX367" i="162"/>
  <c r="AC12" i="158" l="1"/>
  <c r="AC43" i="158"/>
  <c r="AC72" i="158"/>
  <c r="AO369" i="162"/>
  <c r="AQ369" i="162" s="1"/>
  <c r="AO363" i="162"/>
  <c r="AE28" i="162"/>
  <c r="BD412" i="162"/>
  <c r="BG412" i="162"/>
  <c r="BJ412" i="162"/>
  <c r="AS412" i="162"/>
  <c r="BF412" i="162"/>
  <c r="AV412" i="162"/>
  <c r="AY412" i="162"/>
  <c r="BC412" i="162"/>
  <c r="BE412" i="162"/>
  <c r="BI412" i="162"/>
  <c r="AR412" i="162"/>
  <c r="AT412" i="162"/>
  <c r="AZ412" i="162"/>
  <c r="AX412" i="162"/>
  <c r="BA412" i="162"/>
  <c r="AU412" i="162"/>
  <c r="BB412" i="162"/>
  <c r="AW412" i="162"/>
  <c r="BH412" i="162"/>
  <c r="BF463" i="162"/>
  <c r="BI463" i="162"/>
  <c r="AS463" i="162"/>
  <c r="BC463" i="162"/>
  <c r="BE463" i="162"/>
  <c r="BJ463" i="162"/>
  <c r="AT463" i="162"/>
  <c r="AV463" i="162"/>
  <c r="BD463" i="162"/>
  <c r="BG463" i="162"/>
  <c r="BH463" i="162"/>
  <c r="BA463" i="162"/>
  <c r="BB463" i="162"/>
  <c r="AW463" i="162"/>
  <c r="AX463" i="162"/>
  <c r="AY463" i="162"/>
  <c r="AZ463" i="162"/>
  <c r="AU463" i="162"/>
  <c r="AR463" i="162"/>
  <c r="AS525" i="162"/>
  <c r="AV525" i="162"/>
  <c r="AT525" i="162"/>
  <c r="AU525" i="162"/>
  <c r="AW525" i="162"/>
  <c r="AZ525" i="162"/>
  <c r="BA525" i="162"/>
  <c r="BB525" i="162"/>
  <c r="BE525" i="162"/>
  <c r="BC525" i="162"/>
  <c r="BD525" i="162"/>
  <c r="BH525" i="162"/>
  <c r="BG525" i="162"/>
  <c r="AX525" i="162"/>
  <c r="AY525" i="162"/>
  <c r="BF525" i="162"/>
  <c r="BI525" i="162"/>
  <c r="AR525" i="162"/>
  <c r="BJ525" i="162"/>
  <c r="BF423" i="162"/>
  <c r="BI423" i="162"/>
  <c r="BA423" i="162"/>
  <c r="BE423" i="162"/>
  <c r="AS423" i="162"/>
  <c r="AY423" i="162"/>
  <c r="AZ423" i="162"/>
  <c r="BD423" i="162"/>
  <c r="AX423" i="162"/>
  <c r="BB423" i="162"/>
  <c r="BG423" i="162"/>
  <c r="BH423" i="162"/>
  <c r="BJ423" i="162"/>
  <c r="AR423" i="162"/>
  <c r="AV423" i="162"/>
  <c r="AT423" i="162"/>
  <c r="AU423" i="162"/>
  <c r="AW423" i="162"/>
  <c r="BC423" i="162"/>
  <c r="BF403" i="162"/>
  <c r="BI403" i="162"/>
  <c r="BH403" i="162"/>
  <c r="AU403" i="162"/>
  <c r="BC403" i="162"/>
  <c r="BD403" i="162"/>
  <c r="BG403" i="162"/>
  <c r="AS403" i="162"/>
  <c r="AW403" i="162"/>
  <c r="BE403" i="162"/>
  <c r="AX403" i="162"/>
  <c r="AY403" i="162"/>
  <c r="BB403" i="162"/>
  <c r="AZ403" i="162"/>
  <c r="BA403" i="162"/>
  <c r="AT403" i="162"/>
  <c r="AV403" i="162"/>
  <c r="BJ403" i="162"/>
  <c r="AR403" i="162"/>
  <c r="BB451" i="162"/>
  <c r="BE451" i="162"/>
  <c r="BH451" i="162"/>
  <c r="AV451" i="162"/>
  <c r="AS451" i="162"/>
  <c r="AU451" i="162"/>
  <c r="AW451" i="162"/>
  <c r="AR451" i="162"/>
  <c r="AX451" i="162"/>
  <c r="AY451" i="162"/>
  <c r="AZ451" i="162"/>
  <c r="AT451" i="162"/>
  <c r="BJ451" i="162"/>
  <c r="BA451" i="162"/>
  <c r="BC451" i="162"/>
  <c r="BI451" i="162"/>
  <c r="BD451" i="162"/>
  <c r="BF451" i="162"/>
  <c r="BG451" i="162"/>
  <c r="AY528" i="162"/>
  <c r="BB528" i="162"/>
  <c r="BF528" i="162"/>
  <c r="BG528" i="162"/>
  <c r="BH528" i="162"/>
  <c r="BI528" i="162"/>
  <c r="AX528" i="162"/>
  <c r="AZ528" i="162"/>
  <c r="BA528" i="162"/>
  <c r="BC528" i="162"/>
  <c r="BD528" i="162"/>
  <c r="BE528" i="162"/>
  <c r="AS528" i="162"/>
  <c r="AW528" i="162"/>
  <c r="BJ528" i="162"/>
  <c r="AR528" i="162"/>
  <c r="AT528" i="162"/>
  <c r="AU528" i="162"/>
  <c r="AV528" i="162"/>
  <c r="BI507" i="162"/>
  <c r="BE507" i="162"/>
  <c r="BF507" i="162"/>
  <c r="BH507" i="162"/>
  <c r="AS507" i="162"/>
  <c r="AT507" i="162"/>
  <c r="BA507" i="162"/>
  <c r="BJ507" i="162"/>
  <c r="BB507" i="162"/>
  <c r="AR507" i="162"/>
  <c r="BC507" i="162"/>
  <c r="BD507" i="162"/>
  <c r="BG507" i="162"/>
  <c r="AU507" i="162"/>
  <c r="AW507" i="162"/>
  <c r="AV507" i="162"/>
  <c r="AX507" i="162"/>
  <c r="AY507" i="162"/>
  <c r="AZ507" i="162"/>
  <c r="BI497" i="162"/>
  <c r="AS497" i="162"/>
  <c r="AU497" i="162"/>
  <c r="AT497" i="162"/>
  <c r="AR497" i="162"/>
  <c r="AV497" i="162"/>
  <c r="AW497" i="162"/>
  <c r="AX497" i="162"/>
  <c r="BA497" i="162"/>
  <c r="AY497" i="162"/>
  <c r="AZ497" i="162"/>
  <c r="BB497" i="162"/>
  <c r="BC497" i="162"/>
  <c r="BF497" i="162"/>
  <c r="BG497" i="162"/>
  <c r="BJ497" i="162"/>
  <c r="BD497" i="162"/>
  <c r="BE497" i="162"/>
  <c r="BH497" i="162"/>
  <c r="BG476" i="162"/>
  <c r="BA476" i="162"/>
  <c r="BH476" i="162"/>
  <c r="BC476" i="162"/>
  <c r="BF476" i="162"/>
  <c r="BE476" i="162"/>
  <c r="BI476" i="162"/>
  <c r="BJ476" i="162"/>
  <c r="AR476" i="162"/>
  <c r="AT476" i="162"/>
  <c r="AS476" i="162"/>
  <c r="BB476" i="162"/>
  <c r="BD476" i="162"/>
  <c r="AZ476" i="162"/>
  <c r="AU476" i="162"/>
  <c r="AV476" i="162"/>
  <c r="AW476" i="162"/>
  <c r="AY476" i="162"/>
  <c r="AX476" i="162"/>
  <c r="BG478" i="162"/>
  <c r="AS478" i="162"/>
  <c r="AU478" i="162"/>
  <c r="BC478" i="162"/>
  <c r="BD478" i="162"/>
  <c r="BF478" i="162"/>
  <c r="AZ478" i="162"/>
  <c r="BA478" i="162"/>
  <c r="BB478" i="162"/>
  <c r="BE478" i="162"/>
  <c r="AT478" i="162"/>
  <c r="AR478" i="162"/>
  <c r="AV478" i="162"/>
  <c r="AW478" i="162"/>
  <c r="BI478" i="162"/>
  <c r="AX478" i="162"/>
  <c r="AY478" i="162"/>
  <c r="BJ478" i="162"/>
  <c r="BH478" i="162"/>
  <c r="AW471" i="162"/>
  <c r="BA471" i="162"/>
  <c r="BE471" i="162"/>
  <c r="AV471" i="162"/>
  <c r="AZ471" i="162"/>
  <c r="AU471" i="162"/>
  <c r="AX471" i="162"/>
  <c r="BB471" i="162"/>
  <c r="BD471" i="162"/>
  <c r="BF471" i="162"/>
  <c r="BG471" i="162"/>
  <c r="BH471" i="162"/>
  <c r="BC471" i="162"/>
  <c r="AS471" i="162"/>
  <c r="AT471" i="162"/>
  <c r="AY471" i="162"/>
  <c r="BI471" i="162"/>
  <c r="BJ471" i="162"/>
  <c r="AR471" i="162"/>
  <c r="AV458" i="162"/>
  <c r="AY458" i="162"/>
  <c r="BB458" i="162"/>
  <c r="BG458" i="162"/>
  <c r="AW458" i="162"/>
  <c r="BI458" i="162"/>
  <c r="BA458" i="162"/>
  <c r="BC458" i="162"/>
  <c r="BH458" i="162"/>
  <c r="BD458" i="162"/>
  <c r="BE458" i="162"/>
  <c r="BF458" i="162"/>
  <c r="AR458" i="162"/>
  <c r="AU458" i="162"/>
  <c r="AX458" i="162"/>
  <c r="AZ458" i="162"/>
  <c r="AS458" i="162"/>
  <c r="AT458" i="162"/>
  <c r="BJ458" i="162"/>
  <c r="BJ445" i="162"/>
  <c r="AS445" i="162"/>
  <c r="AV445" i="162"/>
  <c r="BE445" i="162"/>
  <c r="BI445" i="162"/>
  <c r="AW445" i="162"/>
  <c r="AT445" i="162"/>
  <c r="AX445" i="162"/>
  <c r="AU445" i="162"/>
  <c r="BA445" i="162"/>
  <c r="BB445" i="162"/>
  <c r="BG445" i="162"/>
  <c r="BC445" i="162"/>
  <c r="BD445" i="162"/>
  <c r="BF445" i="162"/>
  <c r="BH445" i="162"/>
  <c r="AZ445" i="162"/>
  <c r="AY445" i="162"/>
  <c r="AR445" i="162"/>
  <c r="AV428" i="162"/>
  <c r="AY428" i="162"/>
  <c r="BB428" i="162"/>
  <c r="BF428" i="162"/>
  <c r="BJ428" i="162"/>
  <c r="BG428" i="162"/>
  <c r="AW428" i="162"/>
  <c r="BA428" i="162"/>
  <c r="BH428" i="162"/>
  <c r="BI428" i="162"/>
  <c r="AR428" i="162"/>
  <c r="AS428" i="162"/>
  <c r="AT428" i="162"/>
  <c r="AX428" i="162"/>
  <c r="AZ428" i="162"/>
  <c r="BC428" i="162"/>
  <c r="AU428" i="162"/>
  <c r="BD428" i="162"/>
  <c r="BE428" i="162"/>
  <c r="AU520" i="162"/>
  <c r="BC520" i="162"/>
  <c r="BF520" i="162"/>
  <c r="AS520" i="162"/>
  <c r="AT520" i="162"/>
  <c r="AV520" i="162"/>
  <c r="AR520" i="162"/>
  <c r="AW520" i="162"/>
  <c r="BE520" i="162"/>
  <c r="BG520" i="162"/>
  <c r="BH520" i="162"/>
  <c r="BI520" i="162"/>
  <c r="BJ520" i="162"/>
  <c r="AZ520" i="162"/>
  <c r="BA520" i="162"/>
  <c r="BB520" i="162"/>
  <c r="BD520" i="162"/>
  <c r="AX520" i="162"/>
  <c r="AY520" i="162"/>
  <c r="BB411" i="162"/>
  <c r="BE411" i="162"/>
  <c r="BH411" i="162"/>
  <c r="BF411" i="162"/>
  <c r="AX411" i="162"/>
  <c r="BG411" i="162"/>
  <c r="AS411" i="162"/>
  <c r="AU411" i="162"/>
  <c r="AT411" i="162"/>
  <c r="AV411" i="162"/>
  <c r="AW411" i="162"/>
  <c r="AY411" i="162"/>
  <c r="AZ411" i="162"/>
  <c r="BD411" i="162"/>
  <c r="BI411" i="162"/>
  <c r="BA411" i="162"/>
  <c r="BC411" i="162"/>
  <c r="BJ411" i="162"/>
  <c r="AR411" i="162"/>
  <c r="BD462" i="162"/>
  <c r="BG462" i="162"/>
  <c r="BJ462" i="162"/>
  <c r="BE462" i="162"/>
  <c r="AV462" i="162"/>
  <c r="BB462" i="162"/>
  <c r="AU462" i="162"/>
  <c r="AY462" i="162"/>
  <c r="BI462" i="162"/>
  <c r="AS462" i="162"/>
  <c r="AZ462" i="162"/>
  <c r="BA462" i="162"/>
  <c r="BC462" i="162"/>
  <c r="BF462" i="162"/>
  <c r="AR462" i="162"/>
  <c r="AX462" i="162"/>
  <c r="AT462" i="162"/>
  <c r="AW462" i="162"/>
  <c r="BH462" i="162"/>
  <c r="AY492" i="162"/>
  <c r="AW492" i="162"/>
  <c r="BA492" i="162"/>
  <c r="AS492" i="162"/>
  <c r="AR492" i="162"/>
  <c r="BC492" i="162"/>
  <c r="BD492" i="162"/>
  <c r="BE492" i="162"/>
  <c r="BF492" i="162"/>
  <c r="AT492" i="162"/>
  <c r="AU492" i="162"/>
  <c r="AX492" i="162"/>
  <c r="BI492" i="162"/>
  <c r="AZ492" i="162"/>
  <c r="BG492" i="162"/>
  <c r="BH492" i="162"/>
  <c r="BJ492" i="162"/>
  <c r="AV492" i="162"/>
  <c r="BB492" i="162"/>
  <c r="BG532" i="162"/>
  <c r="BJ532" i="162"/>
  <c r="AR532" i="162"/>
  <c r="AZ532" i="162"/>
  <c r="BA532" i="162"/>
  <c r="BB532" i="162"/>
  <c r="BC532" i="162"/>
  <c r="AV532" i="162"/>
  <c r="AW532" i="162"/>
  <c r="AX532" i="162"/>
  <c r="AY532" i="162"/>
  <c r="AS532" i="162"/>
  <c r="AT532" i="162"/>
  <c r="AU532" i="162"/>
  <c r="BH532" i="162"/>
  <c r="BD532" i="162"/>
  <c r="BE532" i="162"/>
  <c r="BI532" i="162"/>
  <c r="BF532" i="162"/>
  <c r="BH508" i="162"/>
  <c r="BI508" i="162"/>
  <c r="AW508" i="162"/>
  <c r="AX508" i="162"/>
  <c r="AY508" i="162"/>
  <c r="AZ508" i="162"/>
  <c r="AR508" i="162"/>
  <c r="BE508" i="162"/>
  <c r="BF508" i="162"/>
  <c r="BG508" i="162"/>
  <c r="BJ508" i="162"/>
  <c r="BC508" i="162"/>
  <c r="AV508" i="162"/>
  <c r="BA508" i="162"/>
  <c r="BB508" i="162"/>
  <c r="BD508" i="162"/>
  <c r="AT508" i="162"/>
  <c r="AS508" i="162"/>
  <c r="AU508" i="162"/>
  <c r="BB401" i="162"/>
  <c r="BE401" i="162"/>
  <c r="BH401" i="162"/>
  <c r="AW401" i="162"/>
  <c r="BA401" i="162"/>
  <c r="AU401" i="162"/>
  <c r="BD401" i="162"/>
  <c r="AS401" i="162"/>
  <c r="BJ401" i="162"/>
  <c r="AV401" i="162"/>
  <c r="AR401" i="162"/>
  <c r="AX401" i="162"/>
  <c r="AT401" i="162"/>
  <c r="BG401" i="162"/>
  <c r="BI401" i="162"/>
  <c r="AY401" i="162"/>
  <c r="AZ401" i="162"/>
  <c r="BC401" i="162"/>
  <c r="BF401" i="162"/>
  <c r="AT498" i="162"/>
  <c r="AV498" i="162"/>
  <c r="AW498" i="162"/>
  <c r="AY498" i="162"/>
  <c r="BA498" i="162"/>
  <c r="BB498" i="162"/>
  <c r="BC498" i="162"/>
  <c r="AR498" i="162"/>
  <c r="BD498" i="162"/>
  <c r="BG498" i="162"/>
  <c r="BH498" i="162"/>
  <c r="BI498" i="162"/>
  <c r="BJ498" i="162"/>
  <c r="BE498" i="162"/>
  <c r="BF498" i="162"/>
  <c r="AZ498" i="162"/>
  <c r="AS498" i="162"/>
  <c r="AX498" i="162"/>
  <c r="AU498" i="162"/>
  <c r="AT427" i="162"/>
  <c r="AW427" i="162"/>
  <c r="AZ427" i="162"/>
  <c r="BA427" i="162"/>
  <c r="BE427" i="162"/>
  <c r="AX427" i="162"/>
  <c r="BG427" i="162"/>
  <c r="AS427" i="162"/>
  <c r="AV427" i="162"/>
  <c r="BI427" i="162"/>
  <c r="BJ427" i="162"/>
  <c r="BB427" i="162"/>
  <c r="AR427" i="162"/>
  <c r="AU427" i="162"/>
  <c r="AY427" i="162"/>
  <c r="BC427" i="162"/>
  <c r="BD427" i="162"/>
  <c r="BH427" i="162"/>
  <c r="BF427" i="162"/>
  <c r="BA539" i="162"/>
  <c r="BD539" i="162"/>
  <c r="BH539" i="162"/>
  <c r="BI539" i="162"/>
  <c r="BJ539" i="162"/>
  <c r="AV539" i="162"/>
  <c r="BB539" i="162"/>
  <c r="AW539" i="162"/>
  <c r="AX539" i="162"/>
  <c r="AR539" i="162"/>
  <c r="AY539" i="162"/>
  <c r="AZ539" i="162"/>
  <c r="AS539" i="162"/>
  <c r="BC539" i="162"/>
  <c r="BF539" i="162"/>
  <c r="BE539" i="162"/>
  <c r="BG539" i="162"/>
  <c r="AT539" i="162"/>
  <c r="AU539" i="162"/>
  <c r="BB421" i="162"/>
  <c r="BE421" i="162"/>
  <c r="BH421" i="162"/>
  <c r="AU421" i="162"/>
  <c r="BA421" i="162"/>
  <c r="BJ421" i="162"/>
  <c r="BG421" i="162"/>
  <c r="BC421" i="162"/>
  <c r="BD421" i="162"/>
  <c r="BI421" i="162"/>
  <c r="AY421" i="162"/>
  <c r="AZ421" i="162"/>
  <c r="BF421" i="162"/>
  <c r="AW421" i="162"/>
  <c r="AX421" i="162"/>
  <c r="AR421" i="162"/>
  <c r="AS421" i="162"/>
  <c r="AT421" i="162"/>
  <c r="AV421" i="162"/>
  <c r="AT524" i="162"/>
  <c r="BJ524" i="162"/>
  <c r="AW524" i="162"/>
  <c r="AS524" i="162"/>
  <c r="AU524" i="162"/>
  <c r="AV524" i="162"/>
  <c r="BF524" i="162"/>
  <c r="BG524" i="162"/>
  <c r="BH524" i="162"/>
  <c r="BI524" i="162"/>
  <c r="AY524" i="162"/>
  <c r="BE524" i="162"/>
  <c r="AZ524" i="162"/>
  <c r="AR524" i="162"/>
  <c r="BA524" i="162"/>
  <c r="BD524" i="162"/>
  <c r="AX524" i="162"/>
  <c r="BB524" i="162"/>
  <c r="BC524" i="162"/>
  <c r="BD402" i="162"/>
  <c r="BG402" i="162"/>
  <c r="BJ402" i="162"/>
  <c r="BB402" i="162"/>
  <c r="BH402" i="162"/>
  <c r="BC402" i="162"/>
  <c r="AY402" i="162"/>
  <c r="BE402" i="162"/>
  <c r="AS402" i="162"/>
  <c r="AU402" i="162"/>
  <c r="BA402" i="162"/>
  <c r="BF402" i="162"/>
  <c r="BI402" i="162"/>
  <c r="AX402" i="162"/>
  <c r="AR402" i="162"/>
  <c r="AT402" i="162"/>
  <c r="AZ402" i="162"/>
  <c r="AV402" i="162"/>
  <c r="AW402" i="162"/>
  <c r="AU500" i="162"/>
  <c r="AX500" i="162"/>
  <c r="BD500" i="162"/>
  <c r="BE500" i="162"/>
  <c r="BG500" i="162"/>
  <c r="AS500" i="162"/>
  <c r="BB500" i="162"/>
  <c r="BC500" i="162"/>
  <c r="BJ500" i="162"/>
  <c r="BF500" i="162"/>
  <c r="BH500" i="162"/>
  <c r="BI500" i="162"/>
  <c r="AY500" i="162"/>
  <c r="AR500" i="162"/>
  <c r="AV500" i="162"/>
  <c r="AZ500" i="162"/>
  <c r="AT500" i="162"/>
  <c r="BA500" i="162"/>
  <c r="AW500" i="162"/>
  <c r="BH444" i="162"/>
  <c r="AT444" i="162"/>
  <c r="AZ444" i="162"/>
  <c r="BD444" i="162"/>
  <c r="BF444" i="162"/>
  <c r="AY444" i="162"/>
  <c r="BC444" i="162"/>
  <c r="BJ444" i="162"/>
  <c r="BE444" i="162"/>
  <c r="BG444" i="162"/>
  <c r="BI444" i="162"/>
  <c r="AW444" i="162"/>
  <c r="AX444" i="162"/>
  <c r="BA444" i="162"/>
  <c r="BB444" i="162"/>
  <c r="AR444" i="162"/>
  <c r="AS444" i="162"/>
  <c r="AU444" i="162"/>
  <c r="AV444" i="162"/>
  <c r="BH424" i="162"/>
  <c r="AT424" i="162"/>
  <c r="BF424" i="162"/>
  <c r="AZ424" i="162"/>
  <c r="BG424" i="162"/>
  <c r="AS424" i="162"/>
  <c r="AU424" i="162"/>
  <c r="AX424" i="162"/>
  <c r="AY424" i="162"/>
  <c r="BA424" i="162"/>
  <c r="AR424" i="162"/>
  <c r="BD424" i="162"/>
  <c r="BB424" i="162"/>
  <c r="BC424" i="162"/>
  <c r="AW424" i="162"/>
  <c r="BE424" i="162"/>
  <c r="BI424" i="162"/>
  <c r="AV424" i="162"/>
  <c r="BJ424" i="162"/>
  <c r="AT534" i="162"/>
  <c r="BH534" i="162"/>
  <c r="BI534" i="162"/>
  <c r="BJ534" i="162"/>
  <c r="BB534" i="162"/>
  <c r="AR534" i="162"/>
  <c r="BC534" i="162"/>
  <c r="BG534" i="162"/>
  <c r="BD534" i="162"/>
  <c r="BE534" i="162"/>
  <c r="BF534" i="162"/>
  <c r="AZ534" i="162"/>
  <c r="AW534" i="162"/>
  <c r="AX534" i="162"/>
  <c r="AS534" i="162"/>
  <c r="AU534" i="162"/>
  <c r="AV534" i="162"/>
  <c r="AY534" i="162"/>
  <c r="BA534" i="162"/>
  <c r="BH404" i="162"/>
  <c r="AT404" i="162"/>
  <c r="AV404" i="162"/>
  <c r="AU404" i="162"/>
  <c r="BB404" i="162"/>
  <c r="AS404" i="162"/>
  <c r="AY404" i="162"/>
  <c r="BE404" i="162"/>
  <c r="BF404" i="162"/>
  <c r="BG404" i="162"/>
  <c r="BI404" i="162"/>
  <c r="BA404" i="162"/>
  <c r="AR404" i="162"/>
  <c r="BC404" i="162"/>
  <c r="BD404" i="162"/>
  <c r="AX404" i="162"/>
  <c r="BJ404" i="162"/>
  <c r="AW404" i="162"/>
  <c r="AZ404" i="162"/>
  <c r="AX449" i="162"/>
  <c r="BA449" i="162"/>
  <c r="BD449" i="162"/>
  <c r="BE449" i="162"/>
  <c r="BI449" i="162"/>
  <c r="AT449" i="162"/>
  <c r="BB449" i="162"/>
  <c r="AV449" i="162"/>
  <c r="AZ449" i="162"/>
  <c r="AR449" i="162"/>
  <c r="AS449" i="162"/>
  <c r="AU449" i="162"/>
  <c r="AW449" i="162"/>
  <c r="BG449" i="162"/>
  <c r="BH449" i="162"/>
  <c r="BF449" i="162"/>
  <c r="BJ449" i="162"/>
  <c r="AY449" i="162"/>
  <c r="BC449" i="162"/>
  <c r="BI533" i="162"/>
  <c r="BD533" i="162"/>
  <c r="BE533" i="162"/>
  <c r="BF533" i="162"/>
  <c r="BG533" i="162"/>
  <c r="AT533" i="162"/>
  <c r="AU533" i="162"/>
  <c r="AV533" i="162"/>
  <c r="AY533" i="162"/>
  <c r="AW533" i="162"/>
  <c r="AX533" i="162"/>
  <c r="BH533" i="162"/>
  <c r="BJ533" i="162"/>
  <c r="BB533" i="162"/>
  <c r="BC533" i="162"/>
  <c r="AS533" i="162"/>
  <c r="AZ533" i="162"/>
  <c r="BA533" i="162"/>
  <c r="AR533" i="162"/>
  <c r="BD442" i="162"/>
  <c r="BG442" i="162"/>
  <c r="BJ442" i="162"/>
  <c r="AT442" i="162"/>
  <c r="AX442" i="162"/>
  <c r="BF442" i="162"/>
  <c r="BB442" i="162"/>
  <c r="BC442" i="162"/>
  <c r="BE442" i="162"/>
  <c r="BH442" i="162"/>
  <c r="AZ442" i="162"/>
  <c r="BA442" i="162"/>
  <c r="BI442" i="162"/>
  <c r="AU442" i="162"/>
  <c r="AS442" i="162"/>
  <c r="AV442" i="162"/>
  <c r="AW442" i="162"/>
  <c r="AR442" i="162"/>
  <c r="AY442" i="162"/>
  <c r="BD392" i="162"/>
  <c r="BG392" i="162"/>
  <c r="BJ392" i="162"/>
  <c r="AU392" i="162"/>
  <c r="AY392" i="162"/>
  <c r="BA392" i="162"/>
  <c r="BI392" i="162"/>
  <c r="BF392" i="162"/>
  <c r="AR392" i="162"/>
  <c r="AS392" i="162"/>
  <c r="AT392" i="162"/>
  <c r="AV392" i="162"/>
  <c r="AW392" i="162"/>
  <c r="AX392" i="162"/>
  <c r="AZ392" i="162"/>
  <c r="BH392" i="162"/>
  <c r="BB392" i="162"/>
  <c r="BC392" i="162"/>
  <c r="BE392" i="162"/>
  <c r="BB461" i="162"/>
  <c r="BE461" i="162"/>
  <c r="BH461" i="162"/>
  <c r="AY461" i="162"/>
  <c r="BD461" i="162"/>
  <c r="AU461" i="162"/>
  <c r="AT461" i="162"/>
  <c r="AV461" i="162"/>
  <c r="AX461" i="162"/>
  <c r="BF461" i="162"/>
  <c r="BG461" i="162"/>
  <c r="BI461" i="162"/>
  <c r="BJ461" i="162"/>
  <c r="AS461" i="162"/>
  <c r="AW461" i="162"/>
  <c r="BC461" i="162"/>
  <c r="AZ461" i="162"/>
  <c r="BA461" i="162"/>
  <c r="AR461" i="162"/>
  <c r="BE485" i="162"/>
  <c r="AW485" i="162"/>
  <c r="AZ485" i="162"/>
  <c r="AY485" i="162"/>
  <c r="BA485" i="162"/>
  <c r="BC485" i="162"/>
  <c r="AS485" i="162"/>
  <c r="BF485" i="162"/>
  <c r="BG485" i="162"/>
  <c r="AR485" i="162"/>
  <c r="BH485" i="162"/>
  <c r="BI485" i="162"/>
  <c r="BJ485" i="162"/>
  <c r="AV485" i="162"/>
  <c r="AX485" i="162"/>
  <c r="BB485" i="162"/>
  <c r="BD485" i="162"/>
  <c r="AU485" i="162"/>
  <c r="AT485" i="162"/>
  <c r="BE475" i="162"/>
  <c r="AX475" i="162"/>
  <c r="BD475" i="162"/>
  <c r="AW475" i="162"/>
  <c r="BA475" i="162"/>
  <c r="BG475" i="162"/>
  <c r="BH475" i="162"/>
  <c r="BJ475" i="162"/>
  <c r="AS475" i="162"/>
  <c r="AT475" i="162"/>
  <c r="AR475" i="162"/>
  <c r="AU475" i="162"/>
  <c r="AV475" i="162"/>
  <c r="BB475" i="162"/>
  <c r="BC475" i="162"/>
  <c r="BF475" i="162"/>
  <c r="BI475" i="162"/>
  <c r="AZ475" i="162"/>
  <c r="AY475" i="162"/>
  <c r="AV448" i="162"/>
  <c r="AY448" i="162"/>
  <c r="BB448" i="162"/>
  <c r="AX448" i="162"/>
  <c r="BD448" i="162"/>
  <c r="AS448" i="162"/>
  <c r="BC448" i="162"/>
  <c r="BE448" i="162"/>
  <c r="BG448" i="162"/>
  <c r="BJ448" i="162"/>
  <c r="AR448" i="162"/>
  <c r="AT448" i="162"/>
  <c r="AU448" i="162"/>
  <c r="AW448" i="162"/>
  <c r="AZ448" i="162"/>
  <c r="BA448" i="162"/>
  <c r="BF448" i="162"/>
  <c r="BH448" i="162"/>
  <c r="BI448" i="162"/>
  <c r="AV438" i="162"/>
  <c r="AY438" i="162"/>
  <c r="BB438" i="162"/>
  <c r="AT438" i="162"/>
  <c r="BI438" i="162"/>
  <c r="AW438" i="162"/>
  <c r="AS438" i="162"/>
  <c r="BC438" i="162"/>
  <c r="BD438" i="162"/>
  <c r="BE438" i="162"/>
  <c r="BF438" i="162"/>
  <c r="BH438" i="162"/>
  <c r="AX438" i="162"/>
  <c r="AR438" i="162"/>
  <c r="BG438" i="162"/>
  <c r="AZ438" i="162"/>
  <c r="BA438" i="162"/>
  <c r="AU438" i="162"/>
  <c r="BJ438" i="162"/>
  <c r="BB431" i="162"/>
  <c r="BE431" i="162"/>
  <c r="BH431" i="162"/>
  <c r="AX431" i="162"/>
  <c r="BC431" i="162"/>
  <c r="BF431" i="162"/>
  <c r="AZ431" i="162"/>
  <c r="BG431" i="162"/>
  <c r="AR431" i="162"/>
  <c r="BJ431" i="162"/>
  <c r="AS431" i="162"/>
  <c r="AT431" i="162"/>
  <c r="AU431" i="162"/>
  <c r="AY431" i="162"/>
  <c r="BI431" i="162"/>
  <c r="BA431" i="162"/>
  <c r="BD431" i="162"/>
  <c r="AV431" i="162"/>
  <c r="AW431" i="162"/>
  <c r="AV418" i="162"/>
  <c r="AY418" i="162"/>
  <c r="BB418" i="162"/>
  <c r="AW418" i="162"/>
  <c r="BC418" i="162"/>
  <c r="BE418" i="162"/>
  <c r="BD418" i="162"/>
  <c r="BH418" i="162"/>
  <c r="AS418" i="162"/>
  <c r="AU418" i="162"/>
  <c r="BI418" i="162"/>
  <c r="BJ418" i="162"/>
  <c r="AT418" i="162"/>
  <c r="BF418" i="162"/>
  <c r="BG418" i="162"/>
  <c r="AX418" i="162"/>
  <c r="AZ418" i="162"/>
  <c r="BA418" i="162"/>
  <c r="AR418" i="162"/>
  <c r="AU456" i="162"/>
  <c r="AX456" i="162"/>
  <c r="AV456" i="162"/>
  <c r="BA456" i="162"/>
  <c r="AZ456" i="162"/>
  <c r="BG456" i="162"/>
  <c r="AS456" i="162"/>
  <c r="AT456" i="162"/>
  <c r="AW456" i="162"/>
  <c r="AR456" i="162"/>
  <c r="AY456" i="162"/>
  <c r="BB456" i="162"/>
  <c r="BC456" i="162"/>
  <c r="BI456" i="162"/>
  <c r="BJ456" i="162"/>
  <c r="BD456" i="162"/>
  <c r="BE456" i="162"/>
  <c r="BF456" i="162"/>
  <c r="BH456" i="162"/>
  <c r="BJ405" i="162"/>
  <c r="AS405" i="162"/>
  <c r="AV405" i="162"/>
  <c r="AW405" i="162"/>
  <c r="BA405" i="162"/>
  <c r="BC405" i="162"/>
  <c r="BI405" i="162"/>
  <c r="BE405" i="162"/>
  <c r="BH405" i="162"/>
  <c r="AZ405" i="162"/>
  <c r="BB405" i="162"/>
  <c r="BF405" i="162"/>
  <c r="BG405" i="162"/>
  <c r="AY405" i="162"/>
  <c r="BD405" i="162"/>
  <c r="AX405" i="162"/>
  <c r="AR405" i="162"/>
  <c r="AT405" i="162"/>
  <c r="AU405" i="162"/>
  <c r="BI487" i="162"/>
  <c r="BC487" i="162"/>
  <c r="BF487" i="162"/>
  <c r="BH487" i="162"/>
  <c r="BJ487" i="162"/>
  <c r="AZ487" i="162"/>
  <c r="BG487" i="162"/>
  <c r="BA487" i="162"/>
  <c r="BB487" i="162"/>
  <c r="BD487" i="162"/>
  <c r="BE487" i="162"/>
  <c r="AW487" i="162"/>
  <c r="AX487" i="162"/>
  <c r="AY487" i="162"/>
  <c r="AR487" i="162"/>
  <c r="AU487" i="162"/>
  <c r="AS487" i="162"/>
  <c r="AT487" i="162"/>
  <c r="AV487" i="162"/>
  <c r="BG522" i="162"/>
  <c r="BJ522" i="162"/>
  <c r="BB522" i="162"/>
  <c r="BC522" i="162"/>
  <c r="BD522" i="162"/>
  <c r="BE522" i="162"/>
  <c r="AV522" i="162"/>
  <c r="AW522" i="162"/>
  <c r="AX522" i="162"/>
  <c r="BA522" i="162"/>
  <c r="AY522" i="162"/>
  <c r="AZ522" i="162"/>
  <c r="BI522" i="162"/>
  <c r="AR522" i="162"/>
  <c r="AU522" i="162"/>
  <c r="AS522" i="162"/>
  <c r="BF522" i="162"/>
  <c r="AT522" i="162"/>
  <c r="BH522" i="162"/>
  <c r="AT467" i="162"/>
  <c r="AW467" i="162"/>
  <c r="AZ467" i="162"/>
  <c r="BI467" i="162"/>
  <c r="BJ467" i="162"/>
  <c r="AS467" i="162"/>
  <c r="AX467" i="162"/>
  <c r="BG467" i="162"/>
  <c r="BH467" i="162"/>
  <c r="AU467" i="162"/>
  <c r="BA467" i="162"/>
  <c r="BB467" i="162"/>
  <c r="BC467" i="162"/>
  <c r="BD467" i="162"/>
  <c r="AR467" i="162"/>
  <c r="BE467" i="162"/>
  <c r="BF467" i="162"/>
  <c r="AY467" i="162"/>
  <c r="AV467" i="162"/>
  <c r="AT544" i="162"/>
  <c r="BF544" i="162"/>
  <c r="BG544" i="162"/>
  <c r="BH544" i="162"/>
  <c r="BI544" i="162"/>
  <c r="AS544" i="162"/>
  <c r="AU544" i="162"/>
  <c r="AV544" i="162"/>
  <c r="AW544" i="162"/>
  <c r="BD544" i="162"/>
  <c r="BE544" i="162"/>
  <c r="BJ544" i="162"/>
  <c r="BC544" i="162"/>
  <c r="AY544" i="162"/>
  <c r="BA544" i="162"/>
  <c r="AZ544" i="162"/>
  <c r="AR544" i="162"/>
  <c r="AX544" i="162"/>
  <c r="BB544" i="162"/>
  <c r="BC530" i="162"/>
  <c r="BF530" i="162"/>
  <c r="AS530" i="162"/>
  <c r="AT530" i="162"/>
  <c r="AU530" i="162"/>
  <c r="AV530" i="162"/>
  <c r="AY530" i="162"/>
  <c r="AW530" i="162"/>
  <c r="AX530" i="162"/>
  <c r="AZ530" i="162"/>
  <c r="BA530" i="162"/>
  <c r="BG530" i="162"/>
  <c r="AR530" i="162"/>
  <c r="BB530" i="162"/>
  <c r="BI530" i="162"/>
  <c r="BJ530" i="162"/>
  <c r="BD530" i="162"/>
  <c r="BE530" i="162"/>
  <c r="BH530" i="162"/>
  <c r="AV388" i="162"/>
  <c r="AY388" i="162"/>
  <c r="BB388" i="162"/>
  <c r="AU388" i="162"/>
  <c r="BA388" i="162"/>
  <c r="AS388" i="162"/>
  <c r="BD388" i="162"/>
  <c r="AT388" i="162"/>
  <c r="AW388" i="162"/>
  <c r="AX388" i="162"/>
  <c r="BH388" i="162"/>
  <c r="AR388" i="162"/>
  <c r="BI388" i="162"/>
  <c r="BJ388" i="162"/>
  <c r="BG388" i="162"/>
  <c r="AZ388" i="162"/>
  <c r="BF388" i="162"/>
  <c r="BC388" i="162"/>
  <c r="BE388" i="162"/>
  <c r="BI543" i="162"/>
  <c r="BB543" i="162"/>
  <c r="BC543" i="162"/>
  <c r="BD543" i="162"/>
  <c r="BE543" i="162"/>
  <c r="AR543" i="162"/>
  <c r="BH543" i="162"/>
  <c r="BJ543" i="162"/>
  <c r="AU543" i="162"/>
  <c r="AX543" i="162"/>
  <c r="AS543" i="162"/>
  <c r="AT543" i="162"/>
  <c r="AV543" i="162"/>
  <c r="AW543" i="162"/>
  <c r="AY543" i="162"/>
  <c r="AZ543" i="162"/>
  <c r="BG543" i="162"/>
  <c r="BA543" i="162"/>
  <c r="BF543" i="162"/>
  <c r="BC494" i="162"/>
  <c r="BF494" i="162"/>
  <c r="AZ494" i="162"/>
  <c r="BA494" i="162"/>
  <c r="BD494" i="162"/>
  <c r="AS494" i="162"/>
  <c r="AT494" i="162"/>
  <c r="AU494" i="162"/>
  <c r="AV494" i="162"/>
  <c r="BB494" i="162"/>
  <c r="BE494" i="162"/>
  <c r="BG494" i="162"/>
  <c r="AW494" i="162"/>
  <c r="AX494" i="162"/>
  <c r="AY494" i="162"/>
  <c r="BH494" i="162"/>
  <c r="AR494" i="162"/>
  <c r="BI494" i="162"/>
  <c r="BJ494" i="162"/>
  <c r="AS499" i="162"/>
  <c r="AV499" i="162"/>
  <c r="AZ499" i="162"/>
  <c r="BA499" i="162"/>
  <c r="BC499" i="162"/>
  <c r="BH499" i="162"/>
  <c r="BI499" i="162"/>
  <c r="BJ499" i="162"/>
  <c r="AR499" i="162"/>
  <c r="AU499" i="162"/>
  <c r="AT499" i="162"/>
  <c r="BD499" i="162"/>
  <c r="BE499" i="162"/>
  <c r="BF499" i="162"/>
  <c r="AW499" i="162"/>
  <c r="AX499" i="162"/>
  <c r="AY499" i="162"/>
  <c r="BB499" i="162"/>
  <c r="BG499" i="162"/>
  <c r="AZ430" i="162"/>
  <c r="BC430" i="162"/>
  <c r="BF430" i="162"/>
  <c r="AS430" i="162"/>
  <c r="AW430" i="162"/>
  <c r="AV430" i="162"/>
  <c r="BE430" i="162"/>
  <c r="AT430" i="162"/>
  <c r="BD430" i="162"/>
  <c r="BG430" i="162"/>
  <c r="BI430" i="162"/>
  <c r="AR430" i="162"/>
  <c r="AU430" i="162"/>
  <c r="AX430" i="162"/>
  <c r="BJ430" i="162"/>
  <c r="AY430" i="162"/>
  <c r="BA430" i="162"/>
  <c r="BB430" i="162"/>
  <c r="BH430" i="162"/>
  <c r="AX459" i="162"/>
  <c r="BA459" i="162"/>
  <c r="BD459" i="162"/>
  <c r="AS459" i="162"/>
  <c r="AW459" i="162"/>
  <c r="BF459" i="162"/>
  <c r="AU459" i="162"/>
  <c r="AY459" i="162"/>
  <c r="AZ459" i="162"/>
  <c r="BC459" i="162"/>
  <c r="BE459" i="162"/>
  <c r="BG459" i="162"/>
  <c r="BH459" i="162"/>
  <c r="BI459" i="162"/>
  <c r="AR459" i="162"/>
  <c r="BJ459" i="162"/>
  <c r="BB459" i="162"/>
  <c r="AT459" i="162"/>
  <c r="AV459" i="162"/>
  <c r="AZ410" i="162"/>
  <c r="BC410" i="162"/>
  <c r="BF410" i="162"/>
  <c r="AY410" i="162"/>
  <c r="BE410" i="162"/>
  <c r="AW410" i="162"/>
  <c r="BB410" i="162"/>
  <c r="BH410" i="162"/>
  <c r="BJ410" i="162"/>
  <c r="AR410" i="162"/>
  <c r="BG410" i="162"/>
  <c r="BI410" i="162"/>
  <c r="BA410" i="162"/>
  <c r="AS410" i="162"/>
  <c r="BD410" i="162"/>
  <c r="AT410" i="162"/>
  <c r="AU410" i="162"/>
  <c r="AV410" i="162"/>
  <c r="AX410" i="162"/>
  <c r="BH464" i="162"/>
  <c r="AT464" i="162"/>
  <c r="AS464" i="162"/>
  <c r="AX464" i="162"/>
  <c r="AU464" i="162"/>
  <c r="BD464" i="162"/>
  <c r="BE464" i="162"/>
  <c r="BG464" i="162"/>
  <c r="AV464" i="162"/>
  <c r="BA464" i="162"/>
  <c r="AW464" i="162"/>
  <c r="AY464" i="162"/>
  <c r="AZ464" i="162"/>
  <c r="AR464" i="162"/>
  <c r="BJ464" i="162"/>
  <c r="BC464" i="162"/>
  <c r="BB464" i="162"/>
  <c r="BF464" i="162"/>
  <c r="BI464" i="162"/>
  <c r="AS509" i="162"/>
  <c r="AR509" i="162"/>
  <c r="AT509" i="162"/>
  <c r="BC509" i="162"/>
  <c r="BD509" i="162"/>
  <c r="BE509" i="162"/>
  <c r="BF509" i="162"/>
  <c r="AW509" i="162"/>
  <c r="AX509" i="162"/>
  <c r="AY509" i="162"/>
  <c r="BB509" i="162"/>
  <c r="AZ509" i="162"/>
  <c r="BA509" i="162"/>
  <c r="BI509" i="162"/>
  <c r="AU509" i="162"/>
  <c r="AV509" i="162"/>
  <c r="BG509" i="162"/>
  <c r="BH509" i="162"/>
  <c r="BJ509" i="162"/>
  <c r="AW537" i="162"/>
  <c r="AZ537" i="162"/>
  <c r="AY537" i="162"/>
  <c r="BA537" i="162"/>
  <c r="BB537" i="162"/>
  <c r="BC537" i="162"/>
  <c r="BF537" i="162"/>
  <c r="BG537" i="162"/>
  <c r="BH537" i="162"/>
  <c r="BI537" i="162"/>
  <c r="AR537" i="162"/>
  <c r="BJ537" i="162"/>
  <c r="AU537" i="162"/>
  <c r="AT537" i="162"/>
  <c r="AV537" i="162"/>
  <c r="AX537" i="162"/>
  <c r="BD537" i="162"/>
  <c r="BE537" i="162"/>
  <c r="AS537" i="162"/>
  <c r="BH434" i="162"/>
  <c r="AT434" i="162"/>
  <c r="AW434" i="162"/>
  <c r="BC434" i="162"/>
  <c r="BJ434" i="162"/>
  <c r="BE434" i="162"/>
  <c r="BI434" i="162"/>
  <c r="AV434" i="162"/>
  <c r="AX434" i="162"/>
  <c r="AZ434" i="162"/>
  <c r="AU434" i="162"/>
  <c r="AY434" i="162"/>
  <c r="BA434" i="162"/>
  <c r="BB434" i="162"/>
  <c r="BG434" i="162"/>
  <c r="AS434" i="162"/>
  <c r="AR434" i="162"/>
  <c r="BD434" i="162"/>
  <c r="BF434" i="162"/>
  <c r="AY538" i="162"/>
  <c r="BB538" i="162"/>
  <c r="BD538" i="162"/>
  <c r="BE538" i="162"/>
  <c r="BF538" i="162"/>
  <c r="BG538" i="162"/>
  <c r="AS538" i="162"/>
  <c r="AR538" i="162"/>
  <c r="AV538" i="162"/>
  <c r="BH538" i="162"/>
  <c r="AW538" i="162"/>
  <c r="AX538" i="162"/>
  <c r="BC538" i="162"/>
  <c r="BJ538" i="162"/>
  <c r="AZ538" i="162"/>
  <c r="BA538" i="162"/>
  <c r="BI538" i="162"/>
  <c r="AU538" i="162"/>
  <c r="AT538" i="162"/>
  <c r="AX399" i="162"/>
  <c r="BA399" i="162"/>
  <c r="BD399" i="162"/>
  <c r="BJ399" i="162"/>
  <c r="BF399" i="162"/>
  <c r="AV399" i="162"/>
  <c r="AZ399" i="162"/>
  <c r="AR399" i="162"/>
  <c r="AU399" i="162"/>
  <c r="AW399" i="162"/>
  <c r="AY399" i="162"/>
  <c r="AS399" i="162"/>
  <c r="AT399" i="162"/>
  <c r="BB399" i="162"/>
  <c r="BC399" i="162"/>
  <c r="BG399" i="162"/>
  <c r="BE399" i="162"/>
  <c r="BH399" i="162"/>
  <c r="BI399" i="162"/>
  <c r="BG486" i="162"/>
  <c r="AZ486" i="162"/>
  <c r="BC486" i="162"/>
  <c r="BE486" i="162"/>
  <c r="BF486" i="162"/>
  <c r="BI486" i="162"/>
  <c r="AX486" i="162"/>
  <c r="AY486" i="162"/>
  <c r="BA486" i="162"/>
  <c r="BB486" i="162"/>
  <c r="AS486" i="162"/>
  <c r="BD486" i="162"/>
  <c r="AV486" i="162"/>
  <c r="AW486" i="162"/>
  <c r="AT486" i="162"/>
  <c r="AU486" i="162"/>
  <c r="BH486" i="162"/>
  <c r="BJ486" i="162"/>
  <c r="AR486" i="162"/>
  <c r="AS535" i="162"/>
  <c r="AV535" i="162"/>
  <c r="AT535" i="162"/>
  <c r="BJ535" i="162"/>
  <c r="AR535" i="162"/>
  <c r="BF535" i="162"/>
  <c r="BG535" i="162"/>
  <c r="BH535" i="162"/>
  <c r="BI535" i="162"/>
  <c r="AW535" i="162"/>
  <c r="BA535" i="162"/>
  <c r="AX535" i="162"/>
  <c r="AZ535" i="162"/>
  <c r="BE535" i="162"/>
  <c r="AU535" i="162"/>
  <c r="BB535" i="162"/>
  <c r="BD535" i="162"/>
  <c r="AY535" i="162"/>
  <c r="BC535" i="162"/>
  <c r="AU387" i="162"/>
  <c r="AR387" i="162"/>
  <c r="AT387" i="162"/>
  <c r="AS387" i="162"/>
  <c r="AU466" i="162"/>
  <c r="AX466" i="162"/>
  <c r="BD466" i="162"/>
  <c r="BH466" i="162"/>
  <c r="BB466" i="162"/>
  <c r="BJ466" i="162"/>
  <c r="AZ466" i="162"/>
  <c r="BA466" i="162"/>
  <c r="BE466" i="162"/>
  <c r="AS466" i="162"/>
  <c r="AT466" i="162"/>
  <c r="AY466" i="162"/>
  <c r="BC466" i="162"/>
  <c r="BF466" i="162"/>
  <c r="BG466" i="162"/>
  <c r="BI466" i="162"/>
  <c r="AR466" i="162"/>
  <c r="AV466" i="162"/>
  <c r="AW466" i="162"/>
  <c r="AT457" i="162"/>
  <c r="AW457" i="162"/>
  <c r="AZ457" i="162"/>
  <c r="BB457" i="162"/>
  <c r="BF457" i="162"/>
  <c r="BH457" i="162"/>
  <c r="AX457" i="162"/>
  <c r="BC457" i="162"/>
  <c r="BA457" i="162"/>
  <c r="BD457" i="162"/>
  <c r="BG457" i="162"/>
  <c r="AV457" i="162"/>
  <c r="AY457" i="162"/>
  <c r="BE457" i="162"/>
  <c r="BI457" i="162"/>
  <c r="AR457" i="162"/>
  <c r="AU457" i="162"/>
  <c r="AS457" i="162"/>
  <c r="BJ457" i="162"/>
  <c r="AU396" i="162"/>
  <c r="AX396" i="162"/>
  <c r="AS396" i="162"/>
  <c r="AY396" i="162"/>
  <c r="BG396" i="162"/>
  <c r="AW396" i="162"/>
  <c r="BC396" i="162"/>
  <c r="BD396" i="162"/>
  <c r="BF396" i="162"/>
  <c r="AV396" i="162"/>
  <c r="AZ396" i="162"/>
  <c r="BA396" i="162"/>
  <c r="BB396" i="162"/>
  <c r="BE396" i="162"/>
  <c r="AR396" i="162"/>
  <c r="AT396" i="162"/>
  <c r="BH396" i="162"/>
  <c r="BI396" i="162"/>
  <c r="BJ396" i="162"/>
  <c r="AY472" i="162"/>
  <c r="BC472" i="162"/>
  <c r="BI472" i="162"/>
  <c r="AS472" i="162"/>
  <c r="BD472" i="162"/>
  <c r="BG472" i="162"/>
  <c r="BF472" i="162"/>
  <c r="BH472" i="162"/>
  <c r="AR472" i="162"/>
  <c r="AT472" i="162"/>
  <c r="AU472" i="162"/>
  <c r="AZ472" i="162"/>
  <c r="BA472" i="162"/>
  <c r="AV472" i="162"/>
  <c r="BB472" i="162"/>
  <c r="BE472" i="162"/>
  <c r="BJ472" i="162"/>
  <c r="AW472" i="162"/>
  <c r="AX472" i="162"/>
  <c r="AX429" i="162"/>
  <c r="BA429" i="162"/>
  <c r="BD429" i="162"/>
  <c r="AV429" i="162"/>
  <c r="BH429" i="162"/>
  <c r="AR429" i="162"/>
  <c r="AT429" i="162"/>
  <c r="BI429" i="162"/>
  <c r="BJ429" i="162"/>
  <c r="AZ429" i="162"/>
  <c r="BB429" i="162"/>
  <c r="BC429" i="162"/>
  <c r="BE429" i="162"/>
  <c r="BF429" i="162"/>
  <c r="BG429" i="162"/>
  <c r="AW429" i="162"/>
  <c r="AY429" i="162"/>
  <c r="AU429" i="162"/>
  <c r="AS429" i="162"/>
  <c r="AU446" i="162"/>
  <c r="AX446" i="162"/>
  <c r="BJ446" i="162"/>
  <c r="AW446" i="162"/>
  <c r="BD446" i="162"/>
  <c r="AS446" i="162"/>
  <c r="AY446" i="162"/>
  <c r="BF446" i="162"/>
  <c r="BG446" i="162"/>
  <c r="BI446" i="162"/>
  <c r="BH446" i="162"/>
  <c r="AT446" i="162"/>
  <c r="AZ446" i="162"/>
  <c r="AV446" i="162"/>
  <c r="BB446" i="162"/>
  <c r="BA446" i="162"/>
  <c r="AR446" i="162"/>
  <c r="BC446" i="162"/>
  <c r="BE446" i="162"/>
  <c r="AS519" i="162"/>
  <c r="AZ519" i="162"/>
  <c r="BC519" i="162"/>
  <c r="AR519" i="162"/>
  <c r="AU519" i="162"/>
  <c r="AV519" i="162"/>
  <c r="BA519" i="162"/>
  <c r="AW519" i="162"/>
  <c r="AX519" i="162"/>
  <c r="AY519" i="162"/>
  <c r="AT519" i="162"/>
  <c r="BF519" i="162"/>
  <c r="BB519" i="162"/>
  <c r="BE519" i="162"/>
  <c r="BG519" i="162"/>
  <c r="BH519" i="162"/>
  <c r="BI519" i="162"/>
  <c r="BJ519" i="162"/>
  <c r="BD519" i="162"/>
  <c r="AZ420" i="162"/>
  <c r="BC420" i="162"/>
  <c r="BF420" i="162"/>
  <c r="BI420" i="162"/>
  <c r="AT420" i="162"/>
  <c r="BA420" i="162"/>
  <c r="AV420" i="162"/>
  <c r="AY420" i="162"/>
  <c r="AS420" i="162"/>
  <c r="AR420" i="162"/>
  <c r="AU420" i="162"/>
  <c r="AW420" i="162"/>
  <c r="BE420" i="162"/>
  <c r="AX420" i="162"/>
  <c r="BB420" i="162"/>
  <c r="BG420" i="162"/>
  <c r="BD420" i="162"/>
  <c r="BH420" i="162"/>
  <c r="BJ420" i="162"/>
  <c r="BC514" i="162"/>
  <c r="BF514" i="162"/>
  <c r="BI514" i="162"/>
  <c r="BH514" i="162"/>
  <c r="BJ514" i="162"/>
  <c r="AV514" i="162"/>
  <c r="AW514" i="162"/>
  <c r="AX514" i="162"/>
  <c r="BA514" i="162"/>
  <c r="AY514" i="162"/>
  <c r="AZ514" i="162"/>
  <c r="AS514" i="162"/>
  <c r="AT514" i="162"/>
  <c r="BB514" i="162"/>
  <c r="AR514" i="162"/>
  <c r="AU514" i="162"/>
  <c r="BD514" i="162"/>
  <c r="BG514" i="162"/>
  <c r="BE514" i="162"/>
  <c r="AT437" i="162"/>
  <c r="AW437" i="162"/>
  <c r="AZ437" i="162"/>
  <c r="BH437" i="162"/>
  <c r="BB437" i="162"/>
  <c r="BI437" i="162"/>
  <c r="BJ437" i="162"/>
  <c r="BE437" i="162"/>
  <c r="BF437" i="162"/>
  <c r="AX437" i="162"/>
  <c r="BG437" i="162"/>
  <c r="AY437" i="162"/>
  <c r="BA437" i="162"/>
  <c r="BC437" i="162"/>
  <c r="BD437" i="162"/>
  <c r="AS437" i="162"/>
  <c r="AU437" i="162"/>
  <c r="AV437" i="162"/>
  <c r="AR437" i="162"/>
  <c r="BF393" i="162"/>
  <c r="BI393" i="162"/>
  <c r="AZ393" i="162"/>
  <c r="BD393" i="162"/>
  <c r="BJ393" i="162"/>
  <c r="AT393" i="162"/>
  <c r="AS393" i="162"/>
  <c r="AU393" i="162"/>
  <c r="AW393" i="162"/>
  <c r="AV393" i="162"/>
  <c r="BB393" i="162"/>
  <c r="BC393" i="162"/>
  <c r="BE393" i="162"/>
  <c r="BG393" i="162"/>
  <c r="BH393" i="162"/>
  <c r="AR393" i="162"/>
  <c r="AX393" i="162"/>
  <c r="BA393" i="162"/>
  <c r="AY393" i="162"/>
  <c r="AU526" i="162"/>
  <c r="AX526" i="162"/>
  <c r="AW526" i="162"/>
  <c r="AY526" i="162"/>
  <c r="AZ526" i="162"/>
  <c r="BA526" i="162"/>
  <c r="BH526" i="162"/>
  <c r="BI526" i="162"/>
  <c r="BJ526" i="162"/>
  <c r="AR526" i="162"/>
  <c r="BF526" i="162"/>
  <c r="BG526" i="162"/>
  <c r="AS526" i="162"/>
  <c r="BE526" i="162"/>
  <c r="AV526" i="162"/>
  <c r="AT526" i="162"/>
  <c r="BB526" i="162"/>
  <c r="BC526" i="162"/>
  <c r="BD526" i="162"/>
  <c r="BG516" i="162"/>
  <c r="AT516" i="162"/>
  <c r="AV516" i="162"/>
  <c r="AW516" i="162"/>
  <c r="AX516" i="162"/>
  <c r="AY516" i="162"/>
  <c r="AU516" i="162"/>
  <c r="AS516" i="162"/>
  <c r="BD516" i="162"/>
  <c r="AR516" i="162"/>
  <c r="BE516" i="162"/>
  <c r="AZ516" i="162"/>
  <c r="BH516" i="162"/>
  <c r="BA516" i="162"/>
  <c r="BB516" i="162"/>
  <c r="BC516" i="162"/>
  <c r="BF516" i="162"/>
  <c r="BJ516" i="162"/>
  <c r="BI516" i="162"/>
  <c r="BE505" i="162"/>
  <c r="AY505" i="162"/>
  <c r="AZ505" i="162"/>
  <c r="BB505" i="162"/>
  <c r="BA505" i="162"/>
  <c r="BC505" i="162"/>
  <c r="BD505" i="162"/>
  <c r="BF505" i="162"/>
  <c r="BI505" i="162"/>
  <c r="BJ505" i="162"/>
  <c r="AR505" i="162"/>
  <c r="AV505" i="162"/>
  <c r="AU505" i="162"/>
  <c r="AW505" i="162"/>
  <c r="AX505" i="162"/>
  <c r="AS505" i="162"/>
  <c r="AT505" i="162"/>
  <c r="BG505" i="162"/>
  <c r="BH505" i="162"/>
  <c r="BA493" i="162"/>
  <c r="AZ493" i="162"/>
  <c r="BD493" i="162"/>
  <c r="AU493" i="162"/>
  <c r="AV493" i="162"/>
  <c r="AX493" i="162"/>
  <c r="AW493" i="162"/>
  <c r="AY493" i="162"/>
  <c r="BB493" i="162"/>
  <c r="BF493" i="162"/>
  <c r="BC493" i="162"/>
  <c r="BE493" i="162"/>
  <c r="BG493" i="162"/>
  <c r="BH493" i="162"/>
  <c r="BI493" i="162"/>
  <c r="BJ493" i="162"/>
  <c r="AR493" i="162"/>
  <c r="AS493" i="162"/>
  <c r="AT493" i="162"/>
  <c r="AU468" i="162"/>
  <c r="AY468" i="162"/>
  <c r="BB468" i="162"/>
  <c r="BE468" i="162"/>
  <c r="AV468" i="162"/>
  <c r="AW468" i="162"/>
  <c r="AZ468" i="162"/>
  <c r="AS468" i="162"/>
  <c r="AT468" i="162"/>
  <c r="BH468" i="162"/>
  <c r="BI468" i="162"/>
  <c r="BJ468" i="162"/>
  <c r="AX468" i="162"/>
  <c r="BD468" i="162"/>
  <c r="BA468" i="162"/>
  <c r="BC468" i="162"/>
  <c r="AR468" i="162"/>
  <c r="BG468" i="162"/>
  <c r="BF468" i="162"/>
  <c r="BE495" i="162"/>
  <c r="BH495" i="162"/>
  <c r="BD495" i="162"/>
  <c r="BF495" i="162"/>
  <c r="BI495" i="162"/>
  <c r="AZ495" i="162"/>
  <c r="BA495" i="162"/>
  <c r="BB495" i="162"/>
  <c r="BC495" i="162"/>
  <c r="AT495" i="162"/>
  <c r="AU495" i="162"/>
  <c r="AV495" i="162"/>
  <c r="AW495" i="162"/>
  <c r="AX495" i="162"/>
  <c r="AY495" i="162"/>
  <c r="AS495" i="162"/>
  <c r="BG495" i="162"/>
  <c r="BJ495" i="162"/>
  <c r="AR495" i="162"/>
  <c r="BA473" i="162"/>
  <c r="BE473" i="162"/>
  <c r="AW473" i="162"/>
  <c r="BJ473" i="162"/>
  <c r="AS473" i="162"/>
  <c r="AY473" i="162"/>
  <c r="AZ473" i="162"/>
  <c r="BB473" i="162"/>
  <c r="BC473" i="162"/>
  <c r="AV473" i="162"/>
  <c r="AX473" i="162"/>
  <c r="BD473" i="162"/>
  <c r="BH473" i="162"/>
  <c r="BF473" i="162"/>
  <c r="BG473" i="162"/>
  <c r="BI473" i="162"/>
  <c r="AR473" i="162"/>
  <c r="AT473" i="162"/>
  <c r="AU473" i="162"/>
  <c r="AU490" i="162"/>
  <c r="AT490" i="162"/>
  <c r="BC490" i="162"/>
  <c r="BD490" i="162"/>
  <c r="BF490" i="162"/>
  <c r="BJ490" i="162"/>
  <c r="BE490" i="162"/>
  <c r="BG490" i="162"/>
  <c r="BH490" i="162"/>
  <c r="BI490" i="162"/>
  <c r="AV490" i="162"/>
  <c r="AR490" i="162"/>
  <c r="BA490" i="162"/>
  <c r="AW490" i="162"/>
  <c r="BB490" i="162"/>
  <c r="AS490" i="162"/>
  <c r="AX490" i="162"/>
  <c r="AY490" i="162"/>
  <c r="AZ490" i="162"/>
  <c r="BA513" i="162"/>
  <c r="BC513" i="162"/>
  <c r="BF513" i="162"/>
  <c r="BB513" i="162"/>
  <c r="BD513" i="162"/>
  <c r="BE513" i="162"/>
  <c r="BG513" i="162"/>
  <c r="AR513" i="162"/>
  <c r="AY513" i="162"/>
  <c r="AZ513" i="162"/>
  <c r="BH513" i="162"/>
  <c r="BI513" i="162"/>
  <c r="BJ513" i="162"/>
  <c r="AS513" i="162"/>
  <c r="AT513" i="162"/>
  <c r="AU513" i="162"/>
  <c r="AV513" i="162"/>
  <c r="AW513" i="162"/>
  <c r="AX513" i="162"/>
  <c r="BE541" i="162"/>
  <c r="BH541" i="162"/>
  <c r="AT541" i="162"/>
  <c r="AU541" i="162"/>
  <c r="AR541" i="162"/>
  <c r="AV541" i="162"/>
  <c r="AW541" i="162"/>
  <c r="AS541" i="162"/>
  <c r="AY541" i="162"/>
  <c r="BA541" i="162"/>
  <c r="AX541" i="162"/>
  <c r="AZ541" i="162"/>
  <c r="BF541" i="162"/>
  <c r="BD541" i="162"/>
  <c r="BG541" i="162"/>
  <c r="BI541" i="162"/>
  <c r="BB541" i="162"/>
  <c r="BC541" i="162"/>
  <c r="BJ541" i="162"/>
  <c r="BJ455" i="162"/>
  <c r="AS455" i="162"/>
  <c r="AV455" i="162"/>
  <c r="AU455" i="162"/>
  <c r="AZ455" i="162"/>
  <c r="BE455" i="162"/>
  <c r="BH455" i="162"/>
  <c r="BD455" i="162"/>
  <c r="BF455" i="162"/>
  <c r="BI455" i="162"/>
  <c r="AX455" i="162"/>
  <c r="AY455" i="162"/>
  <c r="BA455" i="162"/>
  <c r="BB455" i="162"/>
  <c r="AR455" i="162"/>
  <c r="BC455" i="162"/>
  <c r="BG455" i="162"/>
  <c r="AW455" i="162"/>
  <c r="AT455" i="162"/>
  <c r="AY512" i="162"/>
  <c r="AZ512" i="162"/>
  <c r="BC512" i="162"/>
  <c r="AR512" i="162"/>
  <c r="AV512" i="162"/>
  <c r="AW512" i="162"/>
  <c r="AX512" i="162"/>
  <c r="BA512" i="162"/>
  <c r="BE512" i="162"/>
  <c r="BF512" i="162"/>
  <c r="BG512" i="162"/>
  <c r="BH512" i="162"/>
  <c r="BI512" i="162"/>
  <c r="BJ512" i="162"/>
  <c r="AS512" i="162"/>
  <c r="AU512" i="162"/>
  <c r="BB512" i="162"/>
  <c r="AT512" i="162"/>
  <c r="BD512" i="162"/>
  <c r="BJ415" i="162"/>
  <c r="AS415" i="162"/>
  <c r="AV415" i="162"/>
  <c r="BD415" i="162"/>
  <c r="BH415" i="162"/>
  <c r="BE415" i="162"/>
  <c r="AY415" i="162"/>
  <c r="BB415" i="162"/>
  <c r="AW415" i="162"/>
  <c r="AX415" i="162"/>
  <c r="AZ415" i="162"/>
  <c r="BA415" i="162"/>
  <c r="AT415" i="162"/>
  <c r="AU415" i="162"/>
  <c r="BC415" i="162"/>
  <c r="BF415" i="162"/>
  <c r="BG415" i="162"/>
  <c r="BI415" i="162"/>
  <c r="AR415" i="162"/>
  <c r="AW511" i="162"/>
  <c r="AV511" i="162"/>
  <c r="AZ511" i="162"/>
  <c r="AS511" i="162"/>
  <c r="AT511" i="162"/>
  <c r="BA511" i="162"/>
  <c r="AU511" i="162"/>
  <c r="AX511" i="162"/>
  <c r="AY511" i="162"/>
  <c r="AR511" i="162"/>
  <c r="BB511" i="162"/>
  <c r="BC511" i="162"/>
  <c r="BI511" i="162"/>
  <c r="BD511" i="162"/>
  <c r="BH511" i="162"/>
  <c r="BJ511" i="162"/>
  <c r="BE511" i="162"/>
  <c r="BF511" i="162"/>
  <c r="BG511" i="162"/>
  <c r="AU470" i="162"/>
  <c r="AY470" i="162"/>
  <c r="BA470" i="162"/>
  <c r="BG470" i="162"/>
  <c r="AS470" i="162"/>
  <c r="AT470" i="162"/>
  <c r="BI470" i="162"/>
  <c r="BJ470" i="162"/>
  <c r="BB470" i="162"/>
  <c r="BC470" i="162"/>
  <c r="BD470" i="162"/>
  <c r="BH470" i="162"/>
  <c r="BE470" i="162"/>
  <c r="BF470" i="162"/>
  <c r="AR470" i="162"/>
  <c r="AV470" i="162"/>
  <c r="AX470" i="162"/>
  <c r="AW470" i="162"/>
  <c r="AZ470" i="162"/>
  <c r="BG506" i="162"/>
  <c r="BB506" i="162"/>
  <c r="BC506" i="162"/>
  <c r="BE506" i="162"/>
  <c r="BI506" i="162"/>
  <c r="BJ506" i="162"/>
  <c r="AR506" i="162"/>
  <c r="AS506" i="162"/>
  <c r="AV506" i="162"/>
  <c r="AT506" i="162"/>
  <c r="AU506" i="162"/>
  <c r="AY506" i="162"/>
  <c r="AZ506" i="162"/>
  <c r="BA506" i="162"/>
  <c r="BD506" i="162"/>
  <c r="BF506" i="162"/>
  <c r="BH506" i="162"/>
  <c r="AX506" i="162"/>
  <c r="AW506" i="162"/>
  <c r="BC504" i="162"/>
  <c r="AV504" i="162"/>
  <c r="AW504" i="162"/>
  <c r="AY504" i="162"/>
  <c r="AS504" i="162"/>
  <c r="AT504" i="162"/>
  <c r="AU504" i="162"/>
  <c r="AX504" i="162"/>
  <c r="AZ504" i="162"/>
  <c r="BA504" i="162"/>
  <c r="BB504" i="162"/>
  <c r="BD504" i="162"/>
  <c r="BI504" i="162"/>
  <c r="BG504" i="162"/>
  <c r="AR504" i="162"/>
  <c r="BH504" i="162"/>
  <c r="BE504" i="162"/>
  <c r="BF504" i="162"/>
  <c r="BJ504" i="162"/>
  <c r="BD422" i="162"/>
  <c r="BG422" i="162"/>
  <c r="BJ422" i="162"/>
  <c r="AV422" i="162"/>
  <c r="AZ422" i="162"/>
  <c r="AT422" i="162"/>
  <c r="AS422" i="162"/>
  <c r="AR422" i="162"/>
  <c r="AY422" i="162"/>
  <c r="AU422" i="162"/>
  <c r="AW422" i="162"/>
  <c r="AX422" i="162"/>
  <c r="BA422" i="162"/>
  <c r="BI422" i="162"/>
  <c r="BB422" i="162"/>
  <c r="BC422" i="162"/>
  <c r="BE422" i="162"/>
  <c r="BF422" i="162"/>
  <c r="BH422" i="162"/>
  <c r="BF413" i="162"/>
  <c r="BI413" i="162"/>
  <c r="AT413" i="162"/>
  <c r="AX413" i="162"/>
  <c r="AW413" i="162"/>
  <c r="BE413" i="162"/>
  <c r="BJ413" i="162"/>
  <c r="AV413" i="162"/>
  <c r="AY413" i="162"/>
  <c r="AZ413" i="162"/>
  <c r="BA413" i="162"/>
  <c r="BD413" i="162"/>
  <c r="BG413" i="162"/>
  <c r="BH413" i="162"/>
  <c r="BC413" i="162"/>
  <c r="AR413" i="162"/>
  <c r="BB413" i="162"/>
  <c r="AS413" i="162"/>
  <c r="AU413" i="162"/>
  <c r="BC484" i="162"/>
  <c r="AT484" i="162"/>
  <c r="AW484" i="162"/>
  <c r="AS484" i="162"/>
  <c r="AU484" i="162"/>
  <c r="AX484" i="162"/>
  <c r="BH484" i="162"/>
  <c r="BI484" i="162"/>
  <c r="BJ484" i="162"/>
  <c r="AV484" i="162"/>
  <c r="AR484" i="162"/>
  <c r="BB484" i="162"/>
  <c r="BA484" i="162"/>
  <c r="BD484" i="162"/>
  <c r="BE484" i="162"/>
  <c r="AY484" i="162"/>
  <c r="AZ484" i="162"/>
  <c r="BF484" i="162"/>
  <c r="BG484" i="162"/>
  <c r="BI517" i="162"/>
  <c r="AT517" i="162"/>
  <c r="AW517" i="162"/>
  <c r="BA517" i="162"/>
  <c r="BB517" i="162"/>
  <c r="BC517" i="162"/>
  <c r="BD517" i="162"/>
  <c r="AY517" i="162"/>
  <c r="AZ517" i="162"/>
  <c r="BE517" i="162"/>
  <c r="BH517" i="162"/>
  <c r="BF517" i="162"/>
  <c r="BG517" i="162"/>
  <c r="AR517" i="162"/>
  <c r="AU517" i="162"/>
  <c r="AX517" i="162"/>
  <c r="BJ517" i="162"/>
  <c r="AS517" i="162"/>
  <c r="AV517" i="162"/>
  <c r="AX439" i="162"/>
  <c r="BA439" i="162"/>
  <c r="BD439" i="162"/>
  <c r="AU439" i="162"/>
  <c r="AZ439" i="162"/>
  <c r="AY439" i="162"/>
  <c r="BE439" i="162"/>
  <c r="BH439" i="162"/>
  <c r="BC439" i="162"/>
  <c r="BF439" i="162"/>
  <c r="BI439" i="162"/>
  <c r="AR439" i="162"/>
  <c r="AS439" i="162"/>
  <c r="BG439" i="162"/>
  <c r="AV439" i="162"/>
  <c r="AT439" i="162"/>
  <c r="BJ439" i="162"/>
  <c r="AW439" i="162"/>
  <c r="BB439" i="162"/>
  <c r="BA503" i="162"/>
  <c r="AS503" i="162"/>
  <c r="AT503" i="162"/>
  <c r="AV503" i="162"/>
  <c r="BI503" i="162"/>
  <c r="BJ503" i="162"/>
  <c r="BE503" i="162"/>
  <c r="BF503" i="162"/>
  <c r="AR503" i="162"/>
  <c r="BG503" i="162"/>
  <c r="BH503" i="162"/>
  <c r="AX503" i="162"/>
  <c r="BB503" i="162"/>
  <c r="AW503" i="162"/>
  <c r="BC503" i="162"/>
  <c r="AU503" i="162"/>
  <c r="BD503" i="162"/>
  <c r="AY503" i="162"/>
  <c r="AZ503" i="162"/>
  <c r="AX419" i="162"/>
  <c r="BA419" i="162"/>
  <c r="BD419" i="162"/>
  <c r="BC419" i="162"/>
  <c r="BH419" i="162"/>
  <c r="AS419" i="162"/>
  <c r="BG419" i="162"/>
  <c r="BI419" i="162"/>
  <c r="AY419" i="162"/>
  <c r="AZ419" i="162"/>
  <c r="BB419" i="162"/>
  <c r="BE419" i="162"/>
  <c r="BF419" i="162"/>
  <c r="AT419" i="162"/>
  <c r="AU419" i="162"/>
  <c r="AV419" i="162"/>
  <c r="AW419" i="162"/>
  <c r="BJ419" i="162"/>
  <c r="AR419" i="162"/>
  <c r="AS489" i="162"/>
  <c r="BI489" i="162"/>
  <c r="AX489" i="162"/>
  <c r="AR489" i="162"/>
  <c r="AY489" i="162"/>
  <c r="BA489" i="162"/>
  <c r="BB489" i="162"/>
  <c r="BC489" i="162"/>
  <c r="BD489" i="162"/>
  <c r="BE489" i="162"/>
  <c r="AW489" i="162"/>
  <c r="AZ489" i="162"/>
  <c r="BF489" i="162"/>
  <c r="BJ489" i="162"/>
  <c r="BG489" i="162"/>
  <c r="BH489" i="162"/>
  <c r="AT489" i="162"/>
  <c r="AV489" i="162"/>
  <c r="AU489" i="162"/>
  <c r="BB441" i="162"/>
  <c r="BE441" i="162"/>
  <c r="BH441" i="162"/>
  <c r="BG441" i="162"/>
  <c r="BI441" i="162"/>
  <c r="AV441" i="162"/>
  <c r="AY441" i="162"/>
  <c r="AX441" i="162"/>
  <c r="AZ441" i="162"/>
  <c r="BC441" i="162"/>
  <c r="AT441" i="162"/>
  <c r="AU441" i="162"/>
  <c r="BJ441" i="162"/>
  <c r="AW441" i="162"/>
  <c r="BA441" i="162"/>
  <c r="BD441" i="162"/>
  <c r="BF441" i="162"/>
  <c r="AR441" i="162"/>
  <c r="AS441" i="162"/>
  <c r="BJ435" i="162"/>
  <c r="AS435" i="162"/>
  <c r="AV435" i="162"/>
  <c r="AX435" i="162"/>
  <c r="BB435" i="162"/>
  <c r="BH435" i="162"/>
  <c r="BI435" i="162"/>
  <c r="AT435" i="162"/>
  <c r="AZ435" i="162"/>
  <c r="AU435" i="162"/>
  <c r="AW435" i="162"/>
  <c r="AY435" i="162"/>
  <c r="AR435" i="162"/>
  <c r="BE435" i="162"/>
  <c r="BG435" i="162"/>
  <c r="BF435" i="162"/>
  <c r="BC435" i="162"/>
  <c r="BA435" i="162"/>
  <c r="BD435" i="162"/>
  <c r="BI477" i="162"/>
  <c r="BD477" i="162"/>
  <c r="BH477" i="162"/>
  <c r="AV477" i="162"/>
  <c r="AW477" i="162"/>
  <c r="AY477" i="162"/>
  <c r="AS477" i="162"/>
  <c r="AR477" i="162"/>
  <c r="BC477" i="162"/>
  <c r="BE477" i="162"/>
  <c r="BF477" i="162"/>
  <c r="BG477" i="162"/>
  <c r="BJ477" i="162"/>
  <c r="AZ477" i="162"/>
  <c r="BA477" i="162"/>
  <c r="BB477" i="162"/>
  <c r="AT477" i="162"/>
  <c r="AU477" i="162"/>
  <c r="AX477" i="162"/>
  <c r="BJ395" i="162"/>
  <c r="AS395" i="162"/>
  <c r="AV395" i="162"/>
  <c r="AZ395" i="162"/>
  <c r="BF395" i="162"/>
  <c r="BI395" i="162"/>
  <c r="AT395" i="162"/>
  <c r="AW395" i="162"/>
  <c r="BD395" i="162"/>
  <c r="AX395" i="162"/>
  <c r="AY395" i="162"/>
  <c r="BC395" i="162"/>
  <c r="BA395" i="162"/>
  <c r="BB395" i="162"/>
  <c r="AU395" i="162"/>
  <c r="AR395" i="162"/>
  <c r="BE395" i="162"/>
  <c r="BH395" i="162"/>
  <c r="BG395" i="162"/>
  <c r="AZ440" i="162"/>
  <c r="BC440" i="162"/>
  <c r="BF440" i="162"/>
  <c r="BA440" i="162"/>
  <c r="BG440" i="162"/>
  <c r="AX440" i="162"/>
  <c r="BI440" i="162"/>
  <c r="BB440" i="162"/>
  <c r="BD440" i="162"/>
  <c r="BE440" i="162"/>
  <c r="BH440" i="162"/>
  <c r="AS440" i="162"/>
  <c r="AT440" i="162"/>
  <c r="AU440" i="162"/>
  <c r="AV440" i="162"/>
  <c r="AW440" i="162"/>
  <c r="AY440" i="162"/>
  <c r="AR440" i="162"/>
  <c r="BJ440" i="162"/>
  <c r="BG496" i="162"/>
  <c r="BJ496" i="162"/>
  <c r="BI496" i="162"/>
  <c r="BH496" i="162"/>
  <c r="AR496" i="162"/>
  <c r="BE496" i="162"/>
  <c r="BF496" i="162"/>
  <c r="AW496" i="162"/>
  <c r="AX496" i="162"/>
  <c r="BC496" i="162"/>
  <c r="AY496" i="162"/>
  <c r="BB496" i="162"/>
  <c r="AZ496" i="162"/>
  <c r="BA496" i="162"/>
  <c r="BD496" i="162"/>
  <c r="AU496" i="162"/>
  <c r="AS496" i="162"/>
  <c r="AT496" i="162"/>
  <c r="AV496" i="162"/>
  <c r="BD452" i="162"/>
  <c r="BG452" i="162"/>
  <c r="BJ452" i="162"/>
  <c r="AW452" i="162"/>
  <c r="BA452" i="162"/>
  <c r="AS452" i="162"/>
  <c r="AZ452" i="162"/>
  <c r="BB452" i="162"/>
  <c r="BF452" i="162"/>
  <c r="AT452" i="162"/>
  <c r="AU452" i="162"/>
  <c r="AX452" i="162"/>
  <c r="AR452" i="162"/>
  <c r="BH452" i="162"/>
  <c r="AV452" i="162"/>
  <c r="BI452" i="162"/>
  <c r="AY452" i="162"/>
  <c r="BC452" i="162"/>
  <c r="BE452" i="162"/>
  <c r="AX409" i="162"/>
  <c r="BA409" i="162"/>
  <c r="BD409" i="162"/>
  <c r="AT409" i="162"/>
  <c r="AY409" i="162"/>
  <c r="BI409" i="162"/>
  <c r="AU409" i="162"/>
  <c r="AS409" i="162"/>
  <c r="AR409" i="162"/>
  <c r="AV409" i="162"/>
  <c r="AZ409" i="162"/>
  <c r="AW409" i="162"/>
  <c r="BB409" i="162"/>
  <c r="BJ409" i="162"/>
  <c r="BC409" i="162"/>
  <c r="BE409" i="162"/>
  <c r="BG409" i="162"/>
  <c r="BH409" i="162"/>
  <c r="BF409" i="162"/>
  <c r="AU426" i="162"/>
  <c r="AX426" i="162"/>
  <c r="AT426" i="162"/>
  <c r="AZ426" i="162"/>
  <c r="AY426" i="162"/>
  <c r="BE426" i="162"/>
  <c r="BH426" i="162"/>
  <c r="BJ426" i="162"/>
  <c r="AS426" i="162"/>
  <c r="BF426" i="162"/>
  <c r="BG426" i="162"/>
  <c r="BI426" i="162"/>
  <c r="AR426" i="162"/>
  <c r="BB426" i="162"/>
  <c r="AV426" i="162"/>
  <c r="BC426" i="162"/>
  <c r="BD426" i="162"/>
  <c r="AW426" i="162"/>
  <c r="BA426" i="162"/>
  <c r="BE515" i="162"/>
  <c r="BI515" i="162"/>
  <c r="AS515" i="162"/>
  <c r="AT515" i="162"/>
  <c r="BF515" i="162"/>
  <c r="BG515" i="162"/>
  <c r="BH515" i="162"/>
  <c r="BJ515" i="162"/>
  <c r="BC515" i="162"/>
  <c r="BD515" i="162"/>
  <c r="AR515" i="162"/>
  <c r="AV515" i="162"/>
  <c r="AU515" i="162"/>
  <c r="AW515" i="162"/>
  <c r="AX515" i="162"/>
  <c r="AY515" i="162"/>
  <c r="AZ515" i="162"/>
  <c r="BA515" i="162"/>
  <c r="BB515" i="162"/>
  <c r="AZ400" i="162"/>
  <c r="BC400" i="162"/>
  <c r="BF400" i="162"/>
  <c r="AV400" i="162"/>
  <c r="AU400" i="162"/>
  <c r="BH400" i="162"/>
  <c r="AT400" i="162"/>
  <c r="AW400" i="162"/>
  <c r="AY400" i="162"/>
  <c r="BB400" i="162"/>
  <c r="BD400" i="162"/>
  <c r="BE400" i="162"/>
  <c r="BG400" i="162"/>
  <c r="AX400" i="162"/>
  <c r="BA400" i="162"/>
  <c r="BI400" i="162"/>
  <c r="BJ400" i="162"/>
  <c r="AR400" i="162"/>
  <c r="AS400" i="162"/>
  <c r="AW501" i="162"/>
  <c r="AZ501" i="162"/>
  <c r="BH501" i="162"/>
  <c r="BI501" i="162"/>
  <c r="AX501" i="162"/>
  <c r="AY501" i="162"/>
  <c r="BA501" i="162"/>
  <c r="BB501" i="162"/>
  <c r="BC501" i="162"/>
  <c r="BJ501" i="162"/>
  <c r="BD501" i="162"/>
  <c r="BE501" i="162"/>
  <c r="BF501" i="162"/>
  <c r="BG501" i="162"/>
  <c r="AV501" i="162"/>
  <c r="AR501" i="162"/>
  <c r="AS501" i="162"/>
  <c r="AT501" i="162"/>
  <c r="AU501" i="162"/>
  <c r="AT417" i="162"/>
  <c r="AW417" i="162"/>
  <c r="AZ417" i="162"/>
  <c r="AV417" i="162"/>
  <c r="AU417" i="162"/>
  <c r="BD417" i="162"/>
  <c r="AX417" i="162"/>
  <c r="BJ417" i="162"/>
  <c r="BA417" i="162"/>
  <c r="BB417" i="162"/>
  <c r="BC417" i="162"/>
  <c r="BE417" i="162"/>
  <c r="BI417" i="162"/>
  <c r="BF417" i="162"/>
  <c r="BG417" i="162"/>
  <c r="AY417" i="162"/>
  <c r="BH417" i="162"/>
  <c r="AR417" i="162"/>
  <c r="AS417" i="162"/>
  <c r="AU510" i="162"/>
  <c r="AS510" i="162"/>
  <c r="AT510" i="162"/>
  <c r="AW510" i="162"/>
  <c r="BI510" i="162"/>
  <c r="BJ510" i="162"/>
  <c r="BG510" i="162"/>
  <c r="BH510" i="162"/>
  <c r="AR510" i="162"/>
  <c r="AZ510" i="162"/>
  <c r="BE510" i="162"/>
  <c r="AV510" i="162"/>
  <c r="BA510" i="162"/>
  <c r="BF510" i="162"/>
  <c r="AX510" i="162"/>
  <c r="BB510" i="162"/>
  <c r="BC510" i="162"/>
  <c r="BD510" i="162"/>
  <c r="AY510" i="162"/>
  <c r="BE521" i="162"/>
  <c r="BH521" i="162"/>
  <c r="AX521" i="162"/>
  <c r="AY521" i="162"/>
  <c r="AZ521" i="162"/>
  <c r="BA521" i="162"/>
  <c r="AR521" i="162"/>
  <c r="AS521" i="162"/>
  <c r="AV521" i="162"/>
  <c r="BC521" i="162"/>
  <c r="BB521" i="162"/>
  <c r="AW521" i="162"/>
  <c r="AT521" i="162"/>
  <c r="AU521" i="162"/>
  <c r="BD521" i="162"/>
  <c r="BG521" i="162"/>
  <c r="BJ521" i="162"/>
  <c r="BI521" i="162"/>
  <c r="BF521" i="162"/>
  <c r="BF443" i="162"/>
  <c r="BI443" i="162"/>
  <c r="AU443" i="162"/>
  <c r="AY443" i="162"/>
  <c r="AX443" i="162"/>
  <c r="BE443" i="162"/>
  <c r="AS443" i="162"/>
  <c r="AV443" i="162"/>
  <c r="AW443" i="162"/>
  <c r="BA443" i="162"/>
  <c r="BB443" i="162"/>
  <c r="AT443" i="162"/>
  <c r="AZ443" i="162"/>
  <c r="BD443" i="162"/>
  <c r="BC443" i="162"/>
  <c r="BG443" i="162"/>
  <c r="AR443" i="162"/>
  <c r="BH443" i="162"/>
  <c r="BJ443" i="162"/>
  <c r="BF488" i="162"/>
  <c r="BI488" i="162"/>
  <c r="AS488" i="162"/>
  <c r="AT488" i="162"/>
  <c r="AV488" i="162"/>
  <c r="AU488" i="162"/>
  <c r="AW488" i="162"/>
  <c r="AZ488" i="162"/>
  <c r="BG488" i="162"/>
  <c r="BA488" i="162"/>
  <c r="BB488" i="162"/>
  <c r="BJ488" i="162"/>
  <c r="BC488" i="162"/>
  <c r="BD488" i="162"/>
  <c r="BE488" i="162"/>
  <c r="BH488" i="162"/>
  <c r="AX488" i="162"/>
  <c r="AY488" i="162"/>
  <c r="AR488" i="162"/>
  <c r="BJ465" i="162"/>
  <c r="AS465" i="162"/>
  <c r="AV465" i="162"/>
  <c r="AY465" i="162"/>
  <c r="BC465" i="162"/>
  <c r="AT465" i="162"/>
  <c r="BB465" i="162"/>
  <c r="AZ465" i="162"/>
  <c r="BE465" i="162"/>
  <c r="BH465" i="162"/>
  <c r="BI465" i="162"/>
  <c r="AR465" i="162"/>
  <c r="AU465" i="162"/>
  <c r="BD465" i="162"/>
  <c r="BA465" i="162"/>
  <c r="BF465" i="162"/>
  <c r="AX465" i="162"/>
  <c r="BG465" i="162"/>
  <c r="AW465" i="162"/>
  <c r="BA529" i="162"/>
  <c r="AR529" i="162"/>
  <c r="BD529" i="162"/>
  <c r="BJ529" i="162"/>
  <c r="BH529" i="162"/>
  <c r="BI529" i="162"/>
  <c r="AX529" i="162"/>
  <c r="AY529" i="162"/>
  <c r="AZ529" i="162"/>
  <c r="BC529" i="162"/>
  <c r="BF529" i="162"/>
  <c r="BB529" i="162"/>
  <c r="BE529" i="162"/>
  <c r="BG529" i="162"/>
  <c r="AS529" i="162"/>
  <c r="AT529" i="162"/>
  <c r="AU529" i="162"/>
  <c r="AV529" i="162"/>
  <c r="AW529" i="162"/>
  <c r="BC474" i="162"/>
  <c r="AU474" i="162"/>
  <c r="BA474" i="162"/>
  <c r="AV474" i="162"/>
  <c r="AX474" i="162"/>
  <c r="AY474" i="162"/>
  <c r="BB474" i="162"/>
  <c r="AR474" i="162"/>
  <c r="BG474" i="162"/>
  <c r="AS474" i="162"/>
  <c r="AT474" i="162"/>
  <c r="BE474" i="162"/>
  <c r="AW474" i="162"/>
  <c r="AZ474" i="162"/>
  <c r="BD474" i="162"/>
  <c r="BF474" i="162"/>
  <c r="BH474" i="162"/>
  <c r="BI474" i="162"/>
  <c r="BJ474" i="162"/>
  <c r="AY502" i="162"/>
  <c r="AS502" i="162"/>
  <c r="BE502" i="162"/>
  <c r="BF502" i="162"/>
  <c r="BG502" i="162"/>
  <c r="BH502" i="162"/>
  <c r="AX502" i="162"/>
  <c r="AZ502" i="162"/>
  <c r="BA502" i="162"/>
  <c r="BD502" i="162"/>
  <c r="BB502" i="162"/>
  <c r="BC502" i="162"/>
  <c r="AR502" i="162"/>
  <c r="AW502" i="162"/>
  <c r="AT502" i="162"/>
  <c r="AV502" i="162"/>
  <c r="AU502" i="162"/>
  <c r="BI502" i="162"/>
  <c r="BJ502" i="162"/>
  <c r="BF433" i="162"/>
  <c r="BI433" i="162"/>
  <c r="BJ433" i="162"/>
  <c r="AV433" i="162"/>
  <c r="BB433" i="162"/>
  <c r="AU433" i="162"/>
  <c r="AY433" i="162"/>
  <c r="AR433" i="162"/>
  <c r="AZ433" i="162"/>
  <c r="BH433" i="162"/>
  <c r="BA433" i="162"/>
  <c r="BC433" i="162"/>
  <c r="BD433" i="162"/>
  <c r="BE433" i="162"/>
  <c r="BG433" i="162"/>
  <c r="AX433" i="162"/>
  <c r="AS433" i="162"/>
  <c r="AT433" i="162"/>
  <c r="AW433" i="162"/>
  <c r="BJ425" i="162"/>
  <c r="AS425" i="162"/>
  <c r="AV425" i="162"/>
  <c r="AT425" i="162"/>
  <c r="BG425" i="162"/>
  <c r="AU425" i="162"/>
  <c r="AY425" i="162"/>
  <c r="AX425" i="162"/>
  <c r="AZ425" i="162"/>
  <c r="BB425" i="162"/>
  <c r="BF425" i="162"/>
  <c r="BH425" i="162"/>
  <c r="BI425" i="162"/>
  <c r="AR425" i="162"/>
  <c r="BD425" i="162"/>
  <c r="BE425" i="162"/>
  <c r="AW425" i="162"/>
  <c r="BA425" i="162"/>
  <c r="BC425" i="162"/>
  <c r="BG542" i="162"/>
  <c r="BJ542" i="162"/>
  <c r="AX542" i="162"/>
  <c r="AY542" i="162"/>
  <c r="AZ542" i="162"/>
  <c r="AR542" i="162"/>
  <c r="BA542" i="162"/>
  <c r="AV542" i="162"/>
  <c r="AW542" i="162"/>
  <c r="BE542" i="162"/>
  <c r="BB542" i="162"/>
  <c r="BC542" i="162"/>
  <c r="BD542" i="162"/>
  <c r="BF542" i="162"/>
  <c r="BH542" i="162"/>
  <c r="BI542" i="162"/>
  <c r="AU542" i="162"/>
  <c r="AT542" i="162"/>
  <c r="AS542" i="162"/>
  <c r="AV398" i="162"/>
  <c r="AY398" i="162"/>
  <c r="BB398" i="162"/>
  <c r="BE398" i="162"/>
  <c r="BI398" i="162"/>
  <c r="AW398" i="162"/>
  <c r="BF398" i="162"/>
  <c r="AX398" i="162"/>
  <c r="AZ398" i="162"/>
  <c r="BC398" i="162"/>
  <c r="AU398" i="162"/>
  <c r="BA398" i="162"/>
  <c r="BD398" i="162"/>
  <c r="BG398" i="162"/>
  <c r="AR398" i="162"/>
  <c r="AS398" i="162"/>
  <c r="AT398" i="162"/>
  <c r="BH398" i="162"/>
  <c r="BJ398" i="162"/>
  <c r="BB391" i="162"/>
  <c r="BE391" i="162"/>
  <c r="BH391" i="162"/>
  <c r="AT391" i="162"/>
  <c r="AS391" i="162"/>
  <c r="AZ391" i="162"/>
  <c r="AV391" i="162"/>
  <c r="AY391" i="162"/>
  <c r="AU391" i="162"/>
  <c r="AW391" i="162"/>
  <c r="BA391" i="162"/>
  <c r="BJ391" i="162"/>
  <c r="AR391" i="162"/>
  <c r="BD391" i="162"/>
  <c r="BC391" i="162"/>
  <c r="BF391" i="162"/>
  <c r="BG391" i="162"/>
  <c r="AX391" i="162"/>
  <c r="BI391" i="162"/>
  <c r="AW481" i="162"/>
  <c r="AU481" i="162"/>
  <c r="BE481" i="162"/>
  <c r="BH481" i="162"/>
  <c r="AZ481" i="162"/>
  <c r="BA481" i="162"/>
  <c r="BC481" i="162"/>
  <c r="BG481" i="162"/>
  <c r="BI481" i="162"/>
  <c r="BJ481" i="162"/>
  <c r="BD481" i="162"/>
  <c r="BF481" i="162"/>
  <c r="AR481" i="162"/>
  <c r="AS481" i="162"/>
  <c r="AV481" i="162"/>
  <c r="AY481" i="162"/>
  <c r="BB481" i="162"/>
  <c r="AT481" i="162"/>
  <c r="AX481" i="162"/>
  <c r="BH454" i="162"/>
  <c r="AT454" i="162"/>
  <c r="BG454" i="162"/>
  <c r="BI454" i="162"/>
  <c r="AV454" i="162"/>
  <c r="AY454" i="162"/>
  <c r="AS454" i="162"/>
  <c r="AW454" i="162"/>
  <c r="AR454" i="162"/>
  <c r="AU454" i="162"/>
  <c r="AX454" i="162"/>
  <c r="AZ454" i="162"/>
  <c r="BB454" i="162"/>
  <c r="BC454" i="162"/>
  <c r="BD454" i="162"/>
  <c r="BJ454" i="162"/>
  <c r="BA454" i="162"/>
  <c r="BE454" i="162"/>
  <c r="BF454" i="162"/>
  <c r="AW491" i="162"/>
  <c r="AT491" i="162"/>
  <c r="AX491" i="162"/>
  <c r="BH491" i="162"/>
  <c r="BI491" i="162"/>
  <c r="AS491" i="162"/>
  <c r="AU491" i="162"/>
  <c r="AV491" i="162"/>
  <c r="BA491" i="162"/>
  <c r="BB491" i="162"/>
  <c r="BF491" i="162"/>
  <c r="BC491" i="162"/>
  <c r="BD491" i="162"/>
  <c r="BE491" i="162"/>
  <c r="AZ491" i="162"/>
  <c r="BG491" i="162"/>
  <c r="AY491" i="162"/>
  <c r="BJ491" i="162"/>
  <c r="AR491" i="162"/>
  <c r="BH414" i="162"/>
  <c r="AT414" i="162"/>
  <c r="AY414" i="162"/>
  <c r="BC414" i="162"/>
  <c r="AW414" i="162"/>
  <c r="BE414" i="162"/>
  <c r="BA414" i="162"/>
  <c r="BB414" i="162"/>
  <c r="BF414" i="162"/>
  <c r="AV414" i="162"/>
  <c r="AX414" i="162"/>
  <c r="AS414" i="162"/>
  <c r="AU414" i="162"/>
  <c r="AZ414" i="162"/>
  <c r="BD414" i="162"/>
  <c r="BJ414" i="162"/>
  <c r="BG414" i="162"/>
  <c r="BI414" i="162"/>
  <c r="AR414" i="162"/>
  <c r="AT447" i="162"/>
  <c r="AW447" i="162"/>
  <c r="AZ447" i="162"/>
  <c r="AX447" i="162"/>
  <c r="BE447" i="162"/>
  <c r="BD447" i="162"/>
  <c r="BH447" i="162"/>
  <c r="AS447" i="162"/>
  <c r="AU447" i="162"/>
  <c r="AV447" i="162"/>
  <c r="BI447" i="162"/>
  <c r="BJ447" i="162"/>
  <c r="BA447" i="162"/>
  <c r="BF447" i="162"/>
  <c r="BG447" i="162"/>
  <c r="AY447" i="162"/>
  <c r="BB447" i="162"/>
  <c r="AR447" i="162"/>
  <c r="BC447" i="162"/>
  <c r="BC540" i="162"/>
  <c r="BF540" i="162"/>
  <c r="AR540" i="162"/>
  <c r="AS540" i="162"/>
  <c r="BE540" i="162"/>
  <c r="BG540" i="162"/>
  <c r="BH540" i="162"/>
  <c r="BI540" i="162"/>
  <c r="BJ540" i="162"/>
  <c r="AX540" i="162"/>
  <c r="AY540" i="162"/>
  <c r="AZ540" i="162"/>
  <c r="BA540" i="162"/>
  <c r="BB540" i="162"/>
  <c r="BD540" i="162"/>
  <c r="AT540" i="162"/>
  <c r="AU540" i="162"/>
  <c r="AV540" i="162"/>
  <c r="AW540" i="162"/>
  <c r="AZ450" i="162"/>
  <c r="BC450" i="162"/>
  <c r="BF450" i="162"/>
  <c r="BJ450" i="162"/>
  <c r="BB450" i="162"/>
  <c r="BH450" i="162"/>
  <c r="AW450" i="162"/>
  <c r="AX450" i="162"/>
  <c r="BA450" i="162"/>
  <c r="AY450" i="162"/>
  <c r="BD450" i="162"/>
  <c r="AR450" i="162"/>
  <c r="BE450" i="162"/>
  <c r="BG450" i="162"/>
  <c r="BI450" i="162"/>
  <c r="AV450" i="162"/>
  <c r="AS450" i="162"/>
  <c r="AT450" i="162"/>
  <c r="AU450" i="162"/>
  <c r="AS479" i="162"/>
  <c r="BJ479" i="162"/>
  <c r="AV479" i="162"/>
  <c r="AW479" i="162"/>
  <c r="AZ479" i="162"/>
  <c r="BD479" i="162"/>
  <c r="BE479" i="162"/>
  <c r="BF479" i="162"/>
  <c r="BI479" i="162"/>
  <c r="BG479" i="162"/>
  <c r="BH479" i="162"/>
  <c r="BB479" i="162"/>
  <c r="AR479" i="162"/>
  <c r="BC479" i="162"/>
  <c r="AT479" i="162"/>
  <c r="BA479" i="162"/>
  <c r="AU479" i="162"/>
  <c r="AX479" i="162"/>
  <c r="AY479" i="162"/>
  <c r="AT407" i="162"/>
  <c r="AW407" i="162"/>
  <c r="AZ407" i="162"/>
  <c r="BG407" i="162"/>
  <c r="BA407" i="162"/>
  <c r="AX407" i="162"/>
  <c r="BC407" i="162"/>
  <c r="AV407" i="162"/>
  <c r="AY407" i="162"/>
  <c r="BD407" i="162"/>
  <c r="AR407" i="162"/>
  <c r="AS407" i="162"/>
  <c r="BB407" i="162"/>
  <c r="BE407" i="162"/>
  <c r="BF407" i="162"/>
  <c r="AU407" i="162"/>
  <c r="BH407" i="162"/>
  <c r="BI407" i="162"/>
  <c r="BJ407" i="162"/>
  <c r="AY482" i="162"/>
  <c r="AX482" i="162"/>
  <c r="BI482" i="162"/>
  <c r="BF482" i="162"/>
  <c r="BG482" i="162"/>
  <c r="BJ482" i="162"/>
  <c r="AS482" i="162"/>
  <c r="AW482" i="162"/>
  <c r="AT482" i="162"/>
  <c r="AR482" i="162"/>
  <c r="AU482" i="162"/>
  <c r="AV482" i="162"/>
  <c r="BD482" i="162"/>
  <c r="BE482" i="162"/>
  <c r="BH482" i="162"/>
  <c r="BA482" i="162"/>
  <c r="BB482" i="162"/>
  <c r="BC482" i="162"/>
  <c r="AZ482" i="162"/>
  <c r="BF453" i="162"/>
  <c r="BI453" i="162"/>
  <c r="BB453" i="162"/>
  <c r="BG453" i="162"/>
  <c r="AZ453" i="162"/>
  <c r="BJ453" i="162"/>
  <c r="BH453" i="162"/>
  <c r="AV453" i="162"/>
  <c r="AW453" i="162"/>
  <c r="AR453" i="162"/>
  <c r="AX453" i="162"/>
  <c r="AY453" i="162"/>
  <c r="AT453" i="162"/>
  <c r="AU453" i="162"/>
  <c r="BA453" i="162"/>
  <c r="BE453" i="162"/>
  <c r="BC453" i="162"/>
  <c r="BD453" i="162"/>
  <c r="AS453" i="162"/>
  <c r="AW527" i="162"/>
  <c r="AZ527" i="162"/>
  <c r="BB527" i="162"/>
  <c r="BC527" i="162"/>
  <c r="BD527" i="162"/>
  <c r="BE527" i="162"/>
  <c r="AU527" i="162"/>
  <c r="AS527" i="162"/>
  <c r="AT527" i="162"/>
  <c r="AV527" i="162"/>
  <c r="BF527" i="162"/>
  <c r="BH527" i="162"/>
  <c r="AX527" i="162"/>
  <c r="BJ527" i="162"/>
  <c r="AY527" i="162"/>
  <c r="BA527" i="162"/>
  <c r="BG527" i="162"/>
  <c r="BI527" i="162"/>
  <c r="AR527" i="162"/>
  <c r="AZ390" i="162"/>
  <c r="BC390" i="162"/>
  <c r="BF390" i="162"/>
  <c r="BH390" i="162"/>
  <c r="AS390" i="162"/>
  <c r="AT390" i="162"/>
  <c r="AU390" i="162"/>
  <c r="AV390" i="162"/>
  <c r="AW390" i="162"/>
  <c r="AX390" i="162"/>
  <c r="AY390" i="162"/>
  <c r="BD390" i="162"/>
  <c r="BG390" i="162"/>
  <c r="BI390" i="162"/>
  <c r="BB390" i="162"/>
  <c r="BE390" i="162"/>
  <c r="AR390" i="162"/>
  <c r="BA390" i="162"/>
  <c r="BJ390" i="162"/>
  <c r="BI523" i="162"/>
  <c r="BF523" i="162"/>
  <c r="BG523" i="162"/>
  <c r="BH523" i="162"/>
  <c r="BJ523" i="162"/>
  <c r="BD523" i="162"/>
  <c r="BE523" i="162"/>
  <c r="AW523" i="162"/>
  <c r="AS523" i="162"/>
  <c r="AV523" i="162"/>
  <c r="AX523" i="162"/>
  <c r="AT523" i="162"/>
  <c r="AZ523" i="162"/>
  <c r="AU523" i="162"/>
  <c r="AY523" i="162"/>
  <c r="BA523" i="162"/>
  <c r="AR523" i="162"/>
  <c r="BB523" i="162"/>
  <c r="BC523" i="162"/>
  <c r="AU436" i="162"/>
  <c r="AX436" i="162"/>
  <c r="BC436" i="162"/>
  <c r="BG436" i="162"/>
  <c r="AS436" i="162"/>
  <c r="BA436" i="162"/>
  <c r="AY436" i="162"/>
  <c r="BD436" i="162"/>
  <c r="AV436" i="162"/>
  <c r="AZ436" i="162"/>
  <c r="BB436" i="162"/>
  <c r="BE436" i="162"/>
  <c r="BF436" i="162"/>
  <c r="BJ436" i="162"/>
  <c r="AR436" i="162"/>
  <c r="BI436" i="162"/>
  <c r="AT436" i="162"/>
  <c r="AW436" i="162"/>
  <c r="BH436" i="162"/>
  <c r="AU480" i="162"/>
  <c r="BA480" i="162"/>
  <c r="BD480" i="162"/>
  <c r="AS480" i="162"/>
  <c r="AT480" i="162"/>
  <c r="AW480" i="162"/>
  <c r="AV480" i="162"/>
  <c r="AX480" i="162"/>
  <c r="AY480" i="162"/>
  <c r="AZ480" i="162"/>
  <c r="AR480" i="162"/>
  <c r="BG480" i="162"/>
  <c r="BI480" i="162"/>
  <c r="BJ480" i="162"/>
  <c r="BB480" i="162"/>
  <c r="BC480" i="162"/>
  <c r="BE480" i="162"/>
  <c r="BF480" i="162"/>
  <c r="BH480" i="162"/>
  <c r="AS469" i="162"/>
  <c r="AW469" i="162"/>
  <c r="AV469" i="162"/>
  <c r="BC469" i="162"/>
  <c r="BH469" i="162"/>
  <c r="BE469" i="162"/>
  <c r="AR469" i="162"/>
  <c r="BF469" i="162"/>
  <c r="BI469" i="162"/>
  <c r="BD469" i="162"/>
  <c r="BG469" i="162"/>
  <c r="BJ469" i="162"/>
  <c r="AX469" i="162"/>
  <c r="AT469" i="162"/>
  <c r="AU469" i="162"/>
  <c r="AY469" i="162"/>
  <c r="AZ469" i="162"/>
  <c r="BA469" i="162"/>
  <c r="BB469" i="162"/>
  <c r="AZ460" i="162"/>
  <c r="BC460" i="162"/>
  <c r="BF460" i="162"/>
  <c r="AT460" i="162"/>
  <c r="AX460" i="162"/>
  <c r="BG460" i="162"/>
  <c r="BB460" i="162"/>
  <c r="BH460" i="162"/>
  <c r="BJ460" i="162"/>
  <c r="AS460" i="162"/>
  <c r="BD460" i="162"/>
  <c r="BE460" i="162"/>
  <c r="AU460" i="162"/>
  <c r="BA460" i="162"/>
  <c r="AV460" i="162"/>
  <c r="AW460" i="162"/>
  <c r="AY460" i="162"/>
  <c r="BI460" i="162"/>
  <c r="AR460" i="162"/>
  <c r="AU416" i="162"/>
  <c r="AX416" i="162"/>
  <c r="BI416" i="162"/>
  <c r="AV416" i="162"/>
  <c r="BH416" i="162"/>
  <c r="AY416" i="162"/>
  <c r="AZ416" i="162"/>
  <c r="BB416" i="162"/>
  <c r="AW416" i="162"/>
  <c r="BA416" i="162"/>
  <c r="BC416" i="162"/>
  <c r="BF416" i="162"/>
  <c r="BD416" i="162"/>
  <c r="BE416" i="162"/>
  <c r="BG416" i="162"/>
  <c r="AS416" i="162"/>
  <c r="BJ416" i="162"/>
  <c r="AR416" i="162"/>
  <c r="AT416" i="162"/>
  <c r="AU536" i="162"/>
  <c r="AX536" i="162"/>
  <c r="AT536" i="162"/>
  <c r="AV536" i="162"/>
  <c r="AW536" i="162"/>
  <c r="AY536" i="162"/>
  <c r="AS536" i="162"/>
  <c r="AZ536" i="162"/>
  <c r="AR536" i="162"/>
  <c r="BA536" i="162"/>
  <c r="BB536" i="162"/>
  <c r="BC536" i="162"/>
  <c r="BI536" i="162"/>
  <c r="BH536" i="162"/>
  <c r="BG536" i="162"/>
  <c r="BD536" i="162"/>
  <c r="BE536" i="162"/>
  <c r="BF536" i="162"/>
  <c r="BJ536" i="162"/>
  <c r="AW518" i="162"/>
  <c r="AZ518" i="162"/>
  <c r="BF518" i="162"/>
  <c r="AR518" i="162"/>
  <c r="BG518" i="162"/>
  <c r="BH518" i="162"/>
  <c r="BI518" i="162"/>
  <c r="AV518" i="162"/>
  <c r="BJ518" i="162"/>
  <c r="AX518" i="162"/>
  <c r="AY518" i="162"/>
  <c r="BC518" i="162"/>
  <c r="BD518" i="162"/>
  <c r="BA518" i="162"/>
  <c r="BB518" i="162"/>
  <c r="BE518" i="162"/>
  <c r="AU518" i="162"/>
  <c r="AT518" i="162"/>
  <c r="AS518" i="162"/>
  <c r="BH394" i="162"/>
  <c r="AT394" i="162"/>
  <c r="BE394" i="162"/>
  <c r="BJ394" i="162"/>
  <c r="AY394" i="162"/>
  <c r="AZ394" i="162"/>
  <c r="BC394" i="162"/>
  <c r="BF394" i="162"/>
  <c r="BG394" i="162"/>
  <c r="AU394" i="162"/>
  <c r="AV394" i="162"/>
  <c r="AW394" i="162"/>
  <c r="AX394" i="162"/>
  <c r="BA394" i="162"/>
  <c r="AS394" i="162"/>
  <c r="AR394" i="162"/>
  <c r="BD394" i="162"/>
  <c r="BB394" i="162"/>
  <c r="BI394" i="162"/>
  <c r="BD432" i="162"/>
  <c r="BG432" i="162"/>
  <c r="BJ432" i="162"/>
  <c r="BC432" i="162"/>
  <c r="BI432" i="162"/>
  <c r="AU432" i="162"/>
  <c r="AY432" i="162"/>
  <c r="AZ432" i="162"/>
  <c r="BB432" i="162"/>
  <c r="AR432" i="162"/>
  <c r="AT432" i="162"/>
  <c r="AV432" i="162"/>
  <c r="AW432" i="162"/>
  <c r="AX432" i="162"/>
  <c r="AS432" i="162"/>
  <c r="BA432" i="162"/>
  <c r="BH432" i="162"/>
  <c r="BE432" i="162"/>
  <c r="BF432" i="162"/>
  <c r="AX389" i="162"/>
  <c r="BA389" i="162"/>
  <c r="BD389" i="162"/>
  <c r="BB389" i="162"/>
  <c r="BG389" i="162"/>
  <c r="BC389" i="162"/>
  <c r="AZ389" i="162"/>
  <c r="BH389" i="162"/>
  <c r="AV389" i="162"/>
  <c r="AR389" i="162"/>
  <c r="AW389" i="162"/>
  <c r="BE389" i="162"/>
  <c r="AT389" i="162"/>
  <c r="AU389" i="162"/>
  <c r="AY389" i="162"/>
  <c r="BJ389" i="162"/>
  <c r="BF389" i="162"/>
  <c r="BI389" i="162"/>
  <c r="AS389" i="162"/>
  <c r="AU406" i="162"/>
  <c r="AX406" i="162"/>
  <c r="BB406" i="162"/>
  <c r="BF406" i="162"/>
  <c r="BJ406" i="162"/>
  <c r="BE406" i="162"/>
  <c r="AR406" i="162"/>
  <c r="BG406" i="162"/>
  <c r="BH406" i="162"/>
  <c r="BI406" i="162"/>
  <c r="AS406" i="162"/>
  <c r="AY406" i="162"/>
  <c r="AT406" i="162"/>
  <c r="AV406" i="162"/>
  <c r="AW406" i="162"/>
  <c r="AZ406" i="162"/>
  <c r="BA406" i="162"/>
  <c r="BC406" i="162"/>
  <c r="BD406" i="162"/>
  <c r="BA483" i="162"/>
  <c r="AT483" i="162"/>
  <c r="AY483" i="162"/>
  <c r="AZ483" i="162"/>
  <c r="BB483" i="162"/>
  <c r="BC483" i="162"/>
  <c r="BF483" i="162"/>
  <c r="BG483" i="162"/>
  <c r="BH483" i="162"/>
  <c r="BI483" i="162"/>
  <c r="AR483" i="162"/>
  <c r="BJ483" i="162"/>
  <c r="AX483" i="162"/>
  <c r="BD483" i="162"/>
  <c r="AW483" i="162"/>
  <c r="AS483" i="162"/>
  <c r="AU483" i="162"/>
  <c r="AV483" i="162"/>
  <c r="BE483" i="162"/>
  <c r="BE531" i="162"/>
  <c r="BH531" i="162"/>
  <c r="AV531" i="162"/>
  <c r="AW531" i="162"/>
  <c r="AX531" i="162"/>
  <c r="AY531" i="162"/>
  <c r="BB531" i="162"/>
  <c r="BI531" i="162"/>
  <c r="BC531" i="162"/>
  <c r="BD531" i="162"/>
  <c r="BF531" i="162"/>
  <c r="BG531" i="162"/>
  <c r="AZ531" i="162"/>
  <c r="BA531" i="162"/>
  <c r="BJ531" i="162"/>
  <c r="AR531" i="162"/>
  <c r="AS531" i="162"/>
  <c r="AT531" i="162"/>
  <c r="AU531" i="162"/>
  <c r="AV408" i="162"/>
  <c r="AY408" i="162"/>
  <c r="BB408" i="162"/>
  <c r="AS408" i="162"/>
  <c r="BA408" i="162"/>
  <c r="BH408" i="162"/>
  <c r="BI408" i="162"/>
  <c r="BF408" i="162"/>
  <c r="BG408" i="162"/>
  <c r="BJ408" i="162"/>
  <c r="AR408" i="162"/>
  <c r="AW408" i="162"/>
  <c r="AX408" i="162"/>
  <c r="AZ408" i="162"/>
  <c r="BC408" i="162"/>
  <c r="BD408" i="162"/>
  <c r="BE408" i="162"/>
  <c r="AT408" i="162"/>
  <c r="AU408" i="162"/>
  <c r="AT397" i="162"/>
  <c r="AW397" i="162"/>
  <c r="AZ397" i="162"/>
  <c r="AY397" i="162"/>
  <c r="BD397" i="162"/>
  <c r="AV397" i="162"/>
  <c r="BE397" i="162"/>
  <c r="BH397" i="162"/>
  <c r="BF397" i="162"/>
  <c r="BG397" i="162"/>
  <c r="AR397" i="162"/>
  <c r="BI397" i="162"/>
  <c r="BJ397" i="162"/>
  <c r="BA397" i="162"/>
  <c r="BB397" i="162"/>
  <c r="BC397" i="162"/>
  <c r="AS397" i="162"/>
  <c r="AU397" i="162"/>
  <c r="AX397" i="162"/>
  <c r="BK368" i="162"/>
  <c r="BK367" i="162"/>
  <c r="AJ6" i="162"/>
  <c r="AJ17" i="162"/>
  <c r="BI373" i="162"/>
  <c r="BH373" i="162"/>
  <c r="BG373" i="162"/>
  <c r="BF373" i="162"/>
  <c r="BC373" i="162"/>
  <c r="BJ373" i="162"/>
  <c r="BE373" i="162"/>
  <c r="BD373" i="162"/>
  <c r="BB373" i="162"/>
  <c r="BA373" i="162"/>
  <c r="AW373" i="162"/>
  <c r="AU373" i="162"/>
  <c r="AT373" i="162"/>
  <c r="AS373" i="162"/>
  <c r="AY373" i="162"/>
  <c r="AZ373" i="162"/>
  <c r="AX373" i="162"/>
  <c r="AV373" i="162"/>
  <c r="AR373" i="162"/>
  <c r="BG375" i="162"/>
  <c r="BF375" i="162"/>
  <c r="BE375" i="162"/>
  <c r="BD375" i="162"/>
  <c r="BA375" i="162"/>
  <c r="BH375" i="162"/>
  <c r="BC375" i="162"/>
  <c r="AX375" i="162"/>
  <c r="AV375" i="162"/>
  <c r="BB375" i="162"/>
  <c r="AY375" i="162"/>
  <c r="AU375" i="162"/>
  <c r="AZ375" i="162"/>
  <c r="AW375" i="162"/>
  <c r="AT375" i="162"/>
  <c r="AS375" i="162"/>
  <c r="BJ375" i="162"/>
  <c r="BI375" i="162"/>
  <c r="AR375" i="162"/>
  <c r="AY383" i="162"/>
  <c r="AX383" i="162"/>
  <c r="AW383" i="162"/>
  <c r="AV383" i="162"/>
  <c r="AS383" i="162"/>
  <c r="BG383" i="162"/>
  <c r="BE383" i="162"/>
  <c r="BJ383" i="162"/>
  <c r="BI383" i="162"/>
  <c r="BH383" i="162"/>
  <c r="BF383" i="162"/>
  <c r="BD383" i="162"/>
  <c r="BC383" i="162"/>
  <c r="AT383" i="162"/>
  <c r="AR383" i="162"/>
  <c r="BB383" i="162"/>
  <c r="BA383" i="162"/>
  <c r="AU383" i="162"/>
  <c r="AZ383" i="162"/>
  <c r="AY374" i="162"/>
  <c r="AX374" i="162"/>
  <c r="AW374" i="162"/>
  <c r="AV374" i="162"/>
  <c r="AS374" i="162"/>
  <c r="BJ374" i="162"/>
  <c r="BI374" i="162"/>
  <c r="BF374" i="162"/>
  <c r="BD374" i="162"/>
  <c r="BH374" i="162"/>
  <c r="BG374" i="162"/>
  <c r="BE374" i="162"/>
  <c r="BC374" i="162"/>
  <c r="BB374" i="162"/>
  <c r="BA374" i="162"/>
  <c r="AZ374" i="162"/>
  <c r="AU374" i="162"/>
  <c r="AT374" i="162"/>
  <c r="AR374" i="162"/>
  <c r="BJ369" i="162"/>
  <c r="BI369" i="162"/>
  <c r="BH369" i="162"/>
  <c r="BE369" i="162"/>
  <c r="BC369" i="162"/>
  <c r="BB369" i="162"/>
  <c r="BA369" i="162"/>
  <c r="BG369" i="162"/>
  <c r="BD369" i="162"/>
  <c r="BF369" i="162"/>
  <c r="AZ369" i="162"/>
  <c r="AY369" i="162"/>
  <c r="AU369" i="162"/>
  <c r="AR369" i="162"/>
  <c r="AS369" i="162"/>
  <c r="AX369" i="162"/>
  <c r="AW369" i="162"/>
  <c r="AV369" i="162"/>
  <c r="AT369" i="162"/>
  <c r="AX385" i="162"/>
  <c r="AW385" i="162"/>
  <c r="AV385" i="162"/>
  <c r="AU385" i="162"/>
  <c r="AR385" i="162"/>
  <c r="BG385" i="162"/>
  <c r="BF385" i="162"/>
  <c r="AZ385" i="162"/>
  <c r="AT385" i="162"/>
  <c r="BE385" i="162"/>
  <c r="BA385" i="162"/>
  <c r="BD385" i="162"/>
  <c r="BB385" i="162"/>
  <c r="AS385" i="162"/>
  <c r="BC385" i="162"/>
  <c r="AY385" i="162"/>
  <c r="BJ385" i="162"/>
  <c r="BH385" i="162"/>
  <c r="BI385" i="162"/>
  <c r="AY381" i="162"/>
  <c r="AX381" i="162"/>
  <c r="AW381" i="162"/>
  <c r="AV381" i="162"/>
  <c r="AS381" i="162"/>
  <c r="BA381" i="162"/>
  <c r="AZ381" i="162"/>
  <c r="AU381" i="162"/>
  <c r="AT381" i="162"/>
  <c r="AR381" i="162"/>
  <c r="BB381" i="162"/>
  <c r="BJ381" i="162"/>
  <c r="BC381" i="162"/>
  <c r="BI381" i="162"/>
  <c r="BF381" i="162"/>
  <c r="BH381" i="162"/>
  <c r="BG381" i="162"/>
  <c r="BE381" i="162"/>
  <c r="BD381" i="162"/>
  <c r="BJ380" i="162"/>
  <c r="BI380" i="162"/>
  <c r="BH380" i="162"/>
  <c r="BG380" i="162"/>
  <c r="BD380" i="162"/>
  <c r="BB380" i="162"/>
  <c r="BA380" i="162"/>
  <c r="AV380" i="162"/>
  <c r="AZ380" i="162"/>
  <c r="AT380" i="162"/>
  <c r="AR380" i="162"/>
  <c r="AY380" i="162"/>
  <c r="AU380" i="162"/>
  <c r="AS380" i="162"/>
  <c r="AX380" i="162"/>
  <c r="AW380" i="162"/>
  <c r="BE380" i="162"/>
  <c r="BC380" i="162"/>
  <c r="BF380" i="162"/>
  <c r="AY372" i="162"/>
  <c r="AX372" i="162"/>
  <c r="AW372" i="162"/>
  <c r="AV372" i="162"/>
  <c r="AS372" i="162"/>
  <c r="AU372" i="162"/>
  <c r="AT372" i="162"/>
  <c r="AR372" i="162"/>
  <c r="BJ372" i="162"/>
  <c r="BH372" i="162"/>
  <c r="BG372" i="162"/>
  <c r="BC372" i="162"/>
  <c r="BF372" i="162"/>
  <c r="BA372" i="162"/>
  <c r="BE372" i="162"/>
  <c r="BD372" i="162"/>
  <c r="BB372" i="162"/>
  <c r="AZ372" i="162"/>
  <c r="BI372" i="162"/>
  <c r="AU376" i="162"/>
  <c r="AT376" i="162"/>
  <c r="AS376" i="162"/>
  <c r="AR376" i="162"/>
  <c r="BI376" i="162"/>
  <c r="BA376" i="162"/>
  <c r="AZ376" i="162"/>
  <c r="AY376" i="162"/>
  <c r="AX376" i="162"/>
  <c r="AV376" i="162"/>
  <c r="AW376" i="162"/>
  <c r="BJ376" i="162"/>
  <c r="BE376" i="162"/>
  <c r="BD376" i="162"/>
  <c r="BB376" i="162"/>
  <c r="BC376" i="162"/>
  <c r="BH376" i="162"/>
  <c r="BG376" i="162"/>
  <c r="BF376" i="162"/>
  <c r="BG386" i="162"/>
  <c r="BF386" i="162"/>
  <c r="BE386" i="162"/>
  <c r="BD386" i="162"/>
  <c r="BA386" i="162"/>
  <c r="AZ386" i="162"/>
  <c r="BB386" i="162"/>
  <c r="AY386" i="162"/>
  <c r="AU386" i="162"/>
  <c r="AT386" i="162"/>
  <c r="AX386" i="162"/>
  <c r="AS386" i="162"/>
  <c r="AR386" i="162"/>
  <c r="AW386" i="162"/>
  <c r="AV386" i="162"/>
  <c r="BJ386" i="162"/>
  <c r="BH386" i="162"/>
  <c r="BI386" i="162"/>
  <c r="BC386" i="162"/>
  <c r="BI371" i="162"/>
  <c r="BH371" i="162"/>
  <c r="BG371" i="162"/>
  <c r="BF371" i="162"/>
  <c r="BC371" i="162"/>
  <c r="AY371" i="162"/>
  <c r="AX371" i="162"/>
  <c r="AW371" i="162"/>
  <c r="AT371" i="162"/>
  <c r="AV371" i="162"/>
  <c r="AU371" i="162"/>
  <c r="AS371" i="162"/>
  <c r="AR371" i="162"/>
  <c r="AZ371" i="162"/>
  <c r="BJ371" i="162"/>
  <c r="BE371" i="162"/>
  <c r="BD371" i="162"/>
  <c r="BB371" i="162"/>
  <c r="BA371" i="162"/>
  <c r="AZ370" i="162"/>
  <c r="AY370" i="162"/>
  <c r="AX370" i="162"/>
  <c r="AW370" i="162"/>
  <c r="AT370" i="162"/>
  <c r="BH370" i="162"/>
  <c r="BG370" i="162"/>
  <c r="BD370" i="162"/>
  <c r="BF370" i="162"/>
  <c r="BB370" i="162"/>
  <c r="BE370" i="162"/>
  <c r="AU370" i="162"/>
  <c r="BC370" i="162"/>
  <c r="BA370" i="162"/>
  <c r="AV370" i="162"/>
  <c r="BJ370" i="162"/>
  <c r="BI370" i="162"/>
  <c r="AS370" i="162"/>
  <c r="AR370" i="162"/>
  <c r="BJ378" i="162"/>
  <c r="BI378" i="162"/>
  <c r="BH378" i="162"/>
  <c r="BE378" i="162"/>
  <c r="BD378" i="162"/>
  <c r="BC378" i="162"/>
  <c r="BB378" i="162"/>
  <c r="BG378" i="162"/>
  <c r="BA378" i="162"/>
  <c r="BF378" i="162"/>
  <c r="AZ378" i="162"/>
  <c r="AY378" i="162"/>
  <c r="AX378" i="162"/>
  <c r="AR378" i="162"/>
  <c r="AW378" i="162"/>
  <c r="AV378" i="162"/>
  <c r="AU378" i="162"/>
  <c r="AT378" i="162"/>
  <c r="AS378" i="162"/>
  <c r="BA379" i="162"/>
  <c r="AZ379" i="162"/>
  <c r="AY379" i="162"/>
  <c r="AX379" i="162"/>
  <c r="AU379" i="162"/>
  <c r="BI379" i="162"/>
  <c r="BH379" i="162"/>
  <c r="AV379" i="162"/>
  <c r="BG379" i="162"/>
  <c r="BF379" i="162"/>
  <c r="BD379" i="162"/>
  <c r="BC379" i="162"/>
  <c r="BE379" i="162"/>
  <c r="BB379" i="162"/>
  <c r="AT379" i="162"/>
  <c r="AW379" i="162"/>
  <c r="BJ379" i="162"/>
  <c r="AS379" i="162"/>
  <c r="AR379" i="162"/>
  <c r="BI384" i="162"/>
  <c r="BH384" i="162"/>
  <c r="BG384" i="162"/>
  <c r="BF384" i="162"/>
  <c r="BC384" i="162"/>
  <c r="BB384" i="162"/>
  <c r="BJ384" i="162"/>
  <c r="BA384" i="162"/>
  <c r="BE384" i="162"/>
  <c r="AZ384" i="162"/>
  <c r="AY384" i="162"/>
  <c r="AX384" i="162"/>
  <c r="BD384" i="162"/>
  <c r="AW384" i="162"/>
  <c r="AV384" i="162"/>
  <c r="AR384" i="162"/>
  <c r="AU384" i="162"/>
  <c r="AT384" i="162"/>
  <c r="AS384" i="162"/>
  <c r="BC377" i="162"/>
  <c r="BB377" i="162"/>
  <c r="BA377" i="162"/>
  <c r="AZ377" i="162"/>
  <c r="AW377" i="162"/>
  <c r="AR377" i="162"/>
  <c r="BH377" i="162"/>
  <c r="BI377" i="162"/>
  <c r="BG377" i="162"/>
  <c r="BJ377" i="162"/>
  <c r="AU377" i="162"/>
  <c r="BF377" i="162"/>
  <c r="AT377" i="162"/>
  <c r="AS377" i="162"/>
  <c r="BE377" i="162"/>
  <c r="BD377" i="162"/>
  <c r="AY377" i="162"/>
  <c r="AX377" i="162"/>
  <c r="AV377" i="162"/>
  <c r="AV387" i="162"/>
  <c r="BJ387" i="162"/>
  <c r="BI387" i="162"/>
  <c r="BA387" i="162"/>
  <c r="AZ387" i="162"/>
  <c r="AY387" i="162"/>
  <c r="AX387" i="162"/>
  <c r="AW387" i="162"/>
  <c r="BH387" i="162"/>
  <c r="BE387" i="162"/>
  <c r="BC387" i="162"/>
  <c r="BB387" i="162"/>
  <c r="BG387" i="162"/>
  <c r="BF387" i="162"/>
  <c r="BD387" i="162"/>
  <c r="BI382" i="162"/>
  <c r="BH382" i="162"/>
  <c r="BG382" i="162"/>
  <c r="BF382" i="162"/>
  <c r="BC382" i="162"/>
  <c r="AS382" i="162"/>
  <c r="AR382" i="162"/>
  <c r="BJ382" i="162"/>
  <c r="BE382" i="162"/>
  <c r="BD382" i="162"/>
  <c r="AY382" i="162"/>
  <c r="AX382" i="162"/>
  <c r="AW382" i="162"/>
  <c r="AV382" i="162"/>
  <c r="AU382" i="162"/>
  <c r="BB382" i="162"/>
  <c r="BA382" i="162"/>
  <c r="AZ382" i="162"/>
  <c r="AT382" i="162"/>
  <c r="AL119" i="129"/>
  <c r="AL120" i="129"/>
  <c r="AL121" i="129"/>
  <c r="AL122" i="129"/>
  <c r="AL123" i="129"/>
  <c r="AL124" i="129"/>
  <c r="AL125" i="129"/>
  <c r="AL126" i="129"/>
  <c r="AJ64" i="158"/>
  <c r="AL64" i="158"/>
  <c r="AP119" i="129"/>
  <c r="D47" i="129"/>
  <c r="AR118" i="129"/>
  <c r="Y2" i="135"/>
  <c r="P8" i="154"/>
  <c r="P9" i="154"/>
  <c r="P10" i="154"/>
  <c r="P11" i="154"/>
  <c r="P12" i="154"/>
  <c r="P7" i="154"/>
  <c r="J2" i="135"/>
  <c r="AC13" i="158" l="1"/>
  <c r="AC44" i="158"/>
  <c r="AC73" i="158"/>
  <c r="AE29" i="162"/>
  <c r="BF118" i="129"/>
  <c r="BG118" i="129"/>
  <c r="BH118" i="129"/>
  <c r="BI118" i="129"/>
  <c r="BK118" i="129"/>
  <c r="AS118" i="129"/>
  <c r="AT118" i="129"/>
  <c r="AU118" i="129"/>
  <c r="AV118" i="129"/>
  <c r="AW118" i="129"/>
  <c r="AX118" i="129"/>
  <c r="AY118" i="129"/>
  <c r="AZ118" i="129"/>
  <c r="BA118" i="129"/>
  <c r="BB118" i="129"/>
  <c r="BC118" i="129"/>
  <c r="BD118" i="129"/>
  <c r="BE118" i="129"/>
  <c r="BJ118" i="129"/>
  <c r="BK474" i="162"/>
  <c r="BK501" i="162"/>
  <c r="BK525" i="162"/>
  <c r="BK443" i="162"/>
  <c r="BK517" i="162"/>
  <c r="BK543" i="162"/>
  <c r="BK425" i="162"/>
  <c r="BK396" i="162"/>
  <c r="BK481" i="162"/>
  <c r="BK490" i="162"/>
  <c r="BK433" i="162"/>
  <c r="BK418" i="162"/>
  <c r="BK520" i="162"/>
  <c r="BK528" i="162"/>
  <c r="BK522" i="162"/>
  <c r="BK408" i="162"/>
  <c r="BK518" i="162"/>
  <c r="BK402" i="162"/>
  <c r="BK509" i="162"/>
  <c r="BK407" i="162"/>
  <c r="BK470" i="162"/>
  <c r="BK497" i="162"/>
  <c r="BK411" i="162"/>
  <c r="BK535" i="162"/>
  <c r="BK442" i="162"/>
  <c r="BK403" i="162"/>
  <c r="AJ120" i="162"/>
  <c r="AJ125" i="162"/>
  <c r="AJ108" i="162"/>
  <c r="AJ84" i="162"/>
  <c r="AJ146" i="162"/>
  <c r="AJ95" i="162"/>
  <c r="AJ116" i="162"/>
  <c r="AJ75" i="162"/>
  <c r="AJ59" i="162"/>
  <c r="AJ171" i="162"/>
  <c r="AJ81" i="162"/>
  <c r="AJ89" i="162"/>
  <c r="AJ115" i="162"/>
  <c r="AJ96" i="162"/>
  <c r="AJ117" i="162"/>
  <c r="AJ168" i="162"/>
  <c r="AJ77" i="162"/>
  <c r="AJ154" i="162"/>
  <c r="AJ156" i="162"/>
  <c r="AJ162" i="162"/>
  <c r="AJ157" i="162"/>
  <c r="AJ145" i="162"/>
  <c r="AJ126" i="162"/>
  <c r="AJ160" i="162"/>
  <c r="AJ102" i="162"/>
  <c r="AJ79" i="162"/>
  <c r="AJ67" i="162"/>
  <c r="AJ147" i="162"/>
  <c r="AJ93" i="162"/>
  <c r="AJ66" i="162"/>
  <c r="AJ136" i="162"/>
  <c r="AJ169" i="162"/>
  <c r="AJ73" i="162"/>
  <c r="AJ123" i="162"/>
  <c r="AJ111" i="162"/>
  <c r="AJ85" i="162"/>
  <c r="AJ179" i="162"/>
  <c r="AJ106" i="162"/>
  <c r="AJ131" i="162"/>
  <c r="AJ105" i="162"/>
  <c r="AJ137" i="162"/>
  <c r="AJ134" i="162"/>
  <c r="AJ130" i="162"/>
  <c r="AJ94" i="162"/>
  <c r="AJ72" i="162"/>
  <c r="AJ100" i="162"/>
  <c r="AJ166" i="162"/>
  <c r="AJ65" i="162"/>
  <c r="AJ70" i="162"/>
  <c r="AJ118" i="162"/>
  <c r="AJ62" i="162"/>
  <c r="AJ175" i="162"/>
  <c r="AJ64" i="162"/>
  <c r="AJ133" i="162"/>
  <c r="AJ119" i="162"/>
  <c r="AJ163" i="162"/>
  <c r="AJ71" i="162"/>
  <c r="AJ165" i="162"/>
  <c r="AJ155" i="162"/>
  <c r="AJ138" i="162"/>
  <c r="AJ180" i="162"/>
  <c r="AJ150" i="162"/>
  <c r="AJ158" i="162"/>
  <c r="AJ107" i="162"/>
  <c r="AJ164" i="162"/>
  <c r="AJ177" i="162"/>
  <c r="AJ124" i="162"/>
  <c r="AJ103" i="162"/>
  <c r="AJ178" i="162"/>
  <c r="AJ98" i="162"/>
  <c r="AJ141" i="162"/>
  <c r="AJ140" i="162"/>
  <c r="AJ68" i="162"/>
  <c r="AJ143" i="162"/>
  <c r="AJ74" i="162"/>
  <c r="AJ60" i="162"/>
  <c r="AJ152" i="162"/>
  <c r="AJ176" i="162"/>
  <c r="AJ144" i="162"/>
  <c r="AJ112" i="162"/>
  <c r="AJ170" i="162"/>
  <c r="AJ167" i="162"/>
  <c r="AJ110" i="162"/>
  <c r="AJ82" i="162"/>
  <c r="AJ114" i="162"/>
  <c r="AJ86" i="162"/>
  <c r="AJ99" i="162"/>
  <c r="AJ173" i="162"/>
  <c r="AJ104" i="162"/>
  <c r="AJ78" i="162"/>
  <c r="AJ148" i="162"/>
  <c r="AJ129" i="162"/>
  <c r="AJ135" i="162"/>
  <c r="AJ128" i="162"/>
  <c r="AJ90" i="162"/>
  <c r="AJ109" i="162"/>
  <c r="AJ151" i="162"/>
  <c r="AJ58" i="162"/>
  <c r="AJ91" i="162"/>
  <c r="AJ92" i="162"/>
  <c r="AJ88" i="162"/>
  <c r="AJ149" i="162"/>
  <c r="AJ113" i="162"/>
  <c r="AJ122" i="162"/>
  <c r="AJ121" i="162"/>
  <c r="AJ159" i="162"/>
  <c r="AJ161" i="162"/>
  <c r="AJ174" i="162"/>
  <c r="AJ153" i="162"/>
  <c r="AJ83" i="162"/>
  <c r="AJ101" i="162"/>
  <c r="AJ97" i="162"/>
  <c r="AJ142" i="162"/>
  <c r="AJ61" i="162"/>
  <c r="AJ80" i="162"/>
  <c r="AJ127" i="162"/>
  <c r="AJ87" i="162"/>
  <c r="AJ69" i="162"/>
  <c r="AJ63" i="162"/>
  <c r="AJ132" i="162"/>
  <c r="AJ139" i="162"/>
  <c r="AJ76" i="162"/>
  <c r="AJ172" i="162"/>
  <c r="BK531" i="162"/>
  <c r="BK419" i="162"/>
  <c r="BK516" i="162"/>
  <c r="BK393" i="162"/>
  <c r="BK410" i="162"/>
  <c r="BK459" i="162"/>
  <c r="BK390" i="162"/>
  <c r="BK401" i="162"/>
  <c r="BK496" i="162"/>
  <c r="BK537" i="162"/>
  <c r="BK389" i="162"/>
  <c r="BK487" i="162"/>
  <c r="BK466" i="162"/>
  <c r="BK512" i="162"/>
  <c r="BK524" i="162"/>
  <c r="BK471" i="162"/>
  <c r="BK429" i="162"/>
  <c r="BK445" i="162"/>
  <c r="BK394" i="162"/>
  <c r="BK416" i="162"/>
  <c r="BK420" i="162"/>
  <c r="BK400" i="162"/>
  <c r="BK507" i="162"/>
  <c r="BK465" i="162"/>
  <c r="BK478" i="162"/>
  <c r="BK540" i="162"/>
  <c r="BK502" i="162"/>
  <c r="BK521" i="162"/>
  <c r="BK413" i="162"/>
  <c r="BK526" i="162"/>
  <c r="BK476" i="162"/>
  <c r="BK495" i="162"/>
  <c r="BK498" i="162"/>
  <c r="BK539" i="162"/>
  <c r="BK436" i="162"/>
  <c r="BK452" i="162"/>
  <c r="BK448" i="162"/>
  <c r="BK414" i="162"/>
  <c r="BK457" i="162"/>
  <c r="BK421" i="162"/>
  <c r="BK423" i="162"/>
  <c r="BK473" i="162"/>
  <c r="BK467" i="162"/>
  <c r="BK431" i="162"/>
  <c r="BK456" i="162"/>
  <c r="BK397" i="162"/>
  <c r="BK511" i="162"/>
  <c r="BK399" i="162"/>
  <c r="BK424" i="162"/>
  <c r="BK491" i="162"/>
  <c r="BK458" i="162"/>
  <c r="BK460" i="162"/>
  <c r="BK493" i="162"/>
  <c r="BK533" i="162"/>
  <c r="BK451" i="162"/>
  <c r="BK453" i="162"/>
  <c r="BK506" i="162"/>
  <c r="BK469" i="162"/>
  <c r="BK480" i="162"/>
  <c r="BK527" i="162"/>
  <c r="BK417" i="162"/>
  <c r="BK504" i="162"/>
  <c r="BK505" i="162"/>
  <c r="BK519" i="162"/>
  <c r="BK430" i="162"/>
  <c r="BK461" i="162"/>
  <c r="BK449" i="162"/>
  <c r="BK438" i="162"/>
  <c r="BK485" i="162"/>
  <c r="BK532" i="162"/>
  <c r="BK477" i="162"/>
  <c r="BK492" i="162"/>
  <c r="BK483" i="162"/>
  <c r="BK427" i="162"/>
  <c r="BK409" i="162"/>
  <c r="BK446" i="162"/>
  <c r="BK479" i="162"/>
  <c r="BK444" i="162"/>
  <c r="BK500" i="162"/>
  <c r="BK508" i="162"/>
  <c r="BK455" i="162"/>
  <c r="BK499" i="162"/>
  <c r="BK404" i="162"/>
  <c r="BK435" i="162"/>
  <c r="BK503" i="162"/>
  <c r="BK434" i="162"/>
  <c r="BK464" i="162"/>
  <c r="BK475" i="162"/>
  <c r="BK462" i="162"/>
  <c r="BK463" i="162"/>
  <c r="BK391" i="162"/>
  <c r="BK536" i="162"/>
  <c r="BK398" i="162"/>
  <c r="BK488" i="162"/>
  <c r="BK440" i="162"/>
  <c r="BK513" i="162"/>
  <c r="BK468" i="162"/>
  <c r="BK405" i="162"/>
  <c r="BK432" i="162"/>
  <c r="BK529" i="162"/>
  <c r="BK426" i="162"/>
  <c r="BK395" i="162"/>
  <c r="BK489" i="162"/>
  <c r="BK437" i="162"/>
  <c r="BK412" i="162"/>
  <c r="BK454" i="162"/>
  <c r="BK542" i="162"/>
  <c r="BK544" i="162"/>
  <c r="BK486" i="162"/>
  <c r="BK450" i="162"/>
  <c r="BK515" i="162"/>
  <c r="BK538" i="162"/>
  <c r="BK406" i="162"/>
  <c r="BK472" i="162"/>
  <c r="BK447" i="162"/>
  <c r="BK541" i="162"/>
  <c r="BK494" i="162"/>
  <c r="BK422" i="162"/>
  <c r="BK514" i="162"/>
  <c r="BK530" i="162"/>
  <c r="BK482" i="162"/>
  <c r="BK388" i="162"/>
  <c r="BK510" i="162"/>
  <c r="BK439" i="162"/>
  <c r="BK484" i="162"/>
  <c r="BK523" i="162"/>
  <c r="BK441" i="162"/>
  <c r="BK415" i="162"/>
  <c r="BK392" i="162"/>
  <c r="BK534" i="162"/>
  <c r="BK428" i="162"/>
  <c r="AJ18" i="162"/>
  <c r="AJ51" i="162"/>
  <c r="AJ27" i="162"/>
  <c r="AJ57" i="162"/>
  <c r="AJ39" i="162"/>
  <c r="AJ35" i="162"/>
  <c r="AJ34" i="162"/>
  <c r="AJ38" i="162"/>
  <c r="AJ41" i="162"/>
  <c r="AJ37" i="162"/>
  <c r="AJ44" i="162"/>
  <c r="AJ46" i="162"/>
  <c r="AJ45" i="162"/>
  <c r="AJ55" i="162"/>
  <c r="AJ54" i="162"/>
  <c r="AJ24" i="162"/>
  <c r="AJ36" i="162"/>
  <c r="AJ48" i="162"/>
  <c r="AJ32" i="162"/>
  <c r="AJ43" i="162"/>
  <c r="AJ53" i="162"/>
  <c r="AJ56" i="162"/>
  <c r="AJ52" i="162"/>
  <c r="AJ33" i="162"/>
  <c r="AJ42" i="162"/>
  <c r="AJ26" i="162"/>
  <c r="AJ40" i="162"/>
  <c r="AJ50" i="162"/>
  <c r="AJ47" i="162"/>
  <c r="AJ28" i="162"/>
  <c r="AJ25" i="162"/>
  <c r="AJ29" i="162"/>
  <c r="AJ30" i="162"/>
  <c r="AJ31" i="162"/>
  <c r="AJ49" i="162"/>
  <c r="AJ22" i="162"/>
  <c r="AJ10" i="162"/>
  <c r="AM10" i="162" s="1"/>
  <c r="AJ11" i="162"/>
  <c r="AM11" i="162" s="1"/>
  <c r="AJ19" i="162"/>
  <c r="AJ4" i="162"/>
  <c r="AI4" i="162" s="1"/>
  <c r="AO4" i="162" s="1"/>
  <c r="AJ21" i="162"/>
  <c r="AJ5" i="162"/>
  <c r="AM5" i="162" s="1"/>
  <c r="AN4" i="162"/>
  <c r="U7" i="154"/>
  <c r="B56" i="154"/>
  <c r="B54" i="155"/>
  <c r="BK376" i="162"/>
  <c r="BK377" i="162"/>
  <c r="BK375" i="162"/>
  <c r="BK378" i="162"/>
  <c r="BK383" i="162"/>
  <c r="BK382" i="162"/>
  <c r="BK387" i="162"/>
  <c r="AJ7" i="162"/>
  <c r="AM7" i="162" s="1"/>
  <c r="BK380" i="162"/>
  <c r="BK371" i="162"/>
  <c r="BK386" i="162"/>
  <c r="AJ16" i="162"/>
  <c r="BK384" i="162"/>
  <c r="BK374" i="162"/>
  <c r="AJ20" i="162"/>
  <c r="BK370" i="162"/>
  <c r="AJ8" i="162"/>
  <c r="AM8" i="162" s="1"/>
  <c r="BK369" i="162"/>
  <c r="AK5" i="162" s="1"/>
  <c r="BK385" i="162"/>
  <c r="AJ12" i="162"/>
  <c r="BK379" i="162"/>
  <c r="AJ23" i="162"/>
  <c r="AJ13" i="162"/>
  <c r="AJ14" i="162"/>
  <c r="AJ9" i="162"/>
  <c r="AM9" i="162" s="1"/>
  <c r="BK381" i="162"/>
  <c r="AJ15" i="162"/>
  <c r="BK372" i="162"/>
  <c r="BK373" i="162"/>
  <c r="AM6" i="162"/>
  <c r="AJ63" i="129"/>
  <c r="AJ119" i="129" s="1"/>
  <c r="AH3" i="129"/>
  <c r="AI3" i="129"/>
  <c r="AG3" i="129"/>
  <c r="AF3" i="129"/>
  <c r="AL65" i="158"/>
  <c r="AL66" i="158"/>
  <c r="AL67" i="158"/>
  <c r="AL68" i="158"/>
  <c r="AL69" i="158"/>
  <c r="AL70" i="158"/>
  <c r="AL71" i="158"/>
  <c r="AL72" i="158"/>
  <c r="AF64" i="158"/>
  <c r="AE64" i="158"/>
  <c r="AK34" i="158"/>
  <c r="AI73" i="158"/>
  <c r="AG73" i="158"/>
  <c r="AK73" i="158" s="1"/>
  <c r="AF73" i="158"/>
  <c r="AE73" i="158"/>
  <c r="AJ72" i="158"/>
  <c r="AI72" i="158"/>
  <c r="AG72" i="158"/>
  <c r="AF72" i="158"/>
  <c r="AE72" i="158"/>
  <c r="AJ71" i="158"/>
  <c r="AI71" i="158"/>
  <c r="AG71" i="158"/>
  <c r="AK71" i="158" s="1"/>
  <c r="AF71" i="158"/>
  <c r="AE71" i="158"/>
  <c r="AJ70" i="158"/>
  <c r="AI70" i="158"/>
  <c r="AG70" i="158"/>
  <c r="AK70" i="158" s="1"/>
  <c r="AF70" i="158"/>
  <c r="AE70" i="158"/>
  <c r="AJ69" i="158"/>
  <c r="AI69" i="158"/>
  <c r="AG69" i="158"/>
  <c r="AK69" i="158" s="1"/>
  <c r="AF69" i="158"/>
  <c r="AE69" i="158"/>
  <c r="AJ68" i="158"/>
  <c r="AI68" i="158"/>
  <c r="AG68" i="158"/>
  <c r="AF68" i="158"/>
  <c r="AE68" i="158"/>
  <c r="AJ67" i="158"/>
  <c r="AI67" i="158"/>
  <c r="AG67" i="158"/>
  <c r="AF67" i="158"/>
  <c r="AE67" i="158"/>
  <c r="AJ66" i="158"/>
  <c r="AI66" i="158"/>
  <c r="AG66" i="158"/>
  <c r="AF66" i="158"/>
  <c r="AE66" i="158"/>
  <c r="AJ65" i="158"/>
  <c r="AI65" i="158"/>
  <c r="AG65" i="158"/>
  <c r="AF65" i="158"/>
  <c r="AE65" i="158"/>
  <c r="AI64" i="158"/>
  <c r="AG64" i="158"/>
  <c r="AK64" i="158" s="1"/>
  <c r="AK43" i="158"/>
  <c r="AH73" i="158"/>
  <c r="AK42" i="158"/>
  <c r="AH72" i="158"/>
  <c r="AK41" i="158"/>
  <c r="AH71" i="158"/>
  <c r="AK40" i="158"/>
  <c r="AH70" i="158"/>
  <c r="AK39" i="158"/>
  <c r="AH69" i="158"/>
  <c r="AK38" i="158"/>
  <c r="AH68" i="158"/>
  <c r="AK37" i="158"/>
  <c r="AH67" i="158"/>
  <c r="AK36" i="158"/>
  <c r="AH66" i="158"/>
  <c r="AH35" i="158"/>
  <c r="AH65" i="158" s="1"/>
  <c r="AH34" i="158"/>
  <c r="AH64" i="158" s="1"/>
  <c r="AN120" i="129"/>
  <c r="AN121" i="129"/>
  <c r="AN122" i="129"/>
  <c r="AN123" i="129"/>
  <c r="AN124" i="129"/>
  <c r="AN125" i="129"/>
  <c r="AN126" i="129"/>
  <c r="AG118" i="129"/>
  <c r="AJ118" i="129"/>
  <c r="AK118" i="129"/>
  <c r="AO63" i="129"/>
  <c r="AM63" i="129"/>
  <c r="AO119" i="129" s="1"/>
  <c r="AF5" i="129"/>
  <c r="AF4" i="129"/>
  <c r="AG126" i="129"/>
  <c r="AG125" i="129"/>
  <c r="AG124" i="129"/>
  <c r="AG123" i="129"/>
  <c r="AG122" i="129"/>
  <c r="AG121" i="129"/>
  <c r="AG120" i="129"/>
  <c r="AG119" i="129"/>
  <c r="AM64" i="129"/>
  <c r="AO120" i="129" s="1"/>
  <c r="AN63" i="129"/>
  <c r="AN119" i="129" s="1"/>
  <c r="D48" i="129"/>
  <c r="D51" i="129" s="1"/>
  <c r="D46" i="129"/>
  <c r="D45" i="129"/>
  <c r="D50" i="129" s="1"/>
  <c r="B38" i="129"/>
  <c r="B37" i="129"/>
  <c r="B36" i="129"/>
  <c r="B35" i="129"/>
  <c r="D35" i="129" s="1"/>
  <c r="D28" i="129"/>
  <c r="D31" i="129" s="1"/>
  <c r="D27" i="129"/>
  <c r="D26" i="129"/>
  <c r="D25" i="129"/>
  <c r="AK72" i="158" l="1"/>
  <c r="AK66" i="158"/>
  <c r="AK67" i="158"/>
  <c r="AK68" i="158"/>
  <c r="AN73" i="158"/>
  <c r="BB73" i="158" s="1"/>
  <c r="AK65" i="158"/>
  <c r="AC14" i="158"/>
  <c r="AC45" i="158"/>
  <c r="AC74" i="158"/>
  <c r="BG73" i="158"/>
  <c r="AS73" i="158"/>
  <c r="AQ73" i="158"/>
  <c r="AR73" i="158"/>
  <c r="AP73" i="158"/>
  <c r="AT73" i="158"/>
  <c r="AU73" i="158"/>
  <c r="AV73" i="158"/>
  <c r="AW73" i="158"/>
  <c r="AX73" i="158"/>
  <c r="AY73" i="158"/>
  <c r="AE30" i="162"/>
  <c r="AP84" i="129"/>
  <c r="AP140" i="129" s="1"/>
  <c r="AR140" i="129" s="1"/>
  <c r="AP104" i="129"/>
  <c r="AP160" i="129" s="1"/>
  <c r="AR160" i="129" s="1"/>
  <c r="AP109" i="129"/>
  <c r="AP165" i="129" s="1"/>
  <c r="AR165" i="129" s="1"/>
  <c r="AP114" i="129"/>
  <c r="AP170" i="129" s="1"/>
  <c r="AR170" i="129" s="1"/>
  <c r="AP85" i="129"/>
  <c r="AP141" i="129" s="1"/>
  <c r="AR141" i="129" s="1"/>
  <c r="AP90" i="129"/>
  <c r="AP146" i="129" s="1"/>
  <c r="AR146" i="129" s="1"/>
  <c r="AP95" i="129"/>
  <c r="AP151" i="129" s="1"/>
  <c r="AR151" i="129" s="1"/>
  <c r="AP100" i="129"/>
  <c r="AP156" i="129" s="1"/>
  <c r="AR156" i="129" s="1"/>
  <c r="AP110" i="129"/>
  <c r="AP166" i="129" s="1"/>
  <c r="AR166" i="129" s="1"/>
  <c r="AP86" i="129"/>
  <c r="AP142" i="129" s="1"/>
  <c r="AR142" i="129" s="1"/>
  <c r="AP91" i="129"/>
  <c r="AP147" i="129" s="1"/>
  <c r="AR147" i="129" s="1"/>
  <c r="AP96" i="129"/>
  <c r="AP152" i="129" s="1"/>
  <c r="AR152" i="129" s="1"/>
  <c r="AP101" i="129"/>
  <c r="AP157" i="129" s="1"/>
  <c r="AR157" i="129" s="1"/>
  <c r="AP106" i="129"/>
  <c r="AP162" i="129" s="1"/>
  <c r="AR162" i="129" s="1"/>
  <c r="AP111" i="129"/>
  <c r="AP167" i="129" s="1"/>
  <c r="AR167" i="129" s="1"/>
  <c r="AP87" i="129"/>
  <c r="AP143" i="129" s="1"/>
  <c r="AR143" i="129" s="1"/>
  <c r="AP97" i="129"/>
  <c r="AP153" i="129" s="1"/>
  <c r="AR153" i="129" s="1"/>
  <c r="AP102" i="129"/>
  <c r="AP158" i="129" s="1"/>
  <c r="AR158" i="129" s="1"/>
  <c r="AP107" i="129"/>
  <c r="AP163" i="129" s="1"/>
  <c r="AR163" i="129" s="1"/>
  <c r="AP112" i="129"/>
  <c r="AP168" i="129" s="1"/>
  <c r="AR168" i="129" s="1"/>
  <c r="AP99" i="129"/>
  <c r="AP155" i="129" s="1"/>
  <c r="AR155" i="129" s="1"/>
  <c r="AP89" i="129"/>
  <c r="AP145" i="129" s="1"/>
  <c r="AR145" i="129" s="1"/>
  <c r="AP105" i="129"/>
  <c r="AP161" i="129" s="1"/>
  <c r="AR161" i="129" s="1"/>
  <c r="AP92" i="129"/>
  <c r="AP148" i="129" s="1"/>
  <c r="AR148" i="129" s="1"/>
  <c r="AP83" i="129"/>
  <c r="AP139" i="129" s="1"/>
  <c r="AR139" i="129" s="1"/>
  <c r="AP88" i="129"/>
  <c r="AP144" i="129" s="1"/>
  <c r="AR144" i="129" s="1"/>
  <c r="AP93" i="129"/>
  <c r="AP149" i="129" s="1"/>
  <c r="AR149" i="129" s="1"/>
  <c r="AP98" i="129"/>
  <c r="AP154" i="129" s="1"/>
  <c r="AR154" i="129" s="1"/>
  <c r="AP103" i="129"/>
  <c r="AP159" i="129" s="1"/>
  <c r="AR159" i="129" s="1"/>
  <c r="AP108" i="129"/>
  <c r="AP164" i="129" s="1"/>
  <c r="AR164" i="129" s="1"/>
  <c r="AP113" i="129"/>
  <c r="AP169" i="129" s="1"/>
  <c r="AR169" i="129" s="1"/>
  <c r="AP94" i="129"/>
  <c r="AP150" i="129" s="1"/>
  <c r="AR150" i="129" s="1"/>
  <c r="BL118" i="129"/>
  <c r="AF63" i="129"/>
  <c r="AF7" i="129"/>
  <c r="AF119" i="129"/>
  <c r="AO4" i="129"/>
  <c r="AF120" i="129"/>
  <c r="AF64" i="129"/>
  <c r="AM4" i="162"/>
  <c r="AL4" i="162" s="1"/>
  <c r="AN70" i="158"/>
  <c r="AN66" i="158"/>
  <c r="AN67" i="158"/>
  <c r="AN71" i="158"/>
  <c r="AN72" i="158"/>
  <c r="AN68" i="158"/>
  <c r="AN65" i="158"/>
  <c r="AN69" i="158"/>
  <c r="AN64" i="158"/>
  <c r="AI5" i="162"/>
  <c r="AO5" i="162" s="1"/>
  <c r="AN5" i="162"/>
  <c r="AL5" i="162" s="1"/>
  <c r="AP74" i="129"/>
  <c r="AP130" i="129" s="1"/>
  <c r="AR130" i="129" s="1"/>
  <c r="AP79" i="129"/>
  <c r="AP135" i="129" s="1"/>
  <c r="AR135" i="129" s="1"/>
  <c r="AP80" i="129"/>
  <c r="AP136" i="129" s="1"/>
  <c r="AR136" i="129" s="1"/>
  <c r="AP71" i="129"/>
  <c r="AP127" i="129" s="1"/>
  <c r="AR127" i="129" s="1"/>
  <c r="AP81" i="129"/>
  <c r="AP137" i="129" s="1"/>
  <c r="AR137" i="129" s="1"/>
  <c r="AP72" i="129"/>
  <c r="AP128" i="129" s="1"/>
  <c r="AR128" i="129" s="1"/>
  <c r="AP82" i="129"/>
  <c r="AP138" i="129" s="1"/>
  <c r="AR138" i="129" s="1"/>
  <c r="AP73" i="129"/>
  <c r="AP129" i="129" s="1"/>
  <c r="AR129" i="129" s="1"/>
  <c r="AP75" i="129"/>
  <c r="AP131" i="129" s="1"/>
  <c r="AR131" i="129" s="1"/>
  <c r="AP76" i="129"/>
  <c r="AP132" i="129" s="1"/>
  <c r="AR132" i="129" s="1"/>
  <c r="AP77" i="129"/>
  <c r="AP133" i="129" s="1"/>
  <c r="AR133" i="129" s="1"/>
  <c r="AP78" i="129"/>
  <c r="AP134" i="129" s="1"/>
  <c r="AR134" i="129" s="1"/>
  <c r="AP67" i="129"/>
  <c r="AP123" i="129" s="1"/>
  <c r="AP66" i="129"/>
  <c r="AP122" i="129" s="1"/>
  <c r="AP68" i="129"/>
  <c r="AP124" i="129" s="1"/>
  <c r="AP69" i="129"/>
  <c r="AP125" i="129" s="1"/>
  <c r="AP70" i="129"/>
  <c r="AP126" i="129" s="1"/>
  <c r="AP64" i="129"/>
  <c r="AP120" i="129" s="1"/>
  <c r="AP65" i="129"/>
  <c r="AP121" i="129" s="1"/>
  <c r="AM120" i="129"/>
  <c r="AK63" i="129"/>
  <c r="AK119" i="129" s="1"/>
  <c r="AK6" i="162"/>
  <c r="AI6" i="162" s="1"/>
  <c r="AJ64" i="129"/>
  <c r="AJ120" i="129" s="1"/>
  <c r="AR119" i="129"/>
  <c r="AM119" i="129"/>
  <c r="D30" i="129"/>
  <c r="AK65" i="129"/>
  <c r="AK121" i="129" s="1"/>
  <c r="AJ121" i="129"/>
  <c r="AJ122" i="129"/>
  <c r="AK66" i="129"/>
  <c r="AK122" i="129" s="1"/>
  <c r="D37" i="129"/>
  <c r="D38" i="129"/>
  <c r="D41" i="129" s="1"/>
  <c r="D36" i="129"/>
  <c r="D40" i="129" s="1"/>
  <c r="BF73" i="158" l="1"/>
  <c r="BE73" i="158"/>
  <c r="AO73" i="158"/>
  <c r="BD73" i="158"/>
  <c r="BA73" i="158"/>
  <c r="BC73" i="158"/>
  <c r="AZ73" i="158"/>
  <c r="AC46" i="158"/>
  <c r="AC15" i="158"/>
  <c r="AC75" i="158"/>
  <c r="AS66" i="158"/>
  <c r="AT66" i="158"/>
  <c r="AZ66" i="158"/>
  <c r="AU66" i="158"/>
  <c r="AV66" i="158"/>
  <c r="AW66" i="158"/>
  <c r="AX66" i="158"/>
  <c r="AY66" i="158"/>
  <c r="AP66" i="158"/>
  <c r="AR66" i="158"/>
  <c r="AQ66" i="158"/>
  <c r="BA66" i="158"/>
  <c r="BB66" i="158"/>
  <c r="BD66" i="158"/>
  <c r="BE66" i="158"/>
  <c r="BG66" i="158"/>
  <c r="BC66" i="158"/>
  <c r="BF66" i="158"/>
  <c r="BC71" i="158"/>
  <c r="BD71" i="158"/>
  <c r="BG71" i="158"/>
  <c r="AP71" i="158"/>
  <c r="BE71" i="158"/>
  <c r="BF71" i="158"/>
  <c r="AQ71" i="158"/>
  <c r="AW71" i="158"/>
  <c r="AR71" i="158"/>
  <c r="AT71" i="158"/>
  <c r="AY71" i="158"/>
  <c r="AZ71" i="158"/>
  <c r="AS71" i="158"/>
  <c r="AU71" i="158"/>
  <c r="AV71" i="158"/>
  <c r="AX71" i="158"/>
  <c r="BA71" i="158"/>
  <c r="BB71" i="158"/>
  <c r="AU67" i="158"/>
  <c r="BB67" i="158"/>
  <c r="AV67" i="158"/>
  <c r="AY67" i="158"/>
  <c r="AZ67" i="158"/>
  <c r="BA67" i="158"/>
  <c r="AW67" i="158"/>
  <c r="AX67" i="158"/>
  <c r="AQ67" i="158"/>
  <c r="BD67" i="158"/>
  <c r="AR67" i="158"/>
  <c r="AT67" i="158"/>
  <c r="BC67" i="158"/>
  <c r="AS67" i="158"/>
  <c r="BE67" i="158"/>
  <c r="BF67" i="158"/>
  <c r="BG67" i="158"/>
  <c r="AP67" i="158"/>
  <c r="BA70" i="158"/>
  <c r="BB70" i="158"/>
  <c r="BC70" i="158"/>
  <c r="BD70" i="158"/>
  <c r="BE70" i="158"/>
  <c r="BF70" i="158"/>
  <c r="BG70" i="158"/>
  <c r="AQ70" i="158"/>
  <c r="AR70" i="158"/>
  <c r="AP70" i="158"/>
  <c r="AW70" i="158"/>
  <c r="AU70" i="158"/>
  <c r="AX70" i="158"/>
  <c r="AZ70" i="158"/>
  <c r="AS70" i="158"/>
  <c r="AV70" i="158"/>
  <c r="AY70" i="158"/>
  <c r="AT70" i="158"/>
  <c r="BE72" i="158"/>
  <c r="AR72" i="158"/>
  <c r="BF72" i="158"/>
  <c r="AP72" i="158"/>
  <c r="AQ72" i="158"/>
  <c r="BG72" i="158"/>
  <c r="BA72" i="158"/>
  <c r="BB72" i="158"/>
  <c r="BC72" i="158"/>
  <c r="BD72" i="158"/>
  <c r="AT72" i="158"/>
  <c r="AW72" i="158"/>
  <c r="AS72" i="158"/>
  <c r="AU72" i="158"/>
  <c r="AX72" i="158"/>
  <c r="AY72" i="158"/>
  <c r="AV72" i="158"/>
  <c r="AZ72" i="158"/>
  <c r="AP64" i="158"/>
  <c r="AT64" i="158"/>
  <c r="AU64" i="158"/>
  <c r="AQ64" i="158"/>
  <c r="AR64" i="158"/>
  <c r="AS64" i="158"/>
  <c r="AV64" i="158"/>
  <c r="AW64" i="158"/>
  <c r="AY64" i="158"/>
  <c r="AZ64" i="158"/>
  <c r="AX64" i="158"/>
  <c r="BA64" i="158"/>
  <c r="BC64" i="158"/>
  <c r="BD64" i="158"/>
  <c r="BE64" i="158"/>
  <c r="BF64" i="158"/>
  <c r="BG64" i="158"/>
  <c r="BB64" i="158"/>
  <c r="AY69" i="158"/>
  <c r="BD69" i="158"/>
  <c r="BF69" i="158"/>
  <c r="AZ69" i="158"/>
  <c r="BE69" i="158"/>
  <c r="BA69" i="158"/>
  <c r="BB69" i="158"/>
  <c r="BC69" i="158"/>
  <c r="AQ69" i="158"/>
  <c r="AU69" i="158"/>
  <c r="AV69" i="158"/>
  <c r="AR69" i="158"/>
  <c r="AT69" i="158"/>
  <c r="AW69" i="158"/>
  <c r="AX69" i="158"/>
  <c r="BG69" i="158"/>
  <c r="AS69" i="158"/>
  <c r="AP69" i="158"/>
  <c r="AQ65" i="158"/>
  <c r="AU65" i="158"/>
  <c r="AV65" i="158"/>
  <c r="AW65" i="158"/>
  <c r="AX65" i="158"/>
  <c r="AR65" i="158"/>
  <c r="AT65" i="158"/>
  <c r="AS65" i="158"/>
  <c r="AY65" i="158"/>
  <c r="BE65" i="158"/>
  <c r="AZ65" i="158"/>
  <c r="BB65" i="158"/>
  <c r="BD65" i="158"/>
  <c r="BF65" i="158"/>
  <c r="BA65" i="158"/>
  <c r="BC65" i="158"/>
  <c r="BG65" i="158"/>
  <c r="AP65" i="158"/>
  <c r="AW68" i="158"/>
  <c r="BC68" i="158"/>
  <c r="AX68" i="158"/>
  <c r="BB68" i="158"/>
  <c r="AY68" i="158"/>
  <c r="AZ68" i="158"/>
  <c r="BA68" i="158"/>
  <c r="BD68" i="158"/>
  <c r="AQ68" i="158"/>
  <c r="AR68" i="158"/>
  <c r="AP68" i="158"/>
  <c r="AS68" i="158"/>
  <c r="AT68" i="158"/>
  <c r="BE68" i="158"/>
  <c r="BF68" i="158"/>
  <c r="AU68" i="158"/>
  <c r="AV68" i="158"/>
  <c r="BG68" i="158"/>
  <c r="BH74" i="158"/>
  <c r="AE31" i="162"/>
  <c r="AU143" i="129"/>
  <c r="AZ143" i="129"/>
  <c r="AV143" i="129"/>
  <c r="AW143" i="129"/>
  <c r="AX143" i="129"/>
  <c r="AY143" i="129"/>
  <c r="BA143" i="129"/>
  <c r="BB143" i="129"/>
  <c r="BC143" i="129"/>
  <c r="AT143" i="129"/>
  <c r="AS143" i="129"/>
  <c r="BE143" i="129"/>
  <c r="BL143" i="129" s="1"/>
  <c r="BF143" i="129"/>
  <c r="BG143" i="129"/>
  <c r="BH143" i="129"/>
  <c r="BI143" i="129"/>
  <c r="BJ143" i="129"/>
  <c r="BK143" i="129"/>
  <c r="BD143" i="129"/>
  <c r="BC167" i="129"/>
  <c r="BH167" i="129"/>
  <c r="AS167" i="129"/>
  <c r="BD167" i="129"/>
  <c r="BE167" i="129"/>
  <c r="BF167" i="129"/>
  <c r="BG167" i="129"/>
  <c r="BI167" i="129"/>
  <c r="BJ167" i="129"/>
  <c r="AT167" i="129"/>
  <c r="BL167" i="129" s="1"/>
  <c r="AY167" i="129"/>
  <c r="AU167" i="129"/>
  <c r="AV167" i="129"/>
  <c r="AW167" i="129"/>
  <c r="AX167" i="129"/>
  <c r="AZ167" i="129"/>
  <c r="BA167" i="129"/>
  <c r="BB167" i="129"/>
  <c r="BK167" i="129"/>
  <c r="AS162" i="129"/>
  <c r="AX162" i="129"/>
  <c r="AT162" i="129"/>
  <c r="AU162" i="129"/>
  <c r="AV162" i="129"/>
  <c r="AW162" i="129"/>
  <c r="AY162" i="129"/>
  <c r="AZ162" i="129"/>
  <c r="BG162" i="129"/>
  <c r="BH162" i="129"/>
  <c r="BI162" i="129"/>
  <c r="BJ162" i="129"/>
  <c r="BK162" i="129"/>
  <c r="BL162" i="129" s="1"/>
  <c r="BE162" i="129"/>
  <c r="BF162" i="129"/>
  <c r="BA162" i="129"/>
  <c r="BB162" i="129"/>
  <c r="BC162" i="129"/>
  <c r="BD162" i="129"/>
  <c r="AU163" i="129"/>
  <c r="AZ163" i="129"/>
  <c r="AV163" i="129"/>
  <c r="AS163" i="129"/>
  <c r="AW163" i="129"/>
  <c r="AX163" i="129"/>
  <c r="AY163" i="129"/>
  <c r="BA163" i="129"/>
  <c r="BB163" i="129"/>
  <c r="AT163" i="129"/>
  <c r="BC163" i="129"/>
  <c r="BL163" i="129" s="1"/>
  <c r="BD163" i="129"/>
  <c r="BE163" i="129"/>
  <c r="BF163" i="129"/>
  <c r="BG163" i="129"/>
  <c r="BK163" i="129"/>
  <c r="BH163" i="129"/>
  <c r="BI163" i="129"/>
  <c r="BJ163" i="129"/>
  <c r="BC147" i="129"/>
  <c r="BH147" i="129"/>
  <c r="AS147" i="129"/>
  <c r="BD147" i="129"/>
  <c r="BE147" i="129"/>
  <c r="BF147" i="129"/>
  <c r="BG147" i="129"/>
  <c r="BI147" i="129"/>
  <c r="BJ147" i="129"/>
  <c r="AU147" i="129"/>
  <c r="AV147" i="129"/>
  <c r="AT147" i="129"/>
  <c r="BL147" i="129" s="1"/>
  <c r="AX147" i="129"/>
  <c r="AY147" i="129"/>
  <c r="BB147" i="129"/>
  <c r="AW147" i="129"/>
  <c r="AZ147" i="129"/>
  <c r="BK147" i="129"/>
  <c r="BA147" i="129"/>
  <c r="BG159" i="129"/>
  <c r="BH159" i="129"/>
  <c r="BI159" i="129"/>
  <c r="BJ159" i="129"/>
  <c r="BK159" i="129"/>
  <c r="AT159" i="129"/>
  <c r="AW159" i="129"/>
  <c r="BB159" i="129"/>
  <c r="AX159" i="129"/>
  <c r="AY159" i="129"/>
  <c r="AZ159" i="129"/>
  <c r="BA159" i="129"/>
  <c r="BC159" i="129"/>
  <c r="BD159" i="129"/>
  <c r="BE159" i="129"/>
  <c r="BF159" i="129"/>
  <c r="AS159" i="129"/>
  <c r="AU159" i="129"/>
  <c r="BL159" i="129" s="1"/>
  <c r="AV159" i="129"/>
  <c r="BG149" i="129"/>
  <c r="BH149" i="129"/>
  <c r="BI149" i="129"/>
  <c r="BJ149" i="129"/>
  <c r="BK149" i="129"/>
  <c r="AT149" i="129"/>
  <c r="AS149" i="129"/>
  <c r="BL149" i="129" s="1"/>
  <c r="BE149" i="129"/>
  <c r="AV149" i="129"/>
  <c r="BF149" i="129"/>
  <c r="AU149" i="129"/>
  <c r="BA149" i="129"/>
  <c r="BB149" i="129"/>
  <c r="BC149" i="129"/>
  <c r="BD149" i="129"/>
  <c r="AW149" i="129"/>
  <c r="AX149" i="129"/>
  <c r="AY149" i="129"/>
  <c r="AZ149" i="129"/>
  <c r="BE148" i="129"/>
  <c r="BJ148" i="129"/>
  <c r="BF148" i="129"/>
  <c r="BG148" i="129"/>
  <c r="BH148" i="129"/>
  <c r="BI148" i="129"/>
  <c r="BK148" i="129"/>
  <c r="AS148" i="129"/>
  <c r="BL148" i="129" s="1"/>
  <c r="AU148" i="129"/>
  <c r="AZ148" i="129"/>
  <c r="BD148" i="129"/>
  <c r="AV148" i="129"/>
  <c r="AW148" i="129"/>
  <c r="AX148" i="129"/>
  <c r="AY148" i="129"/>
  <c r="BA148" i="129"/>
  <c r="BB148" i="129"/>
  <c r="BC148" i="129"/>
  <c r="AT148" i="129"/>
  <c r="BI170" i="129"/>
  <c r="AT170" i="129"/>
  <c r="BJ170" i="129"/>
  <c r="BK170" i="129"/>
  <c r="AU170" i="129"/>
  <c r="AV170" i="129"/>
  <c r="AY170" i="129"/>
  <c r="BD170" i="129"/>
  <c r="AZ170" i="129"/>
  <c r="BA170" i="129"/>
  <c r="AS170" i="129"/>
  <c r="BL170" i="129" s="1"/>
  <c r="BB170" i="129"/>
  <c r="BC170" i="129"/>
  <c r="BE170" i="129"/>
  <c r="BF170" i="129"/>
  <c r="BG170" i="129"/>
  <c r="BH170" i="129"/>
  <c r="AW170" i="129"/>
  <c r="AX170" i="129"/>
  <c r="BE158" i="129"/>
  <c r="BJ158" i="129"/>
  <c r="BF158" i="129"/>
  <c r="BG158" i="129"/>
  <c r="BH158" i="129"/>
  <c r="BI158" i="129"/>
  <c r="BK158" i="129"/>
  <c r="AW158" i="129"/>
  <c r="AT158" i="129"/>
  <c r="AU158" i="129"/>
  <c r="AV158" i="129"/>
  <c r="BB158" i="129"/>
  <c r="AS158" i="129"/>
  <c r="BL158" i="129" s="1"/>
  <c r="BC158" i="129"/>
  <c r="BD158" i="129"/>
  <c r="AX158" i="129"/>
  <c r="AY158" i="129"/>
  <c r="AZ158" i="129"/>
  <c r="BA158" i="129"/>
  <c r="BC157" i="129"/>
  <c r="BH157" i="129"/>
  <c r="BD157" i="129"/>
  <c r="BE157" i="129"/>
  <c r="BF157" i="129"/>
  <c r="BG157" i="129"/>
  <c r="BI157" i="129"/>
  <c r="BJ157" i="129"/>
  <c r="AW157" i="129"/>
  <c r="BB157" i="129"/>
  <c r="AX157" i="129"/>
  <c r="AY157" i="129"/>
  <c r="AZ157" i="129"/>
  <c r="BA157" i="129"/>
  <c r="BK157" i="129"/>
  <c r="AS157" i="129"/>
  <c r="AU157" i="129"/>
  <c r="AV157" i="129"/>
  <c r="AT157" i="129"/>
  <c r="BL157" i="129" s="1"/>
  <c r="AW164" i="129"/>
  <c r="BB164" i="129"/>
  <c r="AX164" i="129"/>
  <c r="AY164" i="129"/>
  <c r="AS164" i="129"/>
  <c r="BL164" i="129" s="1"/>
  <c r="AZ164" i="129"/>
  <c r="BA164" i="129"/>
  <c r="BC164" i="129"/>
  <c r="BD164" i="129"/>
  <c r="BG164" i="129"/>
  <c r="BH164" i="129"/>
  <c r="BI164" i="129"/>
  <c r="BJ164" i="129"/>
  <c r="BK164" i="129"/>
  <c r="AT164" i="129"/>
  <c r="AU164" i="129"/>
  <c r="AV164" i="129"/>
  <c r="BE164" i="129"/>
  <c r="BF164" i="129"/>
  <c r="AW154" i="129"/>
  <c r="BB154" i="129"/>
  <c r="AX154" i="129"/>
  <c r="AY154" i="129"/>
  <c r="AZ154" i="129"/>
  <c r="BA154" i="129"/>
  <c r="BC154" i="129"/>
  <c r="BD154" i="129"/>
  <c r="BF154" i="129"/>
  <c r="BE154" i="129"/>
  <c r="AT154" i="129"/>
  <c r="AU154" i="129"/>
  <c r="AV154" i="129"/>
  <c r="BG154" i="129"/>
  <c r="BH154" i="129"/>
  <c r="AS154" i="129"/>
  <c r="BL154" i="129" s="1"/>
  <c r="BI154" i="129"/>
  <c r="BJ154" i="129"/>
  <c r="BK154" i="129"/>
  <c r="AW144" i="129"/>
  <c r="BB144" i="129"/>
  <c r="AX144" i="129"/>
  <c r="AY144" i="129"/>
  <c r="AZ144" i="129"/>
  <c r="BA144" i="129"/>
  <c r="BC144" i="129"/>
  <c r="BD144" i="129"/>
  <c r="BE144" i="129"/>
  <c r="AT144" i="129"/>
  <c r="BH144" i="129"/>
  <c r="AU144" i="129"/>
  <c r="AV144" i="129"/>
  <c r="BK144" i="129"/>
  <c r="BF144" i="129"/>
  <c r="BG144" i="129"/>
  <c r="BI144" i="129"/>
  <c r="BJ144" i="129"/>
  <c r="AS144" i="129"/>
  <c r="BL144" i="129" s="1"/>
  <c r="BK161" i="129"/>
  <c r="AV161" i="129"/>
  <c r="AT161" i="129"/>
  <c r="AU161" i="129"/>
  <c r="AW161" i="129"/>
  <c r="AX161" i="129"/>
  <c r="BB161" i="129"/>
  <c r="BF161" i="129"/>
  <c r="BG161" i="129"/>
  <c r="AS161" i="129"/>
  <c r="AY161" i="129"/>
  <c r="AZ161" i="129"/>
  <c r="BL161" i="129" s="1"/>
  <c r="BA161" i="129"/>
  <c r="BC161" i="129"/>
  <c r="BD161" i="129"/>
  <c r="BE161" i="129"/>
  <c r="BI161" i="129"/>
  <c r="BJ161" i="129"/>
  <c r="BH161" i="129"/>
  <c r="AY165" i="129"/>
  <c r="BD165" i="129"/>
  <c r="AZ165" i="129"/>
  <c r="BA165" i="129"/>
  <c r="BB165" i="129"/>
  <c r="AS165" i="129"/>
  <c r="BL165" i="129" s="1"/>
  <c r="BC165" i="129"/>
  <c r="BE165" i="129"/>
  <c r="BF165" i="129"/>
  <c r="AT165" i="129"/>
  <c r="BG165" i="129"/>
  <c r="AU165" i="129"/>
  <c r="AV165" i="129"/>
  <c r="AW165" i="129"/>
  <c r="AX165" i="129"/>
  <c r="BH165" i="129"/>
  <c r="BI165" i="129"/>
  <c r="BJ165" i="129"/>
  <c r="BK165" i="129"/>
  <c r="BG169" i="129"/>
  <c r="BH169" i="129"/>
  <c r="BI169" i="129"/>
  <c r="BJ169" i="129"/>
  <c r="BK169" i="129"/>
  <c r="AT169" i="129"/>
  <c r="AS169" i="129"/>
  <c r="BL169" i="129" s="1"/>
  <c r="AX169" i="129"/>
  <c r="AY169" i="129"/>
  <c r="AU169" i="129"/>
  <c r="AV169" i="129"/>
  <c r="AW169" i="129"/>
  <c r="AZ169" i="129"/>
  <c r="BA169" i="129"/>
  <c r="BB169" i="129"/>
  <c r="BE169" i="129"/>
  <c r="BF169" i="129"/>
  <c r="BC169" i="129"/>
  <c r="BD169" i="129"/>
  <c r="BA166" i="129"/>
  <c r="BF166" i="129"/>
  <c r="BB166" i="129"/>
  <c r="BC166" i="129"/>
  <c r="BD166" i="129"/>
  <c r="BE166" i="129"/>
  <c r="AS166" i="129"/>
  <c r="BL166" i="129" s="1"/>
  <c r="BG166" i="129"/>
  <c r="BH166" i="129"/>
  <c r="AY166" i="129"/>
  <c r="AZ166" i="129"/>
  <c r="BI166" i="129"/>
  <c r="BJ166" i="129"/>
  <c r="BK166" i="129"/>
  <c r="AT166" i="129"/>
  <c r="AU166" i="129"/>
  <c r="AV166" i="129"/>
  <c r="AW166" i="129"/>
  <c r="AX166" i="129"/>
  <c r="BK151" i="129"/>
  <c r="AV151" i="129"/>
  <c r="AT151" i="129"/>
  <c r="AU151" i="129"/>
  <c r="AW151" i="129"/>
  <c r="AX151" i="129"/>
  <c r="BE151" i="129"/>
  <c r="BJ151" i="129"/>
  <c r="BF151" i="129"/>
  <c r="BG151" i="129"/>
  <c r="BH151" i="129"/>
  <c r="BI151" i="129"/>
  <c r="AZ151" i="129"/>
  <c r="BC151" i="129"/>
  <c r="AY151" i="129"/>
  <c r="BB151" i="129"/>
  <c r="BA151" i="129"/>
  <c r="AS151" i="129"/>
  <c r="BL151" i="129" s="1"/>
  <c r="BD151" i="129"/>
  <c r="BK141" i="129"/>
  <c r="AV141" i="129"/>
  <c r="AT141" i="129"/>
  <c r="AU141" i="129"/>
  <c r="AW141" i="129"/>
  <c r="AX141" i="129"/>
  <c r="AY141" i="129"/>
  <c r="BJ141" i="129"/>
  <c r="AS141" i="129"/>
  <c r="BA141" i="129"/>
  <c r="AZ141" i="129"/>
  <c r="BC141" i="129"/>
  <c r="BL141" i="129" s="1"/>
  <c r="BE141" i="129"/>
  <c r="BG141" i="129"/>
  <c r="BI141" i="129"/>
  <c r="BD141" i="129"/>
  <c r="BF141" i="129"/>
  <c r="BB141" i="129"/>
  <c r="BH141" i="129"/>
  <c r="AY145" i="129"/>
  <c r="BD145" i="129"/>
  <c r="AZ145" i="129"/>
  <c r="BA145" i="129"/>
  <c r="BB145" i="129"/>
  <c r="AS145" i="129"/>
  <c r="BL145" i="129" s="1"/>
  <c r="BC145" i="129"/>
  <c r="BE145" i="129"/>
  <c r="BF145" i="129"/>
  <c r="AT145" i="129"/>
  <c r="AU145" i="129"/>
  <c r="AV145" i="129"/>
  <c r="AW145" i="129"/>
  <c r="AX145" i="129"/>
  <c r="BJ145" i="129"/>
  <c r="BG145" i="129"/>
  <c r="BH145" i="129"/>
  <c r="BK145" i="129"/>
  <c r="BI145" i="129"/>
  <c r="BI160" i="129"/>
  <c r="AT160" i="129"/>
  <c r="BJ160" i="129"/>
  <c r="BK160" i="129"/>
  <c r="AU160" i="129"/>
  <c r="AV160" i="129"/>
  <c r="BG160" i="129"/>
  <c r="AS160" i="129"/>
  <c r="AW160" i="129"/>
  <c r="AX160" i="129"/>
  <c r="BH160" i="129"/>
  <c r="AY160" i="129"/>
  <c r="BL160" i="129" s="1"/>
  <c r="AZ160" i="129"/>
  <c r="BA160" i="129"/>
  <c r="BB160" i="129"/>
  <c r="BD160" i="129"/>
  <c r="BE160" i="129"/>
  <c r="BC160" i="129"/>
  <c r="BF160" i="129"/>
  <c r="AU153" i="129"/>
  <c r="AZ153" i="129"/>
  <c r="AV153" i="129"/>
  <c r="AW153" i="129"/>
  <c r="AX153" i="129"/>
  <c r="AY153" i="129"/>
  <c r="BA153" i="129"/>
  <c r="BB153" i="129"/>
  <c r="BE153" i="129"/>
  <c r="BJ153" i="129"/>
  <c r="BF153" i="129"/>
  <c r="BG153" i="129"/>
  <c r="BH153" i="129"/>
  <c r="BI153" i="129"/>
  <c r="BK153" i="129"/>
  <c r="AS153" i="129"/>
  <c r="AT153" i="129"/>
  <c r="BL153" i="129" s="1"/>
  <c r="BC153" i="129"/>
  <c r="BD153" i="129"/>
  <c r="AS138" i="129"/>
  <c r="AV138" i="129"/>
  <c r="AT138" i="129"/>
  <c r="AU138" i="129"/>
  <c r="AW138" i="129"/>
  <c r="AX138" i="129"/>
  <c r="BI140" i="129"/>
  <c r="AT140" i="129"/>
  <c r="BJ140" i="129"/>
  <c r="BK140" i="129"/>
  <c r="AU140" i="129"/>
  <c r="AV140" i="129"/>
  <c r="AY140" i="129"/>
  <c r="AZ140" i="129"/>
  <c r="BA140" i="129"/>
  <c r="BD140" i="129"/>
  <c r="BB140" i="129"/>
  <c r="BG140" i="129"/>
  <c r="BC140" i="129"/>
  <c r="BE140" i="129"/>
  <c r="BF140" i="129"/>
  <c r="BH140" i="129"/>
  <c r="AS140" i="129"/>
  <c r="BL140" i="129" s="1"/>
  <c r="AW140" i="129"/>
  <c r="AX140" i="129"/>
  <c r="BI150" i="129"/>
  <c r="AT150" i="129"/>
  <c r="BJ150" i="129"/>
  <c r="BK150" i="129"/>
  <c r="AU150" i="129"/>
  <c r="BL150" i="129" s="1"/>
  <c r="AV150" i="129"/>
  <c r="AZ150" i="129"/>
  <c r="BE150" i="129"/>
  <c r="AS150" i="129"/>
  <c r="BF150" i="129"/>
  <c r="AW150" i="129"/>
  <c r="AX150" i="129"/>
  <c r="AY150" i="129"/>
  <c r="BA150" i="129"/>
  <c r="BB150" i="129"/>
  <c r="BC150" i="129"/>
  <c r="BD150" i="129"/>
  <c r="BH150" i="129"/>
  <c r="BG150" i="129"/>
  <c r="AX152" i="129"/>
  <c r="AT152" i="129"/>
  <c r="AU152" i="129"/>
  <c r="AV152" i="129"/>
  <c r="AW152" i="129"/>
  <c r="AY152" i="129"/>
  <c r="AZ152" i="129"/>
  <c r="BD152" i="129"/>
  <c r="BE152" i="129"/>
  <c r="BF152" i="129"/>
  <c r="BA152" i="129"/>
  <c r="BB152" i="129"/>
  <c r="BC152" i="129"/>
  <c r="BG152" i="129"/>
  <c r="BI152" i="129"/>
  <c r="BJ152" i="129"/>
  <c r="BK152" i="129"/>
  <c r="AS152" i="129"/>
  <c r="BL152" i="129" s="1"/>
  <c r="BH152" i="129"/>
  <c r="AX142" i="129"/>
  <c r="AT142" i="129"/>
  <c r="BL142" i="129" s="1"/>
  <c r="AU142" i="129"/>
  <c r="AV142" i="129"/>
  <c r="AW142" i="129"/>
  <c r="AY142" i="129"/>
  <c r="AZ142" i="129"/>
  <c r="BA142" i="129"/>
  <c r="BJ142" i="129"/>
  <c r="BK142" i="129"/>
  <c r="BB142" i="129"/>
  <c r="BC142" i="129"/>
  <c r="BD142" i="129"/>
  <c r="BF142" i="129"/>
  <c r="BE142" i="129"/>
  <c r="BI142" i="129"/>
  <c r="BG142" i="129"/>
  <c r="BH142" i="129"/>
  <c r="AS142" i="129"/>
  <c r="BA156" i="129"/>
  <c r="BF156" i="129"/>
  <c r="BB156" i="129"/>
  <c r="BC156" i="129"/>
  <c r="BD156" i="129"/>
  <c r="BE156" i="129"/>
  <c r="BG156" i="129"/>
  <c r="BH156" i="129"/>
  <c r="AV156" i="129"/>
  <c r="AW156" i="129"/>
  <c r="AX156" i="129"/>
  <c r="AT156" i="129"/>
  <c r="BL156" i="129" s="1"/>
  <c r="AU156" i="129"/>
  <c r="AZ156" i="129"/>
  <c r="BI156" i="129"/>
  <c r="AY156" i="129"/>
  <c r="AS156" i="129"/>
  <c r="BJ156" i="129"/>
  <c r="BK156" i="129"/>
  <c r="BA146" i="129"/>
  <c r="BF146" i="129"/>
  <c r="BB146" i="129"/>
  <c r="BC146" i="129"/>
  <c r="BL146" i="129" s="1"/>
  <c r="BD146" i="129"/>
  <c r="BE146" i="129"/>
  <c r="AS146" i="129"/>
  <c r="BG146" i="129"/>
  <c r="BH146" i="129"/>
  <c r="AU146" i="129"/>
  <c r="AZ146" i="129"/>
  <c r="AV146" i="129"/>
  <c r="AW146" i="129"/>
  <c r="AX146" i="129"/>
  <c r="AY146" i="129"/>
  <c r="BI146" i="129"/>
  <c r="BJ146" i="129"/>
  <c r="BK146" i="129"/>
  <c r="AT146" i="129"/>
  <c r="BG139" i="129"/>
  <c r="BH139" i="129"/>
  <c r="BI139" i="129"/>
  <c r="BJ139" i="129"/>
  <c r="BK139" i="129"/>
  <c r="AT139" i="129"/>
  <c r="AS139" i="129"/>
  <c r="BL139" i="129" s="1"/>
  <c r="AX139" i="129"/>
  <c r="AZ139" i="129"/>
  <c r="AW139" i="129"/>
  <c r="AY139" i="129"/>
  <c r="AU139" i="129"/>
  <c r="AV139" i="129"/>
  <c r="BE139" i="129"/>
  <c r="BF139" i="129"/>
  <c r="BA139" i="129"/>
  <c r="BB139" i="129"/>
  <c r="BC139" i="129"/>
  <c r="BD139" i="129"/>
  <c r="AY155" i="129"/>
  <c r="BD155" i="129"/>
  <c r="AZ155" i="129"/>
  <c r="BA155" i="129"/>
  <c r="BB155" i="129"/>
  <c r="BC155" i="129"/>
  <c r="BE155" i="129"/>
  <c r="BF155" i="129"/>
  <c r="AW155" i="129"/>
  <c r="BJ155" i="129"/>
  <c r="AX155" i="129"/>
  <c r="BL155" i="129" s="1"/>
  <c r="BG155" i="129"/>
  <c r="BH155" i="129"/>
  <c r="BI155" i="129"/>
  <c r="BK155" i="129"/>
  <c r="AV155" i="129"/>
  <c r="AS155" i="129"/>
  <c r="AT155" i="129"/>
  <c r="AU155" i="129"/>
  <c r="BE168" i="129"/>
  <c r="BJ168" i="129"/>
  <c r="BF168" i="129"/>
  <c r="BG168" i="129"/>
  <c r="BH168" i="129"/>
  <c r="BI168" i="129"/>
  <c r="BL168" i="129" s="1"/>
  <c r="BK168" i="129"/>
  <c r="AS168" i="129"/>
  <c r="AY168" i="129"/>
  <c r="BD168" i="129"/>
  <c r="AZ168" i="129"/>
  <c r="BA168" i="129"/>
  <c r="BB168" i="129"/>
  <c r="BC168" i="129"/>
  <c r="AU168" i="129"/>
  <c r="AV168" i="129"/>
  <c r="AW168" i="129"/>
  <c r="AX168" i="129"/>
  <c r="AT168" i="129"/>
  <c r="AF8" i="129"/>
  <c r="AF66" i="129"/>
  <c r="AF122" i="129"/>
  <c r="AM12" i="162"/>
  <c r="AM13" i="162"/>
  <c r="AO6" i="162"/>
  <c r="AT119" i="129"/>
  <c r="AS119" i="129"/>
  <c r="AY119" i="129"/>
  <c r="AU119" i="129"/>
  <c r="AV119" i="129"/>
  <c r="AW119" i="129"/>
  <c r="AX119" i="129"/>
  <c r="AZ119" i="129"/>
  <c r="BA119" i="129"/>
  <c r="BB119" i="129"/>
  <c r="BC119" i="129"/>
  <c r="BD119" i="129"/>
  <c r="BE119" i="129"/>
  <c r="BF119" i="129"/>
  <c r="BG119" i="129"/>
  <c r="BJ119" i="129"/>
  <c r="BH119" i="129"/>
  <c r="BI119" i="129"/>
  <c r="BK119" i="129"/>
  <c r="AY138" i="129"/>
  <c r="AZ138" i="129"/>
  <c r="BA138" i="129"/>
  <c r="BE138" i="129"/>
  <c r="BB138" i="129"/>
  <c r="BC138" i="129"/>
  <c r="BD138" i="129"/>
  <c r="BF138" i="129"/>
  <c r="BK138" i="129"/>
  <c r="BG138" i="129"/>
  <c r="BI138" i="129"/>
  <c r="BJ138" i="129"/>
  <c r="BH138" i="129"/>
  <c r="BJ127" i="129"/>
  <c r="AT127" i="129"/>
  <c r="AU127" i="129"/>
  <c r="BK127" i="129"/>
  <c r="AV127" i="129"/>
  <c r="AW127" i="129"/>
  <c r="AX127" i="129"/>
  <c r="AY127" i="129"/>
  <c r="AZ127" i="129"/>
  <c r="BB127" i="129"/>
  <c r="BD127" i="129"/>
  <c r="BH127" i="129"/>
  <c r="BF127" i="129"/>
  <c r="AS127" i="129"/>
  <c r="BE127" i="129"/>
  <c r="BA127" i="129"/>
  <c r="BC127" i="129"/>
  <c r="BG127" i="129"/>
  <c r="BI127" i="129"/>
  <c r="BF135" i="129"/>
  <c r="BK135" i="129"/>
  <c r="BG135" i="129"/>
  <c r="BJ135" i="129"/>
  <c r="BH135" i="129"/>
  <c r="BI135" i="129"/>
  <c r="AS135" i="129"/>
  <c r="AT135" i="129"/>
  <c r="AU135" i="129"/>
  <c r="AV135" i="129"/>
  <c r="BE135" i="129"/>
  <c r="AW135" i="129"/>
  <c r="AX135" i="129"/>
  <c r="AY135" i="129"/>
  <c r="BB135" i="129"/>
  <c r="BC135" i="129"/>
  <c r="BA135" i="129"/>
  <c r="AZ135" i="129"/>
  <c r="BD135" i="129"/>
  <c r="BB133" i="129"/>
  <c r="BC133" i="129"/>
  <c r="BD133" i="129"/>
  <c r="BG133" i="129"/>
  <c r="BE133" i="129"/>
  <c r="BF133" i="129"/>
  <c r="AS133" i="129"/>
  <c r="BH133" i="129"/>
  <c r="BI133" i="129"/>
  <c r="BJ133" i="129"/>
  <c r="BK133" i="129"/>
  <c r="AY133" i="129"/>
  <c r="BA133" i="129"/>
  <c r="AT133" i="129"/>
  <c r="AX133" i="129"/>
  <c r="AU133" i="129"/>
  <c r="AZ133" i="129"/>
  <c r="AV133" i="129"/>
  <c r="AW133" i="129"/>
  <c r="AT129" i="129"/>
  <c r="AU129" i="129"/>
  <c r="AX129" i="129"/>
  <c r="AV129" i="129"/>
  <c r="AY129" i="129"/>
  <c r="AW129" i="129"/>
  <c r="AZ129" i="129"/>
  <c r="BA129" i="129"/>
  <c r="BB129" i="129"/>
  <c r="BC129" i="129"/>
  <c r="AS129" i="129"/>
  <c r="BD129" i="129"/>
  <c r="BE129" i="129"/>
  <c r="BF129" i="129"/>
  <c r="BK129" i="129"/>
  <c r="BG129" i="129"/>
  <c r="BH129" i="129"/>
  <c r="BI129" i="129"/>
  <c r="BJ129" i="129"/>
  <c r="AW128" i="129"/>
  <c r="AT128" i="129"/>
  <c r="AU128" i="129"/>
  <c r="AV128" i="129"/>
  <c r="AX128" i="129"/>
  <c r="AY128" i="129"/>
  <c r="AZ128" i="129"/>
  <c r="BA128" i="129"/>
  <c r="BB128" i="129"/>
  <c r="BH128" i="129"/>
  <c r="BF128" i="129"/>
  <c r="BI128" i="129"/>
  <c r="AS128" i="129"/>
  <c r="BJ128" i="129"/>
  <c r="BG128" i="129"/>
  <c r="BK128" i="129"/>
  <c r="BC128" i="129"/>
  <c r="BD128" i="129"/>
  <c r="BE128" i="129"/>
  <c r="AV130" i="129"/>
  <c r="AZ130" i="129"/>
  <c r="AW130" i="129"/>
  <c r="AX130" i="129"/>
  <c r="AY130" i="129"/>
  <c r="BA130" i="129"/>
  <c r="BB130" i="129"/>
  <c r="BC130" i="129"/>
  <c r="BD130" i="129"/>
  <c r="AS130" i="129"/>
  <c r="BE130" i="129"/>
  <c r="BF130" i="129"/>
  <c r="BK130" i="129"/>
  <c r="BI130" i="129"/>
  <c r="BJ130" i="129"/>
  <c r="BH130" i="129"/>
  <c r="AU130" i="129"/>
  <c r="AT130" i="129"/>
  <c r="BG130" i="129"/>
  <c r="BD134" i="129"/>
  <c r="BH134" i="129"/>
  <c r="BE134" i="129"/>
  <c r="AS134" i="129"/>
  <c r="BF134" i="129"/>
  <c r="BG134" i="129"/>
  <c r="BI134" i="129"/>
  <c r="BJ134" i="129"/>
  <c r="BK134" i="129"/>
  <c r="AT134" i="129"/>
  <c r="AU134" i="129"/>
  <c r="AV134" i="129"/>
  <c r="BC134" i="129"/>
  <c r="AW134" i="129"/>
  <c r="AZ134" i="129"/>
  <c r="AX134" i="129"/>
  <c r="AY134" i="129"/>
  <c r="BA134" i="129"/>
  <c r="BB134" i="129"/>
  <c r="AX131" i="129"/>
  <c r="BC131" i="129"/>
  <c r="AY131" i="129"/>
  <c r="AZ131" i="129"/>
  <c r="BB131" i="129"/>
  <c r="BA131" i="129"/>
  <c r="BD131" i="129"/>
  <c r="BE131" i="129"/>
  <c r="AS131" i="129"/>
  <c r="BF131" i="129"/>
  <c r="BG131" i="129"/>
  <c r="BH131" i="129"/>
  <c r="AV131" i="129"/>
  <c r="AW131" i="129"/>
  <c r="AT131" i="129"/>
  <c r="BI131" i="129"/>
  <c r="BK131" i="129"/>
  <c r="BJ131" i="129"/>
  <c r="AU131" i="129"/>
  <c r="BJ137" i="129"/>
  <c r="BK137" i="129"/>
  <c r="AS137" i="129"/>
  <c r="AU137" i="129"/>
  <c r="AT137" i="129"/>
  <c r="AV137" i="129"/>
  <c r="AW137" i="129"/>
  <c r="AX137" i="129"/>
  <c r="AY137" i="129"/>
  <c r="BF137" i="129"/>
  <c r="AZ137" i="129"/>
  <c r="BB137" i="129"/>
  <c r="BE137" i="129"/>
  <c r="BG137" i="129"/>
  <c r="BI137" i="129"/>
  <c r="BC137" i="129"/>
  <c r="BD137" i="129"/>
  <c r="BA137" i="129"/>
  <c r="BH137" i="129"/>
  <c r="BH136" i="129"/>
  <c r="BI136" i="129"/>
  <c r="BJ136" i="129"/>
  <c r="AS136" i="129"/>
  <c r="BK136" i="129"/>
  <c r="AT136" i="129"/>
  <c r="AU136" i="129"/>
  <c r="AV136" i="129"/>
  <c r="AW136" i="129"/>
  <c r="AX136" i="129"/>
  <c r="BA136" i="129"/>
  <c r="AZ136" i="129"/>
  <c r="BB136" i="129"/>
  <c r="BE136" i="129"/>
  <c r="BF136" i="129"/>
  <c r="BC136" i="129"/>
  <c r="BG136" i="129"/>
  <c r="BD136" i="129"/>
  <c r="AY136" i="129"/>
  <c r="AZ132" i="129"/>
  <c r="BA132" i="129"/>
  <c r="BD132" i="129"/>
  <c r="BE132" i="129"/>
  <c r="BB132" i="129"/>
  <c r="BC132" i="129"/>
  <c r="BF132" i="129"/>
  <c r="AS132" i="129"/>
  <c r="BG132" i="129"/>
  <c r="BH132" i="129"/>
  <c r="BI132" i="129"/>
  <c r="BJ132" i="129"/>
  <c r="AU132" i="129"/>
  <c r="AW132" i="129"/>
  <c r="BK132" i="129"/>
  <c r="AT132" i="129"/>
  <c r="AV132" i="129"/>
  <c r="AX132" i="129"/>
  <c r="AY132" i="129"/>
  <c r="AN6" i="162"/>
  <c r="AL6" i="162" s="1"/>
  <c r="AK7" i="162"/>
  <c r="AK8" i="162" s="1"/>
  <c r="AK64" i="129"/>
  <c r="AK120" i="129" s="1"/>
  <c r="AO68" i="158"/>
  <c r="AO69" i="158"/>
  <c r="AO67" i="158"/>
  <c r="AO66" i="158"/>
  <c r="AO65" i="158"/>
  <c r="AO70" i="158"/>
  <c r="AO64" i="158"/>
  <c r="AO71" i="158"/>
  <c r="AO72" i="158"/>
  <c r="AR120" i="129"/>
  <c r="AJ123" i="129"/>
  <c r="AK67" i="129"/>
  <c r="AK123" i="129" s="1"/>
  <c r="AM65" i="129"/>
  <c r="AO121" i="129" s="1"/>
  <c r="AC16" i="158" l="1"/>
  <c r="AC47" i="158"/>
  <c r="AC76" i="158"/>
  <c r="AE32" i="162"/>
  <c r="AF123" i="129"/>
  <c r="AF67" i="129"/>
  <c r="AF9" i="129"/>
  <c r="AM14" i="162"/>
  <c r="BL134" i="129"/>
  <c r="BH64" i="158"/>
  <c r="AV120" i="129"/>
  <c r="AW120" i="129"/>
  <c r="BE120" i="129"/>
  <c r="AX120" i="129"/>
  <c r="AZ120" i="129"/>
  <c r="AY120" i="129"/>
  <c r="BA120" i="129"/>
  <c r="BB120" i="129"/>
  <c r="BC120" i="129"/>
  <c r="BD120" i="129"/>
  <c r="AU120" i="129"/>
  <c r="BI120" i="129"/>
  <c r="AS120" i="129"/>
  <c r="BG120" i="129"/>
  <c r="BJ120" i="129"/>
  <c r="AT120" i="129"/>
  <c r="BK120" i="129"/>
  <c r="BF120" i="129"/>
  <c r="BH120" i="129"/>
  <c r="BL132" i="129"/>
  <c r="BL129" i="129"/>
  <c r="BL137" i="129"/>
  <c r="BL136" i="129"/>
  <c r="BL130" i="129"/>
  <c r="BL131" i="129"/>
  <c r="BL127" i="129"/>
  <c r="BL138" i="129"/>
  <c r="BL128" i="129"/>
  <c r="BL135" i="129"/>
  <c r="BL133" i="129"/>
  <c r="AN7" i="162"/>
  <c r="AL7" i="162" s="1"/>
  <c r="AI7" i="162"/>
  <c r="AO7" i="162" s="1"/>
  <c r="BL119" i="129"/>
  <c r="AN8" i="162"/>
  <c r="AL8" i="162" s="1"/>
  <c r="AK9" i="162"/>
  <c r="AI8" i="162"/>
  <c r="BH67" i="158"/>
  <c r="BH65" i="158"/>
  <c r="AG5" i="158" s="1"/>
  <c r="BH66" i="158"/>
  <c r="BH73" i="158"/>
  <c r="BH69" i="158"/>
  <c r="BH72" i="158"/>
  <c r="BH71" i="158"/>
  <c r="BH68" i="158"/>
  <c r="BH70" i="158"/>
  <c r="AM121" i="129"/>
  <c r="AJ124" i="129"/>
  <c r="AK68" i="129"/>
  <c r="AK124" i="129" s="1"/>
  <c r="AM66" i="129"/>
  <c r="AO122" i="129" s="1"/>
  <c r="AR121" i="129"/>
  <c r="AG6" i="158" l="1"/>
  <c r="AG7" i="158" s="1"/>
  <c r="AG8" i="158" s="1"/>
  <c r="AJ5" i="158"/>
  <c r="AF4" i="158"/>
  <c r="AF16" i="158"/>
  <c r="AF8" i="158"/>
  <c r="AF10" i="158"/>
  <c r="AF14" i="158"/>
  <c r="AF17" i="158"/>
  <c r="AF19" i="158"/>
  <c r="AF5" i="158"/>
  <c r="AE5" i="158" s="1"/>
  <c r="AF6" i="158"/>
  <c r="AE6" i="158" s="1"/>
  <c r="AF28" i="158"/>
  <c r="AF12" i="158"/>
  <c r="AF24" i="158"/>
  <c r="AF18" i="158"/>
  <c r="AF13" i="158"/>
  <c r="AF26" i="158"/>
  <c r="AF20" i="158"/>
  <c r="AF9" i="158"/>
  <c r="AF23" i="158"/>
  <c r="AF25" i="158"/>
  <c r="AF7" i="158"/>
  <c r="AF22" i="158"/>
  <c r="AF21" i="158"/>
  <c r="AF11" i="158"/>
  <c r="AF15" i="158"/>
  <c r="AF27" i="158"/>
  <c r="AC48" i="158"/>
  <c r="AC77" i="158"/>
  <c r="AC17" i="158"/>
  <c r="AE33" i="162"/>
  <c r="AK45" i="129"/>
  <c r="AK46" i="129"/>
  <c r="AK44" i="129"/>
  <c r="AK26" i="129"/>
  <c r="AK27" i="129"/>
  <c r="AK30" i="129"/>
  <c r="AK43" i="129"/>
  <c r="AK55" i="129"/>
  <c r="AK31" i="129"/>
  <c r="AK47" i="129"/>
  <c r="AK48" i="129"/>
  <c r="AK52" i="129"/>
  <c r="AK51" i="129"/>
  <c r="AK35" i="129"/>
  <c r="AK25" i="129"/>
  <c r="AK40" i="129"/>
  <c r="AK53" i="129"/>
  <c r="AK37" i="129"/>
  <c r="AK41" i="129"/>
  <c r="AK54" i="129"/>
  <c r="AK49" i="129"/>
  <c r="AK24" i="129"/>
  <c r="AK33" i="129"/>
  <c r="AK50" i="129"/>
  <c r="AK42" i="129"/>
  <c r="AK39" i="129"/>
  <c r="AK32" i="129"/>
  <c r="AK29" i="129"/>
  <c r="AK34" i="129"/>
  <c r="AK38" i="129"/>
  <c r="AK36" i="129"/>
  <c r="AK28" i="129"/>
  <c r="AF124" i="129"/>
  <c r="AF68" i="129"/>
  <c r="AF10" i="129"/>
  <c r="AM15" i="162"/>
  <c r="AI17" i="158"/>
  <c r="AI27" i="158"/>
  <c r="AI14" i="158"/>
  <c r="AI22" i="158"/>
  <c r="AI24" i="158"/>
  <c r="AI28" i="158"/>
  <c r="AI15" i="158"/>
  <c r="AI16" i="158"/>
  <c r="AI18" i="158"/>
  <c r="AI21" i="158"/>
  <c r="AK4" i="129"/>
  <c r="AJ4" i="129" s="1"/>
  <c r="AP4" i="129" s="1"/>
  <c r="AK7" i="129"/>
  <c r="AN7" i="129" s="1"/>
  <c r="AK8" i="129"/>
  <c r="AN8" i="129" s="1"/>
  <c r="AK9" i="129"/>
  <c r="AN9" i="129" s="1"/>
  <c r="AK18" i="129"/>
  <c r="AK20" i="129"/>
  <c r="AK22" i="129"/>
  <c r="AK23" i="129"/>
  <c r="AK10" i="129"/>
  <c r="AK11" i="129"/>
  <c r="AK12" i="129"/>
  <c r="AK13" i="129"/>
  <c r="AK14" i="129"/>
  <c r="AK15" i="129"/>
  <c r="AK16" i="129"/>
  <c r="AK17" i="129"/>
  <c r="AK19" i="129"/>
  <c r="AK21" i="129"/>
  <c r="AK5" i="129"/>
  <c r="AN5" i="129" s="1"/>
  <c r="AK6" i="129"/>
  <c r="AN6" i="129" s="1"/>
  <c r="AI8" i="158"/>
  <c r="AI6" i="158"/>
  <c r="AI10" i="158"/>
  <c r="AI11" i="158"/>
  <c r="AI12" i="158"/>
  <c r="AX121" i="129"/>
  <c r="BH121" i="129"/>
  <c r="AY121" i="129"/>
  <c r="BB121" i="129"/>
  <c r="BC121" i="129"/>
  <c r="AZ121" i="129"/>
  <c r="BG121" i="129"/>
  <c r="BA121" i="129"/>
  <c r="BD121" i="129"/>
  <c r="BE121" i="129"/>
  <c r="BF121" i="129"/>
  <c r="BJ121" i="129"/>
  <c r="AU121" i="129"/>
  <c r="AV121" i="129"/>
  <c r="BI121" i="129"/>
  <c r="BK121" i="129"/>
  <c r="AS121" i="129"/>
  <c r="AT121" i="129"/>
  <c r="AW121" i="129"/>
  <c r="AO8" i="162"/>
  <c r="AK10" i="162"/>
  <c r="AN9" i="162"/>
  <c r="AL9" i="162" s="1"/>
  <c r="AI9" i="162"/>
  <c r="AO9" i="162" s="1"/>
  <c r="BL120" i="129"/>
  <c r="AL5" i="129" s="1"/>
  <c r="AM122" i="129"/>
  <c r="AR122" i="129"/>
  <c r="AK69" i="129"/>
  <c r="AK125" i="129" s="1"/>
  <c r="AJ125" i="129"/>
  <c r="AM67" i="129"/>
  <c r="AO123" i="129" s="1"/>
  <c r="A103" i="155"/>
  <c r="A102" i="155"/>
  <c r="A101" i="155"/>
  <c r="A100" i="155"/>
  <c r="A99" i="155"/>
  <c r="A98" i="155"/>
  <c r="A97" i="155"/>
  <c r="C95" i="155"/>
  <c r="B95" i="155"/>
  <c r="A95" i="155"/>
  <c r="A91" i="155"/>
  <c r="A90" i="155"/>
  <c r="A89" i="155"/>
  <c r="A88" i="155"/>
  <c r="A87" i="155"/>
  <c r="A86" i="155"/>
  <c r="A85" i="155"/>
  <c r="C83" i="155"/>
  <c r="B83" i="155"/>
  <c r="A83" i="155"/>
  <c r="A72" i="155"/>
  <c r="A71" i="155"/>
  <c r="A70" i="155"/>
  <c r="A69" i="155"/>
  <c r="A68" i="155"/>
  <c r="A67" i="155"/>
  <c r="A66" i="155"/>
  <c r="C64" i="155"/>
  <c r="B64" i="155"/>
  <c r="A64" i="155"/>
  <c r="A60" i="155"/>
  <c r="A59" i="155"/>
  <c r="A58" i="155"/>
  <c r="A57" i="155"/>
  <c r="A56" i="155"/>
  <c r="A55" i="155"/>
  <c r="A54" i="155"/>
  <c r="B52" i="155"/>
  <c r="A52" i="155"/>
  <c r="AE8" i="158" l="1"/>
  <c r="AE7" i="158"/>
  <c r="AI7" i="158"/>
  <c r="AI13" i="158"/>
  <c r="AI23" i="158"/>
  <c r="AI5" i="158"/>
  <c r="AH5" i="158" s="1"/>
  <c r="AI20" i="158"/>
  <c r="AI9" i="158"/>
  <c r="AI26" i="158"/>
  <c r="AI25" i="158"/>
  <c r="AI19" i="158"/>
  <c r="AI4" i="158"/>
  <c r="AH4" i="158" s="1"/>
  <c r="AE4" i="158"/>
  <c r="AK4" i="158" s="1"/>
  <c r="AJ7" i="158"/>
  <c r="AH7" i="158" s="1"/>
  <c r="AJ6" i="158"/>
  <c r="AH6" i="158" s="1"/>
  <c r="AC49" i="158"/>
  <c r="AC78" i="158"/>
  <c r="AC18" i="158"/>
  <c r="AE34" i="162"/>
  <c r="AN10" i="129"/>
  <c r="AO5" i="129"/>
  <c r="AM5" i="129" s="1"/>
  <c r="AF69" i="129"/>
  <c r="AF125" i="129"/>
  <c r="AF11" i="129"/>
  <c r="AN11" i="129" s="1"/>
  <c r="AN4" i="129"/>
  <c r="AM4" i="129" s="1"/>
  <c r="AM16" i="162"/>
  <c r="D56" i="155"/>
  <c r="D87" i="155"/>
  <c r="D58" i="155"/>
  <c r="D89" i="155"/>
  <c r="D57" i="155"/>
  <c r="D88" i="155"/>
  <c r="D59" i="155"/>
  <c r="D90" i="155"/>
  <c r="D86" i="155"/>
  <c r="D55" i="155"/>
  <c r="D97" i="155"/>
  <c r="D66" i="155"/>
  <c r="D54" i="155"/>
  <c r="D85" i="155"/>
  <c r="D60" i="155"/>
  <c r="D91" i="155"/>
  <c r="AZ122" i="129"/>
  <c r="BD122" i="129"/>
  <c r="BI122" i="129"/>
  <c r="BA122" i="129"/>
  <c r="BB122" i="129"/>
  <c r="BE122" i="129"/>
  <c r="BC122" i="129"/>
  <c r="BF122" i="129"/>
  <c r="BG122" i="129"/>
  <c r="BH122" i="129"/>
  <c r="AW122" i="129"/>
  <c r="AX122" i="129"/>
  <c r="AT122" i="129"/>
  <c r="AV122" i="129"/>
  <c r="AY122" i="129"/>
  <c r="BJ122" i="129"/>
  <c r="BK122" i="129"/>
  <c r="AU122" i="129"/>
  <c r="AS122" i="129"/>
  <c r="AJ5" i="129"/>
  <c r="AP5" i="129" s="1"/>
  <c r="AN10" i="162"/>
  <c r="AL10" i="162" s="1"/>
  <c r="AK11" i="162"/>
  <c r="AI10" i="162"/>
  <c r="AO10" i="162" s="1"/>
  <c r="BL121" i="129"/>
  <c r="AL6" i="129" s="1"/>
  <c r="AM123" i="129"/>
  <c r="AR123" i="129"/>
  <c r="AJ126" i="129"/>
  <c r="AK70" i="129"/>
  <c r="AK126" i="129" s="1"/>
  <c r="AM68" i="129"/>
  <c r="AO124" i="129" s="1"/>
  <c r="T85" i="135"/>
  <c r="AK5" i="158" l="1"/>
  <c r="AK6" i="158"/>
  <c r="AK7" i="158"/>
  <c r="AJ8" i="158"/>
  <c r="AH8" i="158" s="1"/>
  <c r="AC79" i="158"/>
  <c r="AC50" i="158"/>
  <c r="AC19" i="158"/>
  <c r="AE35" i="162"/>
  <c r="AO6" i="129"/>
  <c r="AM6" i="129" s="1"/>
  <c r="AF70" i="129"/>
  <c r="AF126" i="129"/>
  <c r="AF12" i="129"/>
  <c r="AN12" i="129" s="1"/>
  <c r="AM17" i="162"/>
  <c r="BB123" i="129"/>
  <c r="BF123" i="129"/>
  <c r="BC123" i="129"/>
  <c r="BG123" i="129"/>
  <c r="BD123" i="129"/>
  <c r="BE123" i="129"/>
  <c r="BK123" i="129"/>
  <c r="BH123" i="129"/>
  <c r="BI123" i="129"/>
  <c r="BJ123" i="129"/>
  <c r="AX123" i="129"/>
  <c r="AY123" i="129"/>
  <c r="BA123" i="129"/>
  <c r="AU123" i="129"/>
  <c r="AV123" i="129"/>
  <c r="AS123" i="129"/>
  <c r="AZ123" i="129"/>
  <c r="AT123" i="129"/>
  <c r="AW123" i="129"/>
  <c r="AK12" i="162"/>
  <c r="AN11" i="162"/>
  <c r="AL11" i="162" s="1"/>
  <c r="AI11" i="162"/>
  <c r="AO11" i="162" s="1"/>
  <c r="BL122" i="129"/>
  <c r="AL7" i="129" s="1"/>
  <c r="AM124" i="129"/>
  <c r="AM69" i="129"/>
  <c r="AO125" i="129" s="1"/>
  <c r="AG9" i="158" l="1"/>
  <c r="AG10" i="158" s="1"/>
  <c r="AC80" i="158"/>
  <c r="AC51" i="158"/>
  <c r="AC20" i="158"/>
  <c r="AE36" i="162"/>
  <c r="AO7" i="129"/>
  <c r="AM7" i="129" s="1"/>
  <c r="AF127" i="129"/>
  <c r="AF13" i="129"/>
  <c r="AN13" i="129" s="1"/>
  <c r="AF71" i="129"/>
  <c r="AM18" i="162"/>
  <c r="AJ6" i="129"/>
  <c r="AP6" i="129" s="1"/>
  <c r="AK8" i="158"/>
  <c r="AN12" i="162"/>
  <c r="AL12" i="162" s="1"/>
  <c r="AK13" i="162"/>
  <c r="AI12" i="162"/>
  <c r="AO12" i="162" s="1"/>
  <c r="BL123" i="129"/>
  <c r="AL8" i="129" s="1"/>
  <c r="AR124" i="129"/>
  <c r="AM125" i="129"/>
  <c r="AR125" i="129"/>
  <c r="AM70" i="129"/>
  <c r="AO126" i="129" s="1"/>
  <c r="A117" i="154"/>
  <c r="A116" i="154"/>
  <c r="A115" i="154"/>
  <c r="A114" i="154"/>
  <c r="A113" i="154"/>
  <c r="A112" i="154"/>
  <c r="A111" i="154"/>
  <c r="C110" i="154"/>
  <c r="B110" i="154"/>
  <c r="A110" i="154"/>
  <c r="A105" i="154"/>
  <c r="A104" i="154"/>
  <c r="A103" i="154"/>
  <c r="A102" i="154"/>
  <c r="A101" i="154"/>
  <c r="A100" i="154"/>
  <c r="A99" i="154"/>
  <c r="C98" i="154"/>
  <c r="B98" i="154"/>
  <c r="A98" i="154"/>
  <c r="H94" i="154"/>
  <c r="G94" i="154"/>
  <c r="F94" i="154"/>
  <c r="E94" i="154"/>
  <c r="D94" i="154"/>
  <c r="C94" i="154"/>
  <c r="H93" i="154"/>
  <c r="G93" i="154"/>
  <c r="F93" i="154"/>
  <c r="E93" i="154"/>
  <c r="D93" i="154"/>
  <c r="C93" i="154"/>
  <c r="A74" i="154"/>
  <c r="A73" i="154"/>
  <c r="A72" i="154"/>
  <c r="A71" i="154"/>
  <c r="A70" i="154"/>
  <c r="A69" i="154"/>
  <c r="A68" i="154"/>
  <c r="C67" i="154"/>
  <c r="B67" i="154"/>
  <c r="A67" i="154"/>
  <c r="A62" i="154"/>
  <c r="A61" i="154"/>
  <c r="A60" i="154"/>
  <c r="A59" i="154"/>
  <c r="A58" i="154"/>
  <c r="A57" i="154"/>
  <c r="A56" i="154"/>
  <c r="B55" i="154"/>
  <c r="A55" i="154"/>
  <c r="AJ10" i="158" l="1"/>
  <c r="AH10" i="158" s="1"/>
  <c r="AE10" i="158"/>
  <c r="AJ9" i="158"/>
  <c r="AH9" i="158" s="1"/>
  <c r="AE9" i="158"/>
  <c r="AK9" i="158" s="1"/>
  <c r="AC81" i="158"/>
  <c r="AC52" i="158"/>
  <c r="AC21" i="158"/>
  <c r="AG11" i="158"/>
  <c r="AE37" i="162"/>
  <c r="AO8" i="129"/>
  <c r="AM8" i="129" s="1"/>
  <c r="AF128" i="129"/>
  <c r="AF72" i="129"/>
  <c r="AF14" i="129"/>
  <c r="AN14" i="129" s="1"/>
  <c r="AJ7" i="129"/>
  <c r="AP7" i="129" s="1"/>
  <c r="AM19" i="162"/>
  <c r="BF125" i="129"/>
  <c r="BG125" i="129"/>
  <c r="BH125" i="129"/>
  <c r="BJ125" i="129"/>
  <c r="BI125" i="129"/>
  <c r="BK125" i="129"/>
  <c r="AT125" i="129"/>
  <c r="AU125" i="129"/>
  <c r="AV125" i="129"/>
  <c r="AY125" i="129"/>
  <c r="AZ125" i="129"/>
  <c r="AS125" i="129"/>
  <c r="BA125" i="129"/>
  <c r="BC125" i="129"/>
  <c r="BD125" i="129"/>
  <c r="BE125" i="129"/>
  <c r="AW125" i="129"/>
  <c r="AX125" i="129"/>
  <c r="BB125" i="129"/>
  <c r="BD124" i="129"/>
  <c r="BE124" i="129"/>
  <c r="BH124" i="129"/>
  <c r="BF124" i="129"/>
  <c r="BI124" i="129"/>
  <c r="BG124" i="129"/>
  <c r="BJ124" i="129"/>
  <c r="BK124" i="129"/>
  <c r="AV124" i="129"/>
  <c r="AW124" i="129"/>
  <c r="AZ124" i="129"/>
  <c r="AX124" i="129"/>
  <c r="BB124" i="129"/>
  <c r="AT124" i="129"/>
  <c r="AY124" i="129"/>
  <c r="BA124" i="129"/>
  <c r="AU124" i="129"/>
  <c r="BC124" i="129"/>
  <c r="AS124" i="129"/>
  <c r="AK14" i="162"/>
  <c r="AN13" i="162"/>
  <c r="AL13" i="162" s="1"/>
  <c r="AI13" i="162"/>
  <c r="AO13" i="162" s="1"/>
  <c r="AM126" i="129"/>
  <c r="AJ11" i="158" l="1"/>
  <c r="AH11" i="158" s="1"/>
  <c r="AE11" i="158"/>
  <c r="AC82" i="158"/>
  <c r="AC53" i="158"/>
  <c r="AC22" i="158"/>
  <c r="AG12" i="158"/>
  <c r="AE38" i="162"/>
  <c r="AF73" i="129"/>
  <c r="AF129" i="129"/>
  <c r="AF15" i="129"/>
  <c r="AN15" i="129" s="1"/>
  <c r="AJ8" i="129"/>
  <c r="AP8" i="129" s="1"/>
  <c r="AM20" i="162"/>
  <c r="AK10" i="158"/>
  <c r="AK15" i="162"/>
  <c r="AN14" i="162"/>
  <c r="AL14" i="162" s="1"/>
  <c r="AI14" i="162"/>
  <c r="AO14" i="162" s="1"/>
  <c r="BL125" i="129"/>
  <c r="BL124" i="129"/>
  <c r="AL9" i="129" s="1"/>
  <c r="AR126" i="129"/>
  <c r="AJ12" i="158" l="1"/>
  <c r="AH12" i="158" s="1"/>
  <c r="AE12" i="158"/>
  <c r="AC83" i="158"/>
  <c r="AC54" i="158"/>
  <c r="AC23" i="158"/>
  <c r="AG13" i="158"/>
  <c r="AE39" i="162"/>
  <c r="AL10" i="129"/>
  <c r="AO9" i="129"/>
  <c r="AM9" i="129" s="1"/>
  <c r="AF74" i="129"/>
  <c r="AF16" i="129"/>
  <c r="AN16" i="129" s="1"/>
  <c r="AF130" i="129"/>
  <c r="AM21" i="162"/>
  <c r="AK11" i="158"/>
  <c r="BH126" i="129"/>
  <c r="BI126" i="129"/>
  <c r="BJ126" i="129"/>
  <c r="BK126" i="129"/>
  <c r="AT126" i="129"/>
  <c r="AU126" i="129"/>
  <c r="AV126" i="129"/>
  <c r="AW126" i="129"/>
  <c r="AX126" i="129"/>
  <c r="BB126" i="129"/>
  <c r="BC126" i="129"/>
  <c r="AZ126" i="129"/>
  <c r="BA126" i="129"/>
  <c r="BD126" i="129"/>
  <c r="BG126" i="129"/>
  <c r="AY126" i="129"/>
  <c r="BE126" i="129"/>
  <c r="BF126" i="129"/>
  <c r="AS126" i="129"/>
  <c r="AK16" i="162"/>
  <c r="AN15" i="162"/>
  <c r="AL15" i="162" s="1"/>
  <c r="AI15" i="162"/>
  <c r="AO15" i="162" s="1"/>
  <c r="AJ9" i="129"/>
  <c r="AP9" i="129" s="1"/>
  <c r="AJ10" i="129"/>
  <c r="AJ13" i="158" l="1"/>
  <c r="AH13" i="158" s="1"/>
  <c r="AE13" i="158"/>
  <c r="AC84" i="158"/>
  <c r="AC55" i="158"/>
  <c r="AC24" i="158"/>
  <c r="AG14" i="158"/>
  <c r="AE40" i="162"/>
  <c r="AO10" i="129"/>
  <c r="AM10" i="129" s="1"/>
  <c r="AF75" i="129"/>
  <c r="AF17" i="129"/>
  <c r="AN17" i="129" s="1"/>
  <c r="AF131" i="129"/>
  <c r="AM22" i="162"/>
  <c r="B97" i="163" a="1"/>
  <c r="B97" i="163" s="1"/>
  <c r="AK12" i="158"/>
  <c r="AK17" i="162"/>
  <c r="AN16" i="162"/>
  <c r="AL16" i="162" s="1"/>
  <c r="AI16" i="162"/>
  <c r="AO16" i="162" s="1"/>
  <c r="AP10" i="129"/>
  <c r="BL126" i="129"/>
  <c r="AL11" i="129" s="1"/>
  <c r="Y6" i="135"/>
  <c r="Y9" i="135"/>
  <c r="Y8" i="135"/>
  <c r="Y3" i="135"/>
  <c r="Y4" i="135"/>
  <c r="Y5" i="135"/>
  <c r="Y7" i="135"/>
  <c r="W2" i="135"/>
  <c r="W6" i="135"/>
  <c r="W9" i="135"/>
  <c r="W5" i="135"/>
  <c r="W7" i="135"/>
  <c r="W3" i="135"/>
  <c r="W4" i="135"/>
  <c r="AJ14" i="158" l="1"/>
  <c r="AH14" i="158" s="1"/>
  <c r="AE14" i="158"/>
  <c r="AC56" i="158"/>
  <c r="AC25" i="158"/>
  <c r="AC85" i="158"/>
  <c r="AG15" i="158"/>
  <c r="AE41" i="162"/>
  <c r="AL12" i="129"/>
  <c r="AO11" i="129"/>
  <c r="AM11" i="129" s="1"/>
  <c r="AF18" i="129"/>
  <c r="AN18" i="129" s="1"/>
  <c r="AF76" i="129"/>
  <c r="AF132" i="129"/>
  <c r="AM24" i="162"/>
  <c r="AM23" i="162"/>
  <c r="AK14" i="158"/>
  <c r="B94" i="163" a="1"/>
  <c r="B94" i="163" s="1"/>
  <c r="B100" i="163" a="1"/>
  <c r="B100" i="163" s="1"/>
  <c r="B99" i="163" a="1"/>
  <c r="B99" i="163" s="1"/>
  <c r="B98" i="163" a="1"/>
  <c r="B98" i="163" s="1"/>
  <c r="B101" i="163" a="1"/>
  <c r="B101" i="163" s="1"/>
  <c r="B95" i="163" a="1"/>
  <c r="B95" i="163" s="1"/>
  <c r="B96" i="163" a="1"/>
  <c r="B96" i="163" s="1"/>
  <c r="U12" i="154"/>
  <c r="D102" i="155"/>
  <c r="D71" i="155"/>
  <c r="U8" i="154"/>
  <c r="Y15" i="135"/>
  <c r="Y14" i="135"/>
  <c r="Y12" i="135"/>
  <c r="D67" i="155"/>
  <c r="D98" i="155"/>
  <c r="U9" i="154"/>
  <c r="D68" i="155"/>
  <c r="D99" i="155"/>
  <c r="D103" i="155"/>
  <c r="D72" i="155"/>
  <c r="U10" i="154"/>
  <c r="D69" i="155"/>
  <c r="D100" i="155"/>
  <c r="U11" i="154"/>
  <c r="D101" i="155"/>
  <c r="D70" i="155"/>
  <c r="D79" i="155"/>
  <c r="U13" i="154"/>
  <c r="AK13" i="158"/>
  <c r="AK18" i="162"/>
  <c r="AN17" i="162"/>
  <c r="AL17" i="162" s="1"/>
  <c r="AI17" i="162"/>
  <c r="AO17" i="162" s="1"/>
  <c r="AJ11" i="129"/>
  <c r="B103" i="155"/>
  <c r="B72" i="155"/>
  <c r="B99" i="155"/>
  <c r="B68" i="155"/>
  <c r="B97" i="155"/>
  <c r="B66" i="155"/>
  <c r="B67" i="155"/>
  <c r="B98" i="155"/>
  <c r="B101" i="155"/>
  <c r="B70" i="155"/>
  <c r="B81" i="154"/>
  <c r="B79" i="155"/>
  <c r="B69" i="155"/>
  <c r="B100" i="155"/>
  <c r="D78" i="155"/>
  <c r="B71" i="155"/>
  <c r="B102" i="155"/>
  <c r="B85" i="155"/>
  <c r="J7" i="135"/>
  <c r="J4" i="135"/>
  <c r="J6" i="135"/>
  <c r="J9" i="135"/>
  <c r="J5" i="135"/>
  <c r="J3" i="135"/>
  <c r="J8" i="135"/>
  <c r="B115" i="154"/>
  <c r="B72" i="154"/>
  <c r="B70" i="154"/>
  <c r="B113" i="154"/>
  <c r="B116" i="154"/>
  <c r="B73" i="154"/>
  <c r="B112" i="154"/>
  <c r="B69" i="154"/>
  <c r="B111" i="154"/>
  <c r="B68" i="154"/>
  <c r="B114" i="154"/>
  <c r="B71" i="154"/>
  <c r="B74" i="154"/>
  <c r="B117" i="154"/>
  <c r="W12" i="135"/>
  <c r="X10" i="135" s="1"/>
  <c r="AJ15" i="158" l="1"/>
  <c r="AH15" i="158" s="1"/>
  <c r="AE15" i="158"/>
  <c r="AC26" i="158"/>
  <c r="AC57" i="158"/>
  <c r="AC86" i="158"/>
  <c r="AG16" i="158"/>
  <c r="AE42" i="162"/>
  <c r="AL13" i="129"/>
  <c r="AO12" i="129"/>
  <c r="AM12" i="129" s="1"/>
  <c r="AF133" i="129"/>
  <c r="AF19" i="129"/>
  <c r="AN19" i="129" s="1"/>
  <c r="AF77" i="129"/>
  <c r="AM25" i="162"/>
  <c r="AK15" i="158"/>
  <c r="X2" i="135"/>
  <c r="C19" i="154"/>
  <c r="J12" i="135"/>
  <c r="K10" i="135" s="1"/>
  <c r="L14" i="135"/>
  <c r="L15" i="135"/>
  <c r="AJ12" i="129"/>
  <c r="AP12" i="129" s="1"/>
  <c r="AP11" i="129"/>
  <c r="AK19" i="162"/>
  <c r="AN18" i="162"/>
  <c r="AL18" i="162" s="1"/>
  <c r="AI18" i="162"/>
  <c r="AO18" i="162" s="1"/>
  <c r="B73" i="155"/>
  <c r="C66" i="155" s="1"/>
  <c r="B104" i="155"/>
  <c r="D73" i="155"/>
  <c r="C24" i="155" s="1"/>
  <c r="D104" i="155"/>
  <c r="C27" i="155" s="1"/>
  <c r="B56" i="155"/>
  <c r="B87" i="155"/>
  <c r="B60" i="155"/>
  <c r="B91" i="155"/>
  <c r="B58" i="155"/>
  <c r="B89" i="155"/>
  <c r="B86" i="155"/>
  <c r="B55" i="155"/>
  <c r="B80" i="154"/>
  <c r="B82" i="154" s="1"/>
  <c r="G20" i="154" s="1"/>
  <c r="B78" i="155"/>
  <c r="B59" i="155"/>
  <c r="B90" i="155"/>
  <c r="B88" i="155"/>
  <c r="B57" i="155"/>
  <c r="B58" i="154"/>
  <c r="B101" i="154"/>
  <c r="B62" i="154"/>
  <c r="B105" i="154"/>
  <c r="B103" i="154"/>
  <c r="B60" i="154"/>
  <c r="B61" i="154"/>
  <c r="B104" i="154"/>
  <c r="B102" i="154"/>
  <c r="B59" i="154"/>
  <c r="B57" i="154"/>
  <c r="B100" i="154"/>
  <c r="B99" i="154"/>
  <c r="B75" i="154"/>
  <c r="C115" i="154" s="1"/>
  <c r="B118" i="154"/>
  <c r="X4" i="135"/>
  <c r="X8" i="135"/>
  <c r="X6" i="135"/>
  <c r="X3" i="135"/>
  <c r="X5" i="135"/>
  <c r="X7" i="135"/>
  <c r="X9" i="135"/>
  <c r="AJ16" i="158" l="1"/>
  <c r="AH16" i="158" s="1"/>
  <c r="AE16" i="158"/>
  <c r="AC87" i="158"/>
  <c r="AC58" i="158"/>
  <c r="AC27" i="158"/>
  <c r="AG17" i="158"/>
  <c r="AE43" i="162"/>
  <c r="AL14" i="129"/>
  <c r="AO13" i="129"/>
  <c r="AM13" i="129" s="1"/>
  <c r="AF20" i="129"/>
  <c r="AN20" i="129" s="1"/>
  <c r="AF134" i="129"/>
  <c r="AF78" i="129"/>
  <c r="AM26" i="162"/>
  <c r="AK16" i="158"/>
  <c r="C71" i="155"/>
  <c r="C102" i="155"/>
  <c r="C67" i="155"/>
  <c r="C72" i="155"/>
  <c r="C18" i="154"/>
  <c r="K2" i="135"/>
  <c r="E3" i="163"/>
  <c r="B3" i="163"/>
  <c r="C99" i="155"/>
  <c r="C69" i="155"/>
  <c r="C100" i="155"/>
  <c r="AJ13" i="129"/>
  <c r="AP13" i="129" s="1"/>
  <c r="AK20" i="162"/>
  <c r="AN19" i="162"/>
  <c r="AL19" i="162" s="1"/>
  <c r="AI19" i="162"/>
  <c r="AO19" i="162" s="1"/>
  <c r="C80" i="154"/>
  <c r="D80" i="154"/>
  <c r="G80" i="154" s="1"/>
  <c r="J80" i="154" s="1"/>
  <c r="H20" i="154"/>
  <c r="E81" i="154" s="1"/>
  <c r="H81" i="154" s="1"/>
  <c r="K81" i="154" s="1"/>
  <c r="I20" i="154"/>
  <c r="F81" i="154" s="1"/>
  <c r="I81" i="154" s="1"/>
  <c r="L81" i="154" s="1"/>
  <c r="C98" i="155"/>
  <c r="C68" i="155"/>
  <c r="C97" i="155"/>
  <c r="C103" i="155"/>
  <c r="C70" i="155"/>
  <c r="C101" i="155"/>
  <c r="D92" i="155"/>
  <c r="C26" i="155" s="1"/>
  <c r="B92" i="155"/>
  <c r="C81" i="154"/>
  <c r="D80" i="155"/>
  <c r="C25" i="155" s="1"/>
  <c r="D61" i="155"/>
  <c r="C23" i="155" s="1"/>
  <c r="B80" i="155"/>
  <c r="B61" i="155"/>
  <c r="C54" i="155" s="1"/>
  <c r="B63" i="154"/>
  <c r="C62" i="154" s="1"/>
  <c r="K7" i="135"/>
  <c r="K6" i="135"/>
  <c r="B106" i="154"/>
  <c r="C105" i="154" s="1"/>
  <c r="K9" i="135"/>
  <c r="K4" i="135"/>
  <c r="K3" i="135"/>
  <c r="K8" i="135"/>
  <c r="K5" i="135"/>
  <c r="C68" i="154"/>
  <c r="C117" i="154"/>
  <c r="C72" i="154"/>
  <c r="C114" i="154"/>
  <c r="C71" i="154"/>
  <c r="C69" i="154"/>
  <c r="C113" i="154"/>
  <c r="C112" i="154"/>
  <c r="C116" i="154"/>
  <c r="C111" i="154"/>
  <c r="C70" i="154"/>
  <c r="C74" i="154"/>
  <c r="C73" i="154"/>
  <c r="H19" i="154"/>
  <c r="I19" i="154"/>
  <c r="G19" i="154"/>
  <c r="AJ17" i="158" l="1"/>
  <c r="AH17" i="158" s="1"/>
  <c r="AE17" i="158"/>
  <c r="AC88" i="158"/>
  <c r="AC28" i="158"/>
  <c r="AG18" i="158"/>
  <c r="AE44" i="162"/>
  <c r="AL15" i="129"/>
  <c r="AO14" i="129"/>
  <c r="AM14" i="129" s="1"/>
  <c r="AF135" i="129"/>
  <c r="AF79" i="129"/>
  <c r="AF21" i="129"/>
  <c r="AN21" i="129" s="1"/>
  <c r="AM27" i="162"/>
  <c r="AK17" i="158"/>
  <c r="C8" i="163"/>
  <c r="C9" i="163"/>
  <c r="C10" i="163"/>
  <c r="K12" i="135"/>
  <c r="C3" i="163"/>
  <c r="C7" i="163" s="1"/>
  <c r="A3" i="163"/>
  <c r="D3" i="163"/>
  <c r="AJ14" i="129"/>
  <c r="AP14" i="129" s="1"/>
  <c r="AK21" i="162"/>
  <c r="AN20" i="162"/>
  <c r="AL20" i="162" s="1"/>
  <c r="AI20" i="162"/>
  <c r="AO20" i="162" s="1"/>
  <c r="C82" i="154"/>
  <c r="C28" i="155"/>
  <c r="C73" i="155"/>
  <c r="C104" i="155"/>
  <c r="C88" i="155"/>
  <c r="C87" i="155"/>
  <c r="C85" i="155"/>
  <c r="C90" i="155"/>
  <c r="C91" i="155"/>
  <c r="C89" i="155"/>
  <c r="C86" i="155"/>
  <c r="C59" i="155"/>
  <c r="F80" i="154"/>
  <c r="I80" i="154" s="1"/>
  <c r="L80" i="154" s="1"/>
  <c r="E80" i="154"/>
  <c r="D81" i="154"/>
  <c r="G81" i="154" s="1"/>
  <c r="J81" i="154" s="1"/>
  <c r="C58" i="155"/>
  <c r="C57" i="155"/>
  <c r="C60" i="155"/>
  <c r="C56" i="155"/>
  <c r="C55" i="155"/>
  <c r="C79" i="155"/>
  <c r="C78" i="155"/>
  <c r="C101" i="154"/>
  <c r="C100" i="154"/>
  <c r="K90" i="154"/>
  <c r="F113" i="154" s="1"/>
  <c r="I113" i="154" s="1"/>
  <c r="L113" i="154" s="1"/>
  <c r="O113" i="154" s="1"/>
  <c r="J89" i="154"/>
  <c r="E103" i="154" s="1"/>
  <c r="H103" i="154" s="1"/>
  <c r="K103" i="154" s="1"/>
  <c r="N103" i="154" s="1"/>
  <c r="H18" i="154"/>
  <c r="E61" i="154" s="1"/>
  <c r="H61" i="154" s="1"/>
  <c r="K61" i="154" s="1"/>
  <c r="C59" i="154"/>
  <c r="K89" i="154"/>
  <c r="F104" i="154" s="1"/>
  <c r="I104" i="154" s="1"/>
  <c r="L104" i="154" s="1"/>
  <c r="O104" i="154" s="1"/>
  <c r="C61" i="154"/>
  <c r="I18" i="154"/>
  <c r="F59" i="154" s="1"/>
  <c r="I59" i="154" s="1"/>
  <c r="L59" i="154" s="1"/>
  <c r="C58" i="154"/>
  <c r="C56" i="154"/>
  <c r="G18" i="154"/>
  <c r="C57" i="154"/>
  <c r="C60" i="154"/>
  <c r="C99" i="154"/>
  <c r="J90" i="154"/>
  <c r="E113" i="154" s="1"/>
  <c r="H113" i="154" s="1"/>
  <c r="K113" i="154" s="1"/>
  <c r="N113" i="154" s="1"/>
  <c r="I89" i="154"/>
  <c r="D101" i="154" s="1"/>
  <c r="G101" i="154" s="1"/>
  <c r="J101" i="154" s="1"/>
  <c r="M101" i="154" s="1"/>
  <c r="C104" i="154"/>
  <c r="I90" i="154"/>
  <c r="D113" i="154" s="1"/>
  <c r="G113" i="154" s="1"/>
  <c r="J113" i="154" s="1"/>
  <c r="M113" i="154" s="1"/>
  <c r="C103" i="154"/>
  <c r="C102" i="154"/>
  <c r="C75" i="154"/>
  <c r="C118" i="154"/>
  <c r="E72" i="154"/>
  <c r="H72" i="154" s="1"/>
  <c r="K72" i="154" s="1"/>
  <c r="E74" i="154"/>
  <c r="H74" i="154" s="1"/>
  <c r="K74" i="154" s="1"/>
  <c r="E69" i="154"/>
  <c r="H69" i="154" s="1"/>
  <c r="K69" i="154" s="1"/>
  <c r="E68" i="154"/>
  <c r="E73" i="154"/>
  <c r="H73" i="154" s="1"/>
  <c r="K73" i="154" s="1"/>
  <c r="E71" i="154"/>
  <c r="H71" i="154" s="1"/>
  <c r="K71" i="154" s="1"/>
  <c r="E70" i="154"/>
  <c r="H70" i="154" s="1"/>
  <c r="K70" i="154" s="1"/>
  <c r="D74" i="154"/>
  <c r="G74" i="154" s="1"/>
  <c r="J74" i="154" s="1"/>
  <c r="D70" i="154"/>
  <c r="G70" i="154" s="1"/>
  <c r="J70" i="154" s="1"/>
  <c r="D68" i="154"/>
  <c r="D73" i="154"/>
  <c r="G73" i="154" s="1"/>
  <c r="J73" i="154" s="1"/>
  <c r="D71" i="154"/>
  <c r="G71" i="154" s="1"/>
  <c r="J71" i="154" s="1"/>
  <c r="D69" i="154"/>
  <c r="G69" i="154" s="1"/>
  <c r="J69" i="154" s="1"/>
  <c r="D72" i="154"/>
  <c r="G72" i="154" s="1"/>
  <c r="J72" i="154" s="1"/>
  <c r="F68" i="154"/>
  <c r="F72" i="154"/>
  <c r="I72" i="154" s="1"/>
  <c r="L72" i="154" s="1"/>
  <c r="F73" i="154"/>
  <c r="I73" i="154" s="1"/>
  <c r="L73" i="154" s="1"/>
  <c r="F70" i="154"/>
  <c r="I70" i="154" s="1"/>
  <c r="L70" i="154" s="1"/>
  <c r="F71" i="154"/>
  <c r="I71" i="154" s="1"/>
  <c r="L71" i="154" s="1"/>
  <c r="F74" i="154"/>
  <c r="I74" i="154" s="1"/>
  <c r="L74" i="154" s="1"/>
  <c r="F69" i="154"/>
  <c r="I69" i="154" s="1"/>
  <c r="L69" i="154" s="1"/>
  <c r="B7" i="163" l="1"/>
  <c r="F7" i="163" s="1" a="1"/>
  <c r="F7" i="163" s="1"/>
  <c r="K7" i="163" s="1"/>
  <c r="G9" i="163" a="1"/>
  <c r="G9" i="163" s="1"/>
  <c r="H9" i="163" a="1"/>
  <c r="H9" i="163" s="1"/>
  <c r="G8" i="163" a="1"/>
  <c r="G8" i="163" s="1"/>
  <c r="L7" i="163" s="1"/>
  <c r="H8" i="163" a="1"/>
  <c r="H8" i="163" s="1"/>
  <c r="H7" i="163" a="1"/>
  <c r="H7" i="163" s="1"/>
  <c r="G7" i="163" a="1"/>
  <c r="G7" i="163" s="1"/>
  <c r="H10" i="163" a="1"/>
  <c r="H10" i="163" s="1"/>
  <c r="G10" i="163" a="1"/>
  <c r="G10" i="163" s="1"/>
  <c r="L9" i="163" s="1"/>
  <c r="B11" i="163"/>
  <c r="F11" i="163" s="1" a="1"/>
  <c r="F11" i="163" s="1"/>
  <c r="K11" i="163" s="1"/>
  <c r="B10" i="163"/>
  <c r="B12" i="163"/>
  <c r="F12" i="163" s="1" a="1"/>
  <c r="F12" i="163" s="1"/>
  <c r="K12" i="163" s="1"/>
  <c r="B8" i="163"/>
  <c r="F8" i="163" s="1" a="1"/>
  <c r="F8" i="163" s="1"/>
  <c r="K8" i="163" s="1"/>
  <c r="B9" i="163"/>
  <c r="F9" i="163" s="1" a="1"/>
  <c r="F9" i="163" s="1"/>
  <c r="K9" i="163" s="1"/>
  <c r="AJ18" i="158"/>
  <c r="AH18" i="158" s="1"/>
  <c r="AE18" i="158"/>
  <c r="AG19" i="158"/>
  <c r="AE45" i="162"/>
  <c r="AL16" i="129"/>
  <c r="AO15" i="129"/>
  <c r="AM15" i="129" s="1"/>
  <c r="AF136" i="129"/>
  <c r="AF22" i="129"/>
  <c r="AN22" i="129" s="1"/>
  <c r="AF80" i="129"/>
  <c r="AM28" i="162"/>
  <c r="AK18" i="158"/>
  <c r="B14" i="163"/>
  <c r="B13" i="163"/>
  <c r="F13" i="163" s="1" a="1"/>
  <c r="F13" i="163" s="1"/>
  <c r="F14" i="163" a="1"/>
  <c r="F14" i="163" s="1"/>
  <c r="AJ15" i="129"/>
  <c r="AP15" i="129" s="1"/>
  <c r="AN21" i="162"/>
  <c r="AL21" i="162" s="1"/>
  <c r="AK22" i="162"/>
  <c r="AI21" i="162"/>
  <c r="AO21" i="162" s="1"/>
  <c r="D60" i="154"/>
  <c r="G60" i="154" s="1"/>
  <c r="J60" i="154" s="1"/>
  <c r="D56" i="154"/>
  <c r="E82" i="154"/>
  <c r="H80" i="154"/>
  <c r="K80" i="154" s="1"/>
  <c r="C92" i="155"/>
  <c r="F82" i="154"/>
  <c r="D82" i="154"/>
  <c r="C80" i="155"/>
  <c r="C61" i="155"/>
  <c r="E58" i="154"/>
  <c r="H58" i="154" s="1"/>
  <c r="K58" i="154" s="1"/>
  <c r="E57" i="154"/>
  <c r="H57" i="154" s="1"/>
  <c r="K57" i="154" s="1"/>
  <c r="E56" i="154"/>
  <c r="E59" i="154"/>
  <c r="H59" i="154" s="1"/>
  <c r="K59" i="154" s="1"/>
  <c r="F101" i="154"/>
  <c r="I101" i="154" s="1"/>
  <c r="L101" i="154" s="1"/>
  <c r="O101" i="154" s="1"/>
  <c r="F105" i="154"/>
  <c r="I105" i="154" s="1"/>
  <c r="L105" i="154" s="1"/>
  <c r="O105" i="154" s="1"/>
  <c r="F99" i="154"/>
  <c r="I99" i="154" s="1"/>
  <c r="L99" i="154" s="1"/>
  <c r="O99" i="154" s="1"/>
  <c r="F102" i="154"/>
  <c r="I102" i="154" s="1"/>
  <c r="L102" i="154" s="1"/>
  <c r="O102" i="154" s="1"/>
  <c r="D59" i="154"/>
  <c r="G59" i="154" s="1"/>
  <c r="J59" i="154" s="1"/>
  <c r="F103" i="154"/>
  <c r="I103" i="154" s="1"/>
  <c r="L103" i="154" s="1"/>
  <c r="O103" i="154" s="1"/>
  <c r="D61" i="154"/>
  <c r="G61" i="154" s="1"/>
  <c r="J61" i="154" s="1"/>
  <c r="D62" i="154"/>
  <c r="G62" i="154" s="1"/>
  <c r="J62" i="154" s="1"/>
  <c r="E62" i="154"/>
  <c r="H62" i="154" s="1"/>
  <c r="K62" i="154" s="1"/>
  <c r="E60" i="154"/>
  <c r="H60" i="154" s="1"/>
  <c r="K60" i="154" s="1"/>
  <c r="E116" i="154"/>
  <c r="H116" i="154" s="1"/>
  <c r="K116" i="154" s="1"/>
  <c r="N116" i="154" s="1"/>
  <c r="C63" i="154"/>
  <c r="E111" i="154"/>
  <c r="H111" i="154" s="1"/>
  <c r="K111" i="154" s="1"/>
  <c r="N111" i="154" s="1"/>
  <c r="F61" i="154"/>
  <c r="I61" i="154" s="1"/>
  <c r="L61" i="154" s="1"/>
  <c r="F62" i="154"/>
  <c r="I62" i="154" s="1"/>
  <c r="L62" i="154" s="1"/>
  <c r="D58" i="154"/>
  <c r="G58" i="154" s="1"/>
  <c r="J58" i="154" s="1"/>
  <c r="F100" i="154"/>
  <c r="I100" i="154" s="1"/>
  <c r="L100" i="154" s="1"/>
  <c r="O100" i="154" s="1"/>
  <c r="D57" i="154"/>
  <c r="G57" i="154" s="1"/>
  <c r="J57" i="154" s="1"/>
  <c r="E104" i="154"/>
  <c r="H104" i="154" s="1"/>
  <c r="K104" i="154" s="1"/>
  <c r="N104" i="154" s="1"/>
  <c r="E105" i="154"/>
  <c r="H105" i="154" s="1"/>
  <c r="K105" i="154" s="1"/>
  <c r="N105" i="154" s="1"/>
  <c r="F111" i="154"/>
  <c r="I111" i="154" s="1"/>
  <c r="L111" i="154" s="1"/>
  <c r="O111" i="154" s="1"/>
  <c r="F116" i="154"/>
  <c r="I116" i="154" s="1"/>
  <c r="L116" i="154" s="1"/>
  <c r="O116" i="154" s="1"/>
  <c r="F115" i="154"/>
  <c r="I115" i="154" s="1"/>
  <c r="L115" i="154" s="1"/>
  <c r="O115" i="154" s="1"/>
  <c r="F60" i="154"/>
  <c r="I60" i="154" s="1"/>
  <c r="L60" i="154" s="1"/>
  <c r="F117" i="154"/>
  <c r="I117" i="154" s="1"/>
  <c r="L117" i="154" s="1"/>
  <c r="O117" i="154" s="1"/>
  <c r="F56" i="154"/>
  <c r="E101" i="154"/>
  <c r="H101" i="154" s="1"/>
  <c r="K101" i="154" s="1"/>
  <c r="N101" i="154" s="1"/>
  <c r="E99" i="154"/>
  <c r="H99" i="154" s="1"/>
  <c r="K99" i="154" s="1"/>
  <c r="N99" i="154" s="1"/>
  <c r="E102" i="154"/>
  <c r="H102" i="154" s="1"/>
  <c r="K102" i="154" s="1"/>
  <c r="N102" i="154" s="1"/>
  <c r="E100" i="154"/>
  <c r="H100" i="154" s="1"/>
  <c r="K100" i="154" s="1"/>
  <c r="N100" i="154" s="1"/>
  <c r="F114" i="154"/>
  <c r="I114" i="154" s="1"/>
  <c r="L114" i="154" s="1"/>
  <c r="O114" i="154" s="1"/>
  <c r="F57" i="154"/>
  <c r="I57" i="154" s="1"/>
  <c r="L57" i="154" s="1"/>
  <c r="F112" i="154"/>
  <c r="I112" i="154" s="1"/>
  <c r="L112" i="154" s="1"/>
  <c r="O112" i="154" s="1"/>
  <c r="F58" i="154"/>
  <c r="I58" i="154" s="1"/>
  <c r="L58" i="154" s="1"/>
  <c r="D116" i="154"/>
  <c r="G116" i="154" s="1"/>
  <c r="J116" i="154" s="1"/>
  <c r="M116" i="154" s="1"/>
  <c r="D104" i="154"/>
  <c r="G104" i="154" s="1"/>
  <c r="J104" i="154" s="1"/>
  <c r="M104" i="154" s="1"/>
  <c r="D99" i="154"/>
  <c r="G99" i="154" s="1"/>
  <c r="J99" i="154" s="1"/>
  <c r="M99" i="154" s="1"/>
  <c r="D100" i="154"/>
  <c r="G100" i="154" s="1"/>
  <c r="J100" i="154" s="1"/>
  <c r="M100" i="154" s="1"/>
  <c r="D105" i="154"/>
  <c r="G105" i="154" s="1"/>
  <c r="J105" i="154" s="1"/>
  <c r="M105" i="154" s="1"/>
  <c r="D102" i="154"/>
  <c r="G102" i="154" s="1"/>
  <c r="J102" i="154" s="1"/>
  <c r="M102" i="154" s="1"/>
  <c r="D103" i="154"/>
  <c r="G103" i="154" s="1"/>
  <c r="J103" i="154" s="1"/>
  <c r="M103" i="154" s="1"/>
  <c r="E112" i="154"/>
  <c r="H112" i="154" s="1"/>
  <c r="K112" i="154" s="1"/>
  <c r="N112" i="154" s="1"/>
  <c r="D114" i="154"/>
  <c r="G114" i="154" s="1"/>
  <c r="J114" i="154" s="1"/>
  <c r="M114" i="154" s="1"/>
  <c r="E115" i="154"/>
  <c r="H115" i="154" s="1"/>
  <c r="K115" i="154" s="1"/>
  <c r="N115" i="154" s="1"/>
  <c r="D111" i="154"/>
  <c r="G111" i="154" s="1"/>
  <c r="J111" i="154" s="1"/>
  <c r="M111" i="154" s="1"/>
  <c r="E117" i="154"/>
  <c r="H117" i="154" s="1"/>
  <c r="K117" i="154" s="1"/>
  <c r="N117" i="154" s="1"/>
  <c r="D112" i="154"/>
  <c r="G112" i="154" s="1"/>
  <c r="J112" i="154" s="1"/>
  <c r="M112" i="154" s="1"/>
  <c r="E114" i="154"/>
  <c r="H114" i="154" s="1"/>
  <c r="K114" i="154" s="1"/>
  <c r="N114" i="154" s="1"/>
  <c r="D115" i="154"/>
  <c r="G115" i="154" s="1"/>
  <c r="J115" i="154" s="1"/>
  <c r="M115" i="154" s="1"/>
  <c r="D117" i="154"/>
  <c r="G117" i="154" s="1"/>
  <c r="J117" i="154" s="1"/>
  <c r="M117" i="154" s="1"/>
  <c r="C106" i="154"/>
  <c r="D75" i="154"/>
  <c r="F75" i="154"/>
  <c r="E75" i="154"/>
  <c r="I82" i="154"/>
  <c r="E27" i="154" s="1"/>
  <c r="G82" i="154"/>
  <c r="C27" i="154" s="1"/>
  <c r="B10" i="152"/>
  <c r="B9" i="152"/>
  <c r="B8" i="152"/>
  <c r="B7" i="152"/>
  <c r="B6" i="152"/>
  <c r="B5" i="152"/>
  <c r="B4" i="152"/>
  <c r="B3" i="152"/>
  <c r="B4" i="144"/>
  <c r="B5" i="144"/>
  <c r="B6" i="144"/>
  <c r="B7" i="144"/>
  <c r="B8" i="144"/>
  <c r="B9" i="144"/>
  <c r="B10" i="144"/>
  <c r="B3" i="144"/>
  <c r="C5" i="141"/>
  <c r="C7" i="141"/>
  <c r="L8" i="163" l="1"/>
  <c r="C11" i="163"/>
  <c r="G11" i="163" s="1" a="1"/>
  <c r="G11" i="163" s="1"/>
  <c r="AJ19" i="158"/>
  <c r="AH19" i="158" s="1"/>
  <c r="AE19" i="158"/>
  <c r="AG20" i="158"/>
  <c r="AK19" i="158"/>
  <c r="AE46" i="162"/>
  <c r="AL17" i="129"/>
  <c r="AO16" i="129"/>
  <c r="AM16" i="129" s="1"/>
  <c r="AF137" i="129"/>
  <c r="AF81" i="129"/>
  <c r="AF23" i="129"/>
  <c r="AM29" i="162"/>
  <c r="C12" i="163"/>
  <c r="F10" i="163" a="1"/>
  <c r="F10" i="163" s="1"/>
  <c r="K10" i="163" s="1"/>
  <c r="C14" i="163"/>
  <c r="C13" i="163"/>
  <c r="O118" i="154"/>
  <c r="M118" i="154"/>
  <c r="M106" i="154"/>
  <c r="O106" i="154"/>
  <c r="N106" i="154"/>
  <c r="N118" i="154"/>
  <c r="AJ16" i="129"/>
  <c r="AP16" i="129" s="1"/>
  <c r="AK23" i="162"/>
  <c r="AK24" i="162" s="1"/>
  <c r="AN22" i="162"/>
  <c r="AL22" i="162" s="1"/>
  <c r="AI22" i="162"/>
  <c r="AO22" i="162" s="1"/>
  <c r="H82" i="154"/>
  <c r="D27" i="154" s="1"/>
  <c r="K82" i="154"/>
  <c r="J27" i="154" s="1"/>
  <c r="E63" i="154"/>
  <c r="F106" i="154"/>
  <c r="F63" i="154"/>
  <c r="D63" i="154"/>
  <c r="F118" i="154"/>
  <c r="E106" i="154"/>
  <c r="D118" i="154"/>
  <c r="D106" i="154"/>
  <c r="E118" i="154"/>
  <c r="L82" i="154"/>
  <c r="K27" i="154" s="1"/>
  <c r="G106" i="154"/>
  <c r="C28" i="154" s="1"/>
  <c r="G118" i="154"/>
  <c r="C29" i="154" s="1"/>
  <c r="I75" i="154"/>
  <c r="E26" i="154" s="1"/>
  <c r="G75" i="154"/>
  <c r="C26" i="154" s="1"/>
  <c r="H63" i="154"/>
  <c r="D25" i="154" s="1"/>
  <c r="H118" i="154"/>
  <c r="D29" i="154" s="1"/>
  <c r="H75" i="154"/>
  <c r="D26" i="154" s="1"/>
  <c r="H106" i="154"/>
  <c r="D28" i="154" s="1"/>
  <c r="J82" i="154"/>
  <c r="I27" i="154" s="1"/>
  <c r="L47" i="146"/>
  <c r="S48" i="146"/>
  <c r="G49" i="146"/>
  <c r="T44" i="146"/>
  <c r="B5" i="141"/>
  <c r="B7" i="141"/>
  <c r="Q44" i="146"/>
  <c r="F47" i="146"/>
  <c r="G47" i="146"/>
  <c r="H47" i="146"/>
  <c r="I47" i="146"/>
  <c r="J47" i="146"/>
  <c r="K47" i="146"/>
  <c r="M47" i="146"/>
  <c r="N47" i="146"/>
  <c r="P47" i="146"/>
  <c r="Q47" i="146"/>
  <c r="R47" i="146"/>
  <c r="T47" i="146"/>
  <c r="U47" i="146"/>
  <c r="V47" i="146"/>
  <c r="F48" i="146"/>
  <c r="H49" i="146"/>
  <c r="O49" i="146"/>
  <c r="P49" i="146"/>
  <c r="T49" i="146"/>
  <c r="U49" i="146"/>
  <c r="E47" i="146"/>
  <c r="C47" i="146"/>
  <c r="C24" i="133"/>
  <c r="Z12" i="132"/>
  <c r="Z13" i="132"/>
  <c r="Z14" i="132"/>
  <c r="Z15" i="132"/>
  <c r="Z16" i="132"/>
  <c r="Z17" i="132"/>
  <c r="Z18" i="132"/>
  <c r="Z11" i="132"/>
  <c r="D6" i="146"/>
  <c r="D31" i="147" s="1"/>
  <c r="E6" i="146"/>
  <c r="E31" i="147" s="1"/>
  <c r="F6" i="146"/>
  <c r="F31" i="147" s="1"/>
  <c r="G6" i="146"/>
  <c r="H6" i="146"/>
  <c r="I6" i="146"/>
  <c r="J6" i="146"/>
  <c r="K6" i="146"/>
  <c r="L6" i="146"/>
  <c r="M6" i="146"/>
  <c r="N6" i="146"/>
  <c r="O6" i="146"/>
  <c r="P6" i="146"/>
  <c r="P6" i="147" s="1"/>
  <c r="Q6" i="146"/>
  <c r="Q6" i="147" s="1"/>
  <c r="R6" i="146"/>
  <c r="S6" i="146"/>
  <c r="T6" i="146"/>
  <c r="U6" i="146"/>
  <c r="U31" i="147" s="1"/>
  <c r="V6" i="146"/>
  <c r="H16" i="146"/>
  <c r="I16" i="146"/>
  <c r="J16" i="146"/>
  <c r="K16" i="146"/>
  <c r="L16" i="146"/>
  <c r="M16" i="146"/>
  <c r="N16" i="146"/>
  <c r="R16" i="146"/>
  <c r="D32" i="146"/>
  <c r="D32" i="147" s="1"/>
  <c r="E32" i="146"/>
  <c r="F32" i="146"/>
  <c r="G32" i="146"/>
  <c r="H32" i="146"/>
  <c r="I32" i="146"/>
  <c r="J32" i="146"/>
  <c r="K32" i="146"/>
  <c r="L32" i="146"/>
  <c r="M32" i="146"/>
  <c r="M32" i="147" s="1"/>
  <c r="N32" i="146"/>
  <c r="O32" i="146"/>
  <c r="P32" i="146"/>
  <c r="Q32" i="146"/>
  <c r="R32" i="146"/>
  <c r="S32" i="146"/>
  <c r="T32" i="146"/>
  <c r="U32" i="146"/>
  <c r="V32" i="146"/>
  <c r="D33" i="146"/>
  <c r="E33" i="146"/>
  <c r="E33" i="147" s="1"/>
  <c r="F33" i="146"/>
  <c r="G33" i="146"/>
  <c r="H33" i="146"/>
  <c r="I33" i="146"/>
  <c r="J33" i="146"/>
  <c r="K33" i="146"/>
  <c r="L33" i="146"/>
  <c r="M33" i="146"/>
  <c r="N33" i="146"/>
  <c r="O33" i="146"/>
  <c r="O33" i="147" s="1"/>
  <c r="P33" i="146"/>
  <c r="P33" i="147" s="1"/>
  <c r="Q33" i="146"/>
  <c r="R33" i="146"/>
  <c r="S33" i="146"/>
  <c r="T33" i="146"/>
  <c r="T33" i="147" s="1"/>
  <c r="U33" i="146"/>
  <c r="U33" i="147" s="1"/>
  <c r="V33" i="146"/>
  <c r="V33" i="147" s="1"/>
  <c r="E36" i="146"/>
  <c r="D37" i="146"/>
  <c r="E37" i="146"/>
  <c r="F37" i="146"/>
  <c r="G37" i="146"/>
  <c r="H37" i="146"/>
  <c r="H37" i="147" s="1"/>
  <c r="I37" i="146"/>
  <c r="J37" i="146"/>
  <c r="K37" i="146"/>
  <c r="L37" i="146"/>
  <c r="M37" i="146"/>
  <c r="N37" i="146"/>
  <c r="O37" i="146"/>
  <c r="O37" i="147" s="1"/>
  <c r="P37" i="146"/>
  <c r="Q37" i="146"/>
  <c r="R37" i="146"/>
  <c r="S37" i="146"/>
  <c r="T37" i="146"/>
  <c r="T37" i="147" s="1"/>
  <c r="U37" i="146"/>
  <c r="V37" i="146"/>
  <c r="C6" i="146"/>
  <c r="C32" i="146"/>
  <c r="C33" i="146"/>
  <c r="C37" i="146"/>
  <c r="O2" i="123"/>
  <c r="O3" i="123"/>
  <c r="O4" i="123"/>
  <c r="O5" i="123"/>
  <c r="O6" i="123"/>
  <c r="O7" i="123"/>
  <c r="O8" i="123"/>
  <c r="C2" i="141" s="1"/>
  <c r="K14" i="146" s="1"/>
  <c r="O9" i="123"/>
  <c r="O10" i="123"/>
  <c r="O11" i="123"/>
  <c r="O12" i="123"/>
  <c r="O13" i="123"/>
  <c r="O14" i="123"/>
  <c r="O15" i="123"/>
  <c r="O16" i="123"/>
  <c r="C6" i="141" s="1"/>
  <c r="R48" i="146" s="1"/>
  <c r="O17" i="123"/>
  <c r="O18" i="123"/>
  <c r="O19" i="123"/>
  <c r="O20" i="123"/>
  <c r="O21" i="123"/>
  <c r="O22" i="123"/>
  <c r="O23" i="123"/>
  <c r="O24" i="123"/>
  <c r="O25" i="123"/>
  <c r="O26" i="123"/>
  <c r="O27" i="123"/>
  <c r="O28" i="123"/>
  <c r="O29" i="123"/>
  <c r="O30" i="123"/>
  <c r="O31" i="123"/>
  <c r="O32" i="123"/>
  <c r="O33" i="123"/>
  <c r="O34" i="123"/>
  <c r="O35" i="123"/>
  <c r="O36" i="123"/>
  <c r="O37" i="123"/>
  <c r="O38" i="123"/>
  <c r="O39" i="123"/>
  <c r="O40" i="123"/>
  <c r="O41" i="123"/>
  <c r="O42" i="123"/>
  <c r="O43" i="123"/>
  <c r="N45" i="123"/>
  <c r="M45" i="123"/>
  <c r="L45" i="123"/>
  <c r="K45" i="123"/>
  <c r="J45" i="123"/>
  <c r="I45" i="123"/>
  <c r="H45" i="123"/>
  <c r="G45" i="123"/>
  <c r="F45" i="123"/>
  <c r="E45" i="123"/>
  <c r="D45" i="123"/>
  <c r="C45" i="123"/>
  <c r="H11" i="163" l="1" a="1"/>
  <c r="H11" i="163" s="1"/>
  <c r="H14" i="163" a="1"/>
  <c r="H14" i="163" s="1"/>
  <c r="G14" i="163" a="1"/>
  <c r="G14" i="163" s="1"/>
  <c r="H13" i="163" a="1"/>
  <c r="H13" i="163" s="1"/>
  <c r="G13" i="163" a="1"/>
  <c r="G13" i="163" s="1"/>
  <c r="H12" i="163" a="1"/>
  <c r="H12" i="163" s="1"/>
  <c r="G12" i="163" a="1"/>
  <c r="G12" i="163" s="1"/>
  <c r="AJ20" i="158"/>
  <c r="AH20" i="158" s="1"/>
  <c r="AE20" i="158"/>
  <c r="AG21" i="158"/>
  <c r="AK20" i="158"/>
  <c r="AE47" i="162"/>
  <c r="AF24" i="129"/>
  <c r="AN23" i="129"/>
  <c r="AL18" i="129"/>
  <c r="AO17" i="129"/>
  <c r="AM17" i="129" s="1"/>
  <c r="AF25" i="129"/>
  <c r="AF82" i="129"/>
  <c r="AF138" i="129"/>
  <c r="AN24" i="162"/>
  <c r="AL24" i="162" s="1"/>
  <c r="AK25" i="162"/>
  <c r="AI24" i="162"/>
  <c r="AM30" i="162"/>
  <c r="AJ17" i="129"/>
  <c r="AP17" i="129" s="1"/>
  <c r="AN23" i="162"/>
  <c r="AL23" i="162" s="1"/>
  <c r="AI23" i="162"/>
  <c r="G63" i="154"/>
  <c r="C25" i="154" s="1"/>
  <c r="D30" i="154"/>
  <c r="I106" i="154"/>
  <c r="E28" i="154" s="1"/>
  <c r="I118" i="154"/>
  <c r="E29" i="154" s="1"/>
  <c r="I63" i="154"/>
  <c r="E25" i="154" s="1"/>
  <c r="J75" i="154"/>
  <c r="I26" i="154" s="1"/>
  <c r="J63" i="154"/>
  <c r="I25" i="154" s="1"/>
  <c r="K106" i="154"/>
  <c r="J28" i="154" s="1"/>
  <c r="J106" i="154"/>
  <c r="I28" i="154" s="1"/>
  <c r="K75" i="154"/>
  <c r="J26" i="154" s="1"/>
  <c r="L75" i="154"/>
  <c r="K26" i="154" s="1"/>
  <c r="J118" i="154"/>
  <c r="I29" i="154" s="1"/>
  <c r="K118" i="154"/>
  <c r="J29" i="154" s="1"/>
  <c r="L118" i="154"/>
  <c r="K29" i="154" s="1"/>
  <c r="K63" i="154"/>
  <c r="J25" i="154" s="1"/>
  <c r="C8" i="141"/>
  <c r="J50" i="146" s="1"/>
  <c r="C4" i="141"/>
  <c r="C3" i="141"/>
  <c r="E30" i="146"/>
  <c r="D31" i="146"/>
  <c r="M31" i="146"/>
  <c r="C9" i="141"/>
  <c r="H35" i="146" s="1"/>
  <c r="H35" i="147" s="1"/>
  <c r="T48" i="146"/>
  <c r="N7" i="146"/>
  <c r="N7" i="147" s="1"/>
  <c r="E50" i="146"/>
  <c r="G16" i="146"/>
  <c r="G16" i="147" s="1"/>
  <c r="K7" i="146"/>
  <c r="K7" i="147" s="1"/>
  <c r="D48" i="146"/>
  <c r="P48" i="146"/>
  <c r="F16" i="146"/>
  <c r="F16" i="147" s="1"/>
  <c r="H7" i="146"/>
  <c r="H7" i="147" s="1"/>
  <c r="O48" i="146"/>
  <c r="O24" i="146"/>
  <c r="O97" i="147" s="1"/>
  <c r="L23" i="146"/>
  <c r="L96" i="147" s="1"/>
  <c r="I22" i="146"/>
  <c r="I22" i="147" s="1"/>
  <c r="L19" i="146"/>
  <c r="L19" i="147" s="1"/>
  <c r="K18" i="146"/>
  <c r="K18" i="147" s="1"/>
  <c r="J17" i="146"/>
  <c r="J17" i="147" s="1"/>
  <c r="U14" i="146"/>
  <c r="U14" i="147" s="1"/>
  <c r="D13" i="146"/>
  <c r="V11" i="146"/>
  <c r="U10" i="146"/>
  <c r="T9" i="146"/>
  <c r="T9" i="147" s="1"/>
  <c r="G7" i="146"/>
  <c r="G7" i="147" s="1"/>
  <c r="V5" i="146"/>
  <c r="V5" i="147" s="1"/>
  <c r="T3" i="146"/>
  <c r="T3" i="147" s="1"/>
  <c r="R2" i="146"/>
  <c r="R2" i="147" s="1"/>
  <c r="D47" i="146"/>
  <c r="J48" i="146"/>
  <c r="V46" i="146"/>
  <c r="O45" i="146"/>
  <c r="I48" i="146"/>
  <c r="H48" i="146"/>
  <c r="G48" i="146"/>
  <c r="L21" i="146"/>
  <c r="L21" i="147" s="1"/>
  <c r="K21" i="146"/>
  <c r="K21" i="147" s="1"/>
  <c r="V16" i="146"/>
  <c r="D36" i="146"/>
  <c r="J21" i="146"/>
  <c r="T16" i="146"/>
  <c r="T16" i="147" s="1"/>
  <c r="S47" i="146"/>
  <c r="S16" i="146"/>
  <c r="D50" i="146"/>
  <c r="N15" i="146"/>
  <c r="E49" i="146"/>
  <c r="S49" i="146"/>
  <c r="S31" i="146"/>
  <c r="M15" i="146"/>
  <c r="T7" i="146"/>
  <c r="T7" i="147" s="1"/>
  <c r="D49" i="146"/>
  <c r="R49" i="146"/>
  <c r="G35" i="146"/>
  <c r="G35" i="147" s="1"/>
  <c r="R31" i="146"/>
  <c r="I15" i="146"/>
  <c r="P7" i="146"/>
  <c r="H5" i="146"/>
  <c r="H5" i="147" s="1"/>
  <c r="J3" i="146"/>
  <c r="E48" i="146"/>
  <c r="Q49" i="146"/>
  <c r="O47" i="146"/>
  <c r="H46" i="146"/>
  <c r="S44" i="146"/>
  <c r="R30" i="146"/>
  <c r="R30" i="147" s="1"/>
  <c r="J14" i="146"/>
  <c r="J14" i="147" s="1"/>
  <c r="G44" i="146"/>
  <c r="P44" i="146"/>
  <c r="F7" i="146"/>
  <c r="F7" i="147" s="1"/>
  <c r="K30" i="146"/>
  <c r="K30" i="147" s="1"/>
  <c r="M20" i="146"/>
  <c r="E7" i="146"/>
  <c r="E4" i="146"/>
  <c r="R32" i="147"/>
  <c r="V4" i="146"/>
  <c r="I30" i="146"/>
  <c r="I30" i="147" s="1"/>
  <c r="L20" i="146"/>
  <c r="D4" i="146"/>
  <c r="D4" i="147" s="1"/>
  <c r="Q30" i="146"/>
  <c r="Q30" i="147" s="1"/>
  <c r="L30" i="146"/>
  <c r="L30" i="147" s="1"/>
  <c r="V36" i="146"/>
  <c r="V36" i="147" s="1"/>
  <c r="G30" i="146"/>
  <c r="G30" i="147" s="1"/>
  <c r="D44" i="146"/>
  <c r="J36" i="146"/>
  <c r="J36" i="147" s="1"/>
  <c r="F30" i="146"/>
  <c r="F30" i="147" s="1"/>
  <c r="O51" i="146"/>
  <c r="E32" i="147"/>
  <c r="L15" i="146"/>
  <c r="K15" i="146"/>
  <c r="R31" i="147"/>
  <c r="C16" i="146"/>
  <c r="C16" i="147" s="1"/>
  <c r="U36" i="146"/>
  <c r="U36" i="147" s="1"/>
  <c r="H30" i="146"/>
  <c r="H30" i="147" s="1"/>
  <c r="U16" i="146"/>
  <c r="J15" i="146"/>
  <c r="J16" i="147"/>
  <c r="Q48" i="146"/>
  <c r="R44" i="146"/>
  <c r="D30" i="146"/>
  <c r="D30" i="147" s="1"/>
  <c r="Q16" i="146"/>
  <c r="Q16" i="147" s="1"/>
  <c r="T14" i="146"/>
  <c r="V8" i="146"/>
  <c r="V8" i="147" s="1"/>
  <c r="C44" i="146"/>
  <c r="M48" i="146"/>
  <c r="N44" i="146"/>
  <c r="H16" i="147"/>
  <c r="N48" i="146"/>
  <c r="O44" i="146"/>
  <c r="P16" i="146"/>
  <c r="O14" i="146"/>
  <c r="V7" i="146"/>
  <c r="C49" i="146"/>
  <c r="L48" i="146"/>
  <c r="M44" i="146"/>
  <c r="F32" i="147"/>
  <c r="H15" i="146"/>
  <c r="O16" i="146"/>
  <c r="L14" i="146"/>
  <c r="U7" i="146"/>
  <c r="U7" i="147" s="1"/>
  <c r="C48" i="146"/>
  <c r="K48" i="146"/>
  <c r="H44" i="146"/>
  <c r="G31" i="146"/>
  <c r="U25" i="146"/>
  <c r="U98" i="147" s="1"/>
  <c r="T24" i="146"/>
  <c r="S23" i="146"/>
  <c r="S169" i="147" s="1"/>
  <c r="R22" i="146"/>
  <c r="R168" i="147" s="1"/>
  <c r="E16" i="146"/>
  <c r="F8" i="146"/>
  <c r="F49" i="146"/>
  <c r="O46" i="146"/>
  <c r="C8" i="146"/>
  <c r="T36" i="146"/>
  <c r="L31" i="146"/>
  <c r="I14" i="146"/>
  <c r="U8" i="146"/>
  <c r="U8" i="147" s="1"/>
  <c r="S36" i="146"/>
  <c r="S36" i="147" s="1"/>
  <c r="J31" i="146"/>
  <c r="M26" i="146"/>
  <c r="H14" i="146"/>
  <c r="T8" i="146"/>
  <c r="C31" i="146"/>
  <c r="R36" i="146"/>
  <c r="I31" i="146"/>
  <c r="H21" i="146"/>
  <c r="H21" i="147" s="1"/>
  <c r="G14" i="146"/>
  <c r="O8" i="146"/>
  <c r="O8" i="147" s="1"/>
  <c r="C30" i="146"/>
  <c r="C4" i="146"/>
  <c r="C4" i="147" s="1"/>
  <c r="Q36" i="146"/>
  <c r="H31" i="146"/>
  <c r="V20" i="146"/>
  <c r="F14" i="146"/>
  <c r="P36" i="146"/>
  <c r="P36" i="147" s="1"/>
  <c r="O36" i="146"/>
  <c r="O36" i="147" s="1"/>
  <c r="F31" i="146"/>
  <c r="S20" i="146"/>
  <c r="D16" i="146"/>
  <c r="E8" i="146"/>
  <c r="V48" i="146"/>
  <c r="N8" i="146"/>
  <c r="N8" i="147" s="1"/>
  <c r="N46" i="146"/>
  <c r="S41" i="146"/>
  <c r="R40" i="146"/>
  <c r="R40" i="147" s="1"/>
  <c r="Q39" i="146"/>
  <c r="K36" i="146"/>
  <c r="K36" i="147" s="1"/>
  <c r="E31" i="146"/>
  <c r="S25" i="146"/>
  <c r="S98" i="147" s="1"/>
  <c r="R24" i="146"/>
  <c r="R170" i="147" s="1"/>
  <c r="Q23" i="146"/>
  <c r="Q169" i="147" s="1"/>
  <c r="P22" i="146"/>
  <c r="P168" i="147" s="1"/>
  <c r="R20" i="146"/>
  <c r="O15" i="146"/>
  <c r="D8" i="146"/>
  <c r="E44" i="146"/>
  <c r="U48" i="146"/>
  <c r="M20" i="147"/>
  <c r="N32" i="147"/>
  <c r="V30" i="146"/>
  <c r="V30" i="147" s="1"/>
  <c r="E14" i="146"/>
  <c r="S8" i="146"/>
  <c r="S8" i="147" s="1"/>
  <c r="L44" i="146"/>
  <c r="N36" i="146"/>
  <c r="V31" i="146"/>
  <c r="U30" i="146"/>
  <c r="D14" i="146"/>
  <c r="R8" i="146"/>
  <c r="R8" i="147" s="1"/>
  <c r="L51" i="146"/>
  <c r="K44" i="146"/>
  <c r="C21" i="146"/>
  <c r="M36" i="146"/>
  <c r="E35" i="146"/>
  <c r="E35" i="147" s="1"/>
  <c r="U31" i="146"/>
  <c r="T30" i="146"/>
  <c r="V21" i="146"/>
  <c r="V21" i="147" s="1"/>
  <c r="D15" i="146"/>
  <c r="Q8" i="146"/>
  <c r="Q8" i="147" s="1"/>
  <c r="J7" i="146"/>
  <c r="K51" i="146"/>
  <c r="J44" i="146"/>
  <c r="C20" i="146"/>
  <c r="L36" i="146"/>
  <c r="L36" i="147" s="1"/>
  <c r="D35" i="146"/>
  <c r="D35" i="147" s="1"/>
  <c r="T31" i="146"/>
  <c r="S30" i="146"/>
  <c r="S30" i="147" s="1"/>
  <c r="O26" i="146"/>
  <c r="O26" i="147" s="1"/>
  <c r="R21" i="146"/>
  <c r="R21" i="147" s="1"/>
  <c r="V14" i="146"/>
  <c r="V14" i="147" s="1"/>
  <c r="P8" i="146"/>
  <c r="P8" i="147" s="1"/>
  <c r="I7" i="146"/>
  <c r="I44" i="146"/>
  <c r="S14" i="146"/>
  <c r="F44" i="146"/>
  <c r="I36" i="146"/>
  <c r="Q31" i="146"/>
  <c r="P30" i="146"/>
  <c r="M8" i="146"/>
  <c r="H36" i="146"/>
  <c r="P31" i="146"/>
  <c r="O30" i="146"/>
  <c r="G36" i="146"/>
  <c r="G36" i="147" s="1"/>
  <c r="N30" i="146"/>
  <c r="N30" i="147" s="1"/>
  <c r="E21" i="146"/>
  <c r="Q14" i="146"/>
  <c r="D7" i="146"/>
  <c r="R14" i="146"/>
  <c r="L8" i="146"/>
  <c r="C15" i="146"/>
  <c r="O31" i="146"/>
  <c r="K8" i="146"/>
  <c r="K8" i="147" s="1"/>
  <c r="U4" i="146"/>
  <c r="V50" i="146"/>
  <c r="C36" i="146"/>
  <c r="C14" i="146"/>
  <c r="F36" i="146"/>
  <c r="F36" i="147" s="1"/>
  <c r="N31" i="146"/>
  <c r="M30" i="146"/>
  <c r="D21" i="146"/>
  <c r="P14" i="146"/>
  <c r="J8" i="146"/>
  <c r="J8" i="147" s="1"/>
  <c r="O4" i="146"/>
  <c r="U50" i="146"/>
  <c r="I8" i="146"/>
  <c r="N4" i="146"/>
  <c r="P50" i="146"/>
  <c r="V44" i="146"/>
  <c r="N14" i="146"/>
  <c r="H8" i="146"/>
  <c r="H8" i="147" s="1"/>
  <c r="G4" i="146"/>
  <c r="M50" i="146"/>
  <c r="U44" i="146"/>
  <c r="K31" i="146"/>
  <c r="J30" i="146"/>
  <c r="T20" i="146"/>
  <c r="M14" i="146"/>
  <c r="M14" i="147" s="1"/>
  <c r="G8" i="146"/>
  <c r="F4" i="146"/>
  <c r="L50" i="146"/>
  <c r="Q37" i="147"/>
  <c r="N16" i="147"/>
  <c r="I32" i="147"/>
  <c r="R16" i="147"/>
  <c r="M16" i="147"/>
  <c r="S37" i="147"/>
  <c r="H33" i="147"/>
  <c r="E30" i="147"/>
  <c r="G32" i="147"/>
  <c r="I33" i="147"/>
  <c r="H32" i="147"/>
  <c r="R37" i="147"/>
  <c r="K16" i="147"/>
  <c r="H6" i="147"/>
  <c r="H31" i="147"/>
  <c r="L16" i="147"/>
  <c r="P37" i="147"/>
  <c r="C35" i="146"/>
  <c r="J20" i="146"/>
  <c r="T4" i="146"/>
  <c r="Q33" i="147"/>
  <c r="G26" i="146"/>
  <c r="P21" i="146"/>
  <c r="I20" i="146"/>
  <c r="I20" i="147" s="1"/>
  <c r="S15" i="146"/>
  <c r="S4" i="146"/>
  <c r="I26" i="146"/>
  <c r="I26" i="147" s="1"/>
  <c r="K20" i="146"/>
  <c r="K20" i="147" s="1"/>
  <c r="N50" i="146"/>
  <c r="O50" i="146"/>
  <c r="Q50" i="146"/>
  <c r="C50" i="146"/>
  <c r="I4" i="146"/>
  <c r="L7" i="146"/>
  <c r="L7" i="147" s="1"/>
  <c r="T15" i="146"/>
  <c r="F21" i="146"/>
  <c r="F21" i="147" s="1"/>
  <c r="R50" i="146"/>
  <c r="J4" i="146"/>
  <c r="J4" i="147" s="1"/>
  <c r="M7" i="146"/>
  <c r="M7" i="147" s="1"/>
  <c r="U15" i="146"/>
  <c r="G21" i="146"/>
  <c r="G21" i="147" s="1"/>
  <c r="S50" i="146"/>
  <c r="T50" i="146"/>
  <c r="L4" i="146"/>
  <c r="O7" i="146"/>
  <c r="I21" i="146"/>
  <c r="I21" i="147" s="1"/>
  <c r="G50" i="146"/>
  <c r="H4" i="146"/>
  <c r="Q7" i="146"/>
  <c r="E15" i="146"/>
  <c r="S21" i="146"/>
  <c r="H50" i="146"/>
  <c r="K4" i="146"/>
  <c r="R7" i="146"/>
  <c r="F15" i="146"/>
  <c r="T21" i="146"/>
  <c r="T21" i="147" s="1"/>
  <c r="C7" i="146"/>
  <c r="I50" i="146"/>
  <c r="M4" i="146"/>
  <c r="S7" i="146"/>
  <c r="S7" i="147" s="1"/>
  <c r="G15" i="146"/>
  <c r="U21" i="146"/>
  <c r="U21" i="147" s="1"/>
  <c r="V15" i="146"/>
  <c r="E36" i="147"/>
  <c r="O21" i="146"/>
  <c r="T31" i="147"/>
  <c r="R4" i="146"/>
  <c r="F50" i="146"/>
  <c r="I37" i="147"/>
  <c r="D6" i="147"/>
  <c r="V51" i="146"/>
  <c r="E20" i="146"/>
  <c r="K26" i="146"/>
  <c r="T35" i="146"/>
  <c r="C51" i="146"/>
  <c r="F20" i="146"/>
  <c r="L26" i="146"/>
  <c r="U35" i="146"/>
  <c r="H20" i="146"/>
  <c r="H20" i="147" s="1"/>
  <c r="N26" i="146"/>
  <c r="P51" i="146"/>
  <c r="O20" i="146"/>
  <c r="D26" i="146"/>
  <c r="D26" i="147" s="1"/>
  <c r="P35" i="146"/>
  <c r="Q20" i="146"/>
  <c r="F26" i="146"/>
  <c r="R35" i="146"/>
  <c r="R35" i="147" s="1"/>
  <c r="Q21" i="146"/>
  <c r="K50" i="146"/>
  <c r="N21" i="146"/>
  <c r="D20" i="146"/>
  <c r="Q15" i="146"/>
  <c r="S31" i="147"/>
  <c r="Q4" i="146"/>
  <c r="G33" i="147"/>
  <c r="G31" i="147"/>
  <c r="C37" i="147"/>
  <c r="V6" i="147"/>
  <c r="V31" i="147"/>
  <c r="G20" i="146"/>
  <c r="G20" i="147" s="1"/>
  <c r="R15" i="146"/>
  <c r="M21" i="146"/>
  <c r="P15" i="146"/>
  <c r="R6" i="147"/>
  <c r="P4" i="146"/>
  <c r="F33" i="147"/>
  <c r="U51" i="146"/>
  <c r="I16" i="147"/>
  <c r="V49" i="146"/>
  <c r="J49" i="146"/>
  <c r="K49" i="146"/>
  <c r="N49" i="146"/>
  <c r="M49" i="146"/>
  <c r="L49" i="146"/>
  <c r="I49" i="146"/>
  <c r="C6" i="147"/>
  <c r="Q32" i="147"/>
  <c r="D33" i="147"/>
  <c r="L169" i="147"/>
  <c r="L23" i="147"/>
  <c r="O31" i="147"/>
  <c r="O6" i="147"/>
  <c r="V37" i="147"/>
  <c r="E37" i="147"/>
  <c r="T32" i="147"/>
  <c r="N31" i="147"/>
  <c r="N6" i="147"/>
  <c r="U37" i="147"/>
  <c r="K31" i="147"/>
  <c r="K6" i="147"/>
  <c r="I31" i="147"/>
  <c r="I6" i="147"/>
  <c r="C31" i="147"/>
  <c r="O32" i="147"/>
  <c r="G37" i="147"/>
  <c r="V32" i="147"/>
  <c r="P31" i="147"/>
  <c r="U32" i="147"/>
  <c r="D37" i="147"/>
  <c r="S32" i="147"/>
  <c r="M31" i="147"/>
  <c r="M6" i="147"/>
  <c r="S33" i="147"/>
  <c r="C32" i="147"/>
  <c r="I4" i="147"/>
  <c r="J31" i="147"/>
  <c r="J6" i="147"/>
  <c r="P32" i="147"/>
  <c r="Q31" i="147"/>
  <c r="C33" i="147"/>
  <c r="F37" i="147"/>
  <c r="L31" i="147"/>
  <c r="L6" i="147"/>
  <c r="R33" i="147"/>
  <c r="M33" i="147"/>
  <c r="L33" i="147"/>
  <c r="K33" i="147"/>
  <c r="K14" i="147"/>
  <c r="L32" i="147"/>
  <c r="E6" i="147"/>
  <c r="N33" i="147"/>
  <c r="F6" i="147"/>
  <c r="K32" i="147"/>
  <c r="J32" i="147"/>
  <c r="N37" i="147"/>
  <c r="J33" i="147"/>
  <c r="G6" i="147"/>
  <c r="M37" i="147"/>
  <c r="T6" i="147"/>
  <c r="L37" i="147"/>
  <c r="U6" i="147"/>
  <c r="S6" i="147"/>
  <c r="K37" i="147"/>
  <c r="J37" i="147"/>
  <c r="C11" i="141"/>
  <c r="O45" i="123"/>
  <c r="L12" i="163" l="1"/>
  <c r="L11" i="163"/>
  <c r="L10" i="163"/>
  <c r="AJ21" i="158"/>
  <c r="AH21" i="158" s="1"/>
  <c r="AE21" i="158"/>
  <c r="AG22" i="158"/>
  <c r="AK21" i="158"/>
  <c r="AE48" i="162"/>
  <c r="AL19" i="129"/>
  <c r="AO18" i="129"/>
  <c r="AM18" i="129" s="1"/>
  <c r="AF84" i="129"/>
  <c r="AF140" i="129"/>
  <c r="AN25" i="129"/>
  <c r="AF83" i="129"/>
  <c r="AF139" i="129" s="1"/>
  <c r="AN24" i="129"/>
  <c r="AF26" i="129"/>
  <c r="AM31" i="162"/>
  <c r="AO24" i="162"/>
  <c r="AK26" i="162"/>
  <c r="AN25" i="162"/>
  <c r="AL25" i="162" s="1"/>
  <c r="AI25" i="162"/>
  <c r="AO25" i="162" s="1"/>
  <c r="C95" i="163" a="1"/>
  <c r="C95" i="163" s="1"/>
  <c r="C100" i="163" a="1"/>
  <c r="C100" i="163" s="1"/>
  <c r="AJ18" i="129"/>
  <c r="AP18" i="129" s="1"/>
  <c r="AO23" i="162"/>
  <c r="L106" i="154"/>
  <c r="K28" i="154" s="1"/>
  <c r="C30" i="154"/>
  <c r="E30" i="154"/>
  <c r="J30" i="154"/>
  <c r="I30" i="154"/>
  <c r="L63" i="154"/>
  <c r="K25" i="154" s="1"/>
  <c r="I43" i="147"/>
  <c r="I95" i="147"/>
  <c r="E51" i="146"/>
  <c r="E26" i="146"/>
  <c r="E26" i="147" s="1"/>
  <c r="J26" i="146"/>
  <c r="P20" i="146"/>
  <c r="P20" i="147" s="1"/>
  <c r="D51" i="146"/>
  <c r="O170" i="147"/>
  <c r="O24" i="147"/>
  <c r="Q26" i="146"/>
  <c r="F35" i="146"/>
  <c r="F35" i="147" s="1"/>
  <c r="L35" i="146"/>
  <c r="L35" i="147" s="1"/>
  <c r="F51" i="146"/>
  <c r="N35" i="146"/>
  <c r="N35" i="147" s="1"/>
  <c r="G51" i="146"/>
  <c r="R26" i="146"/>
  <c r="M35" i="146"/>
  <c r="M35" i="147" s="1"/>
  <c r="S26" i="146"/>
  <c r="I35" i="146"/>
  <c r="I35" i="147" s="1"/>
  <c r="T26" i="146"/>
  <c r="J35" i="146"/>
  <c r="J35" i="147" s="1"/>
  <c r="K35" i="146"/>
  <c r="K35" i="147" s="1"/>
  <c r="H51" i="146"/>
  <c r="I51" i="146"/>
  <c r="M51" i="146"/>
  <c r="N20" i="146"/>
  <c r="N20" i="147" s="1"/>
  <c r="H26" i="146"/>
  <c r="O35" i="146"/>
  <c r="O35" i="147" s="1"/>
  <c r="N51" i="146"/>
  <c r="S51" i="146"/>
  <c r="Q51" i="146"/>
  <c r="J51" i="146"/>
  <c r="P26" i="146"/>
  <c r="P26" i="147" s="1"/>
  <c r="V26" i="146"/>
  <c r="V43" i="147" s="1"/>
  <c r="I45" i="146"/>
  <c r="O2" i="146"/>
  <c r="O2" i="147" s="1"/>
  <c r="R3" i="146"/>
  <c r="R3" i="147" s="1"/>
  <c r="U5" i="146"/>
  <c r="U5" i="147" s="1"/>
  <c r="D9" i="146"/>
  <c r="D9" i="147" s="1"/>
  <c r="F10" i="146"/>
  <c r="F10" i="147" s="1"/>
  <c r="H11" i="146"/>
  <c r="J12" i="146"/>
  <c r="J12" i="147" s="1"/>
  <c r="L13" i="146"/>
  <c r="L13" i="147" s="1"/>
  <c r="D17" i="146"/>
  <c r="D17" i="147" s="1"/>
  <c r="F18" i="146"/>
  <c r="F18" i="147" s="1"/>
  <c r="H19" i="146"/>
  <c r="H19" i="147" s="1"/>
  <c r="T27" i="146"/>
  <c r="T27" i="147" s="1"/>
  <c r="U28" i="146"/>
  <c r="U28" i="147" s="1"/>
  <c r="V29" i="146"/>
  <c r="V29" i="147" s="1"/>
  <c r="V34" i="146"/>
  <c r="V34" i="147" s="1"/>
  <c r="O38" i="146"/>
  <c r="O38" i="147" s="1"/>
  <c r="V42" i="146"/>
  <c r="V42" i="147" s="1"/>
  <c r="C3" i="146"/>
  <c r="C3" i="147" s="1"/>
  <c r="C34" i="146"/>
  <c r="C34" i="147" s="1"/>
  <c r="P38" i="146"/>
  <c r="P38" i="147" s="1"/>
  <c r="D43" i="146"/>
  <c r="C5" i="146"/>
  <c r="C5" i="147" s="1"/>
  <c r="C38" i="146"/>
  <c r="C38" i="147" s="1"/>
  <c r="G43" i="146"/>
  <c r="U2" i="146"/>
  <c r="U2" i="147" s="1"/>
  <c r="I9" i="146"/>
  <c r="I9" i="147" s="1"/>
  <c r="M11" i="146"/>
  <c r="Q13" i="146"/>
  <c r="Q13" i="147" s="1"/>
  <c r="N19" i="146"/>
  <c r="N19" i="147" s="1"/>
  <c r="E27" i="146"/>
  <c r="E27" i="147" s="1"/>
  <c r="G29" i="146"/>
  <c r="G29" i="147" s="1"/>
  <c r="G34" i="146"/>
  <c r="G34" i="147" s="1"/>
  <c r="T38" i="146"/>
  <c r="T38" i="147" s="1"/>
  <c r="H43" i="146"/>
  <c r="C11" i="146"/>
  <c r="V2" i="146"/>
  <c r="V2" i="147" s="1"/>
  <c r="F5" i="146"/>
  <c r="F5" i="147" s="1"/>
  <c r="N11" i="146"/>
  <c r="K17" i="146"/>
  <c r="K17" i="147" s="1"/>
  <c r="U38" i="146"/>
  <c r="U38" i="147" s="1"/>
  <c r="I43" i="146"/>
  <c r="C42" i="146"/>
  <c r="C42" i="147" s="1"/>
  <c r="D3" i="146"/>
  <c r="D3" i="147" s="1"/>
  <c r="G5" i="146"/>
  <c r="G5" i="147" s="1"/>
  <c r="M10" i="146"/>
  <c r="M10" i="147" s="1"/>
  <c r="Q12" i="146"/>
  <c r="Q12" i="147" s="1"/>
  <c r="S13" i="146"/>
  <c r="S13" i="147" s="1"/>
  <c r="N18" i="146"/>
  <c r="N18" i="147" s="1"/>
  <c r="H28" i="146"/>
  <c r="H28" i="147" s="1"/>
  <c r="J43" i="146"/>
  <c r="C43" i="146"/>
  <c r="E3" i="146"/>
  <c r="E3" i="147" s="1"/>
  <c r="I5" i="146"/>
  <c r="I5" i="147" s="1"/>
  <c r="L9" i="146"/>
  <c r="L9" i="147" s="1"/>
  <c r="N10" i="146"/>
  <c r="N10" i="147" s="1"/>
  <c r="T13" i="146"/>
  <c r="T13" i="147" s="1"/>
  <c r="M17" i="146"/>
  <c r="M17" i="147" s="1"/>
  <c r="Q19" i="146"/>
  <c r="Q19" i="147" s="1"/>
  <c r="H27" i="146"/>
  <c r="H27" i="147" s="1"/>
  <c r="J45" i="146"/>
  <c r="P2" i="146"/>
  <c r="P2" i="147" s="1"/>
  <c r="S3" i="146"/>
  <c r="S3" i="147" s="1"/>
  <c r="E9" i="146"/>
  <c r="E9" i="147" s="1"/>
  <c r="G10" i="146"/>
  <c r="G10" i="147" s="1"/>
  <c r="I11" i="146"/>
  <c r="K12" i="146"/>
  <c r="K12" i="147" s="1"/>
  <c r="M13" i="146"/>
  <c r="M13" i="147" s="1"/>
  <c r="E17" i="146"/>
  <c r="E17" i="147" s="1"/>
  <c r="G18" i="146"/>
  <c r="G18" i="147" s="1"/>
  <c r="I19" i="146"/>
  <c r="I19" i="147" s="1"/>
  <c r="U27" i="146"/>
  <c r="U27" i="147" s="1"/>
  <c r="V28" i="146"/>
  <c r="V28" i="147" s="1"/>
  <c r="S38" i="146"/>
  <c r="S38" i="147" s="1"/>
  <c r="N45" i="146"/>
  <c r="L18" i="146"/>
  <c r="L18" i="147" s="1"/>
  <c r="F28" i="146"/>
  <c r="F28" i="147" s="1"/>
  <c r="P45" i="146"/>
  <c r="J9" i="146"/>
  <c r="J9" i="147" s="1"/>
  <c r="M18" i="146"/>
  <c r="M18" i="147" s="1"/>
  <c r="G28" i="146"/>
  <c r="G28" i="147" s="1"/>
  <c r="C12" i="146"/>
  <c r="C12" i="147" s="1"/>
  <c r="O11" i="146"/>
  <c r="I42" i="146"/>
  <c r="I42" i="147" s="1"/>
  <c r="P11" i="146"/>
  <c r="K45" i="146"/>
  <c r="Q2" i="146"/>
  <c r="Q2" i="147" s="1"/>
  <c r="U3" i="146"/>
  <c r="U3" i="147" s="1"/>
  <c r="F9" i="146"/>
  <c r="F9" i="147" s="1"/>
  <c r="H10" i="146"/>
  <c r="H10" i="147" s="1"/>
  <c r="J11" i="146"/>
  <c r="L12" i="146"/>
  <c r="L12" i="147" s="1"/>
  <c r="N13" i="146"/>
  <c r="N13" i="147" s="1"/>
  <c r="F17" i="146"/>
  <c r="F17" i="147" s="1"/>
  <c r="H18" i="146"/>
  <c r="H18" i="147" s="1"/>
  <c r="J19" i="146"/>
  <c r="J19" i="147" s="1"/>
  <c r="V27" i="146"/>
  <c r="V27" i="147" s="1"/>
  <c r="D29" i="146"/>
  <c r="D29" i="147" s="1"/>
  <c r="D34" i="146"/>
  <c r="D34" i="147" s="1"/>
  <c r="Q38" i="146"/>
  <c r="Q38" i="147" s="1"/>
  <c r="D42" i="146"/>
  <c r="D42" i="147" s="1"/>
  <c r="E43" i="146"/>
  <c r="F42" i="146"/>
  <c r="F42" i="147" s="1"/>
  <c r="E5" i="146"/>
  <c r="E5" i="147" s="1"/>
  <c r="O12" i="146"/>
  <c r="O12" i="147" s="1"/>
  <c r="I2" i="146"/>
  <c r="I2" i="147" s="1"/>
  <c r="L10" i="146"/>
  <c r="L10" i="147" s="1"/>
  <c r="O19" i="146"/>
  <c r="O19" i="147" s="1"/>
  <c r="H29" i="146"/>
  <c r="H29" i="147" s="1"/>
  <c r="Q45" i="146"/>
  <c r="K9" i="146"/>
  <c r="K9" i="147" s="1"/>
  <c r="L17" i="146"/>
  <c r="L17" i="147" s="1"/>
  <c r="G27" i="146"/>
  <c r="G27" i="147" s="1"/>
  <c r="I34" i="146"/>
  <c r="I34" i="147" s="1"/>
  <c r="L45" i="146"/>
  <c r="S2" i="146"/>
  <c r="S2" i="147" s="1"/>
  <c r="V3" i="146"/>
  <c r="V3" i="147" s="1"/>
  <c r="G9" i="146"/>
  <c r="G9" i="147" s="1"/>
  <c r="I10" i="146"/>
  <c r="I10" i="147" s="1"/>
  <c r="K11" i="146"/>
  <c r="M12" i="146"/>
  <c r="M12" i="147" s="1"/>
  <c r="O13" i="146"/>
  <c r="O13" i="147" s="1"/>
  <c r="G17" i="146"/>
  <c r="G17" i="147" s="1"/>
  <c r="I18" i="146"/>
  <c r="I18" i="147" s="1"/>
  <c r="K19" i="146"/>
  <c r="K19" i="147" s="1"/>
  <c r="D28" i="146"/>
  <c r="D28" i="147" s="1"/>
  <c r="E29" i="146"/>
  <c r="E29" i="147" s="1"/>
  <c r="E34" i="146"/>
  <c r="E34" i="147" s="1"/>
  <c r="R38" i="146"/>
  <c r="R38" i="147" s="1"/>
  <c r="E42" i="146"/>
  <c r="E42" i="147" s="1"/>
  <c r="F43" i="146"/>
  <c r="C9" i="146"/>
  <c r="C9" i="147" s="1"/>
  <c r="R13" i="146"/>
  <c r="R13" i="147" s="1"/>
  <c r="F27" i="146"/>
  <c r="F27" i="147" s="1"/>
  <c r="R45" i="146"/>
  <c r="O18" i="146"/>
  <c r="O18" i="147" s="1"/>
  <c r="M45" i="146"/>
  <c r="T2" i="146"/>
  <c r="T2" i="147" s="1"/>
  <c r="D5" i="146"/>
  <c r="D5" i="147" s="1"/>
  <c r="H9" i="146"/>
  <c r="H9" i="147" s="1"/>
  <c r="J10" i="146"/>
  <c r="J10" i="147" s="1"/>
  <c r="L11" i="146"/>
  <c r="N12" i="146"/>
  <c r="N12" i="147" s="1"/>
  <c r="P13" i="146"/>
  <c r="P13" i="147" s="1"/>
  <c r="H17" i="146"/>
  <c r="H17" i="147" s="1"/>
  <c r="J18" i="146"/>
  <c r="J18" i="147" s="1"/>
  <c r="M19" i="146"/>
  <c r="M19" i="147" s="1"/>
  <c r="D27" i="146"/>
  <c r="D27" i="147" s="1"/>
  <c r="E28" i="146"/>
  <c r="E28" i="147" s="1"/>
  <c r="F29" i="146"/>
  <c r="F29" i="147" s="1"/>
  <c r="F34" i="146"/>
  <c r="F34" i="147" s="1"/>
  <c r="C10" i="146"/>
  <c r="C10" i="147" s="1"/>
  <c r="K10" i="146"/>
  <c r="K10" i="147" s="1"/>
  <c r="I17" i="146"/>
  <c r="I17" i="147" s="1"/>
  <c r="G42" i="146"/>
  <c r="G42" i="147" s="1"/>
  <c r="P12" i="146"/>
  <c r="P12" i="147" s="1"/>
  <c r="H34" i="146"/>
  <c r="H34" i="147" s="1"/>
  <c r="H42" i="146"/>
  <c r="H42" i="147" s="1"/>
  <c r="P19" i="146"/>
  <c r="P19" i="147" s="1"/>
  <c r="I29" i="146"/>
  <c r="I29" i="147" s="1"/>
  <c r="V38" i="146"/>
  <c r="V38" i="147" s="1"/>
  <c r="C13" i="146"/>
  <c r="C13" i="147" s="1"/>
  <c r="R12" i="146"/>
  <c r="R12" i="147" s="1"/>
  <c r="U45" i="146"/>
  <c r="F3" i="146"/>
  <c r="F3" i="147" s="1"/>
  <c r="S5" i="146"/>
  <c r="S5" i="147" s="1"/>
  <c r="E11" i="146"/>
  <c r="G13" i="146"/>
  <c r="G13" i="147" s="1"/>
  <c r="R17" i="146"/>
  <c r="R17" i="147" s="1"/>
  <c r="T19" i="146"/>
  <c r="T19" i="147" s="1"/>
  <c r="P28" i="146"/>
  <c r="P28" i="147" s="1"/>
  <c r="O34" i="146"/>
  <c r="O34" i="147" s="1"/>
  <c r="O42" i="146"/>
  <c r="O42" i="147" s="1"/>
  <c r="C17" i="146"/>
  <c r="C17" i="147" s="1"/>
  <c r="U13" i="146"/>
  <c r="U13" i="147" s="1"/>
  <c r="L27" i="146"/>
  <c r="L27" i="147" s="1"/>
  <c r="T34" i="146"/>
  <c r="T34" i="147" s="1"/>
  <c r="R18" i="146"/>
  <c r="R18" i="147" s="1"/>
  <c r="M43" i="146"/>
  <c r="D2" i="146"/>
  <c r="D2" i="147" s="1"/>
  <c r="S18" i="146"/>
  <c r="S18" i="147" s="1"/>
  <c r="E2" i="146"/>
  <c r="E2" i="147" s="1"/>
  <c r="V45" i="146"/>
  <c r="G3" i="146"/>
  <c r="G3" i="147" s="1"/>
  <c r="T5" i="146"/>
  <c r="T5" i="147" s="1"/>
  <c r="M9" i="146"/>
  <c r="M9" i="147" s="1"/>
  <c r="F11" i="146"/>
  <c r="H13" i="146"/>
  <c r="H13" i="147" s="1"/>
  <c r="S17" i="146"/>
  <c r="S17" i="147" s="1"/>
  <c r="U19" i="146"/>
  <c r="U19" i="147" s="1"/>
  <c r="Q28" i="146"/>
  <c r="Q28" i="147" s="1"/>
  <c r="P34" i="146"/>
  <c r="P34" i="147" s="1"/>
  <c r="P42" i="146"/>
  <c r="P42" i="147" s="1"/>
  <c r="C18" i="146"/>
  <c r="C18" i="147" s="1"/>
  <c r="K3" i="146"/>
  <c r="K3" i="147" s="1"/>
  <c r="V17" i="146"/>
  <c r="V17" i="147" s="1"/>
  <c r="K27" i="146"/>
  <c r="K27" i="147" s="1"/>
  <c r="Q9" i="146"/>
  <c r="Q9" i="147" s="1"/>
  <c r="T42" i="146"/>
  <c r="T42" i="147" s="1"/>
  <c r="C28" i="146"/>
  <c r="C28" i="147" s="1"/>
  <c r="P27" i="146"/>
  <c r="P27" i="147" s="1"/>
  <c r="G12" i="146"/>
  <c r="G12" i="147" s="1"/>
  <c r="R27" i="146"/>
  <c r="R27" i="147" s="1"/>
  <c r="R29" i="146"/>
  <c r="R29" i="147" s="1"/>
  <c r="S12" i="146"/>
  <c r="S12" i="147" s="1"/>
  <c r="F45" i="146"/>
  <c r="N5" i="146"/>
  <c r="N5" i="147" s="1"/>
  <c r="T12" i="146"/>
  <c r="T12" i="147" s="1"/>
  <c r="K28" i="146"/>
  <c r="K28" i="147" s="1"/>
  <c r="H3" i="146"/>
  <c r="H3" i="147" s="1"/>
  <c r="N9" i="146"/>
  <c r="N9" i="147" s="1"/>
  <c r="G11" i="146"/>
  <c r="I13" i="146"/>
  <c r="I13" i="147" s="1"/>
  <c r="T17" i="146"/>
  <c r="T17" i="147" s="1"/>
  <c r="V19" i="146"/>
  <c r="V19" i="147" s="1"/>
  <c r="I27" i="146"/>
  <c r="I27" i="147" s="1"/>
  <c r="R28" i="146"/>
  <c r="R28" i="147" s="1"/>
  <c r="Q34" i="146"/>
  <c r="Q34" i="147" s="1"/>
  <c r="Q42" i="146"/>
  <c r="Q42" i="147" s="1"/>
  <c r="C19" i="146"/>
  <c r="C19" i="147" s="1"/>
  <c r="R11" i="146"/>
  <c r="T28" i="146"/>
  <c r="T28" i="147" s="1"/>
  <c r="S34" i="146"/>
  <c r="S34" i="147" s="1"/>
  <c r="S42" i="146"/>
  <c r="S42" i="147" s="1"/>
  <c r="S11" i="146"/>
  <c r="D10" i="146"/>
  <c r="D10" i="147" s="1"/>
  <c r="F38" i="146"/>
  <c r="F38" i="147" s="1"/>
  <c r="E10" i="146"/>
  <c r="E10" i="147" s="1"/>
  <c r="V18" i="146"/>
  <c r="V18" i="147" s="1"/>
  <c r="I38" i="146"/>
  <c r="I38" i="147" s="1"/>
  <c r="C2" i="146"/>
  <c r="C2" i="147" s="1"/>
  <c r="Q10" i="146"/>
  <c r="Q10" i="147" s="1"/>
  <c r="D19" i="146"/>
  <c r="D19" i="147" s="1"/>
  <c r="S29" i="146"/>
  <c r="S29" i="147" s="1"/>
  <c r="J2" i="146"/>
  <c r="J2" i="147" s="1"/>
  <c r="R10" i="146"/>
  <c r="R10" i="147" s="1"/>
  <c r="E19" i="146"/>
  <c r="E19" i="147" s="1"/>
  <c r="J34" i="146"/>
  <c r="J34" i="147" s="1"/>
  <c r="I3" i="146"/>
  <c r="I3" i="147" s="1"/>
  <c r="O9" i="146"/>
  <c r="O9" i="147" s="1"/>
  <c r="Q11" i="146"/>
  <c r="J13" i="146"/>
  <c r="J13" i="147" s="1"/>
  <c r="U17" i="146"/>
  <c r="U17" i="147" s="1"/>
  <c r="J27" i="146"/>
  <c r="J27" i="147" s="1"/>
  <c r="S28" i="146"/>
  <c r="S28" i="147" s="1"/>
  <c r="R34" i="146"/>
  <c r="R34" i="147" s="1"/>
  <c r="R42" i="146"/>
  <c r="R42" i="147" s="1"/>
  <c r="P9" i="146"/>
  <c r="P9" i="147" s="1"/>
  <c r="K13" i="146"/>
  <c r="K13" i="147" s="1"/>
  <c r="L3" i="146"/>
  <c r="L3" i="147" s="1"/>
  <c r="D18" i="146"/>
  <c r="D18" i="147" s="1"/>
  <c r="J29" i="146"/>
  <c r="J29" i="147" s="1"/>
  <c r="L43" i="146"/>
  <c r="E38" i="146"/>
  <c r="E38" i="147" s="1"/>
  <c r="K5" i="146"/>
  <c r="K5" i="147" s="1"/>
  <c r="U18" i="146"/>
  <c r="U18" i="147" s="1"/>
  <c r="Q29" i="146"/>
  <c r="Q29" i="147" s="1"/>
  <c r="H38" i="146"/>
  <c r="H38" i="147" s="1"/>
  <c r="P43" i="146"/>
  <c r="Q43" i="146"/>
  <c r="M5" i="146"/>
  <c r="M5" i="147" s="1"/>
  <c r="M3" i="146"/>
  <c r="M3" i="147" s="1"/>
  <c r="R9" i="146"/>
  <c r="R9" i="147" s="1"/>
  <c r="T11" i="146"/>
  <c r="V13" i="146"/>
  <c r="V13" i="147" s="1"/>
  <c r="E18" i="146"/>
  <c r="E18" i="147" s="1"/>
  <c r="M27" i="146"/>
  <c r="M27" i="147" s="1"/>
  <c r="K29" i="146"/>
  <c r="K29" i="147" s="1"/>
  <c r="U34" i="146"/>
  <c r="U34" i="147" s="1"/>
  <c r="U42" i="146"/>
  <c r="U42" i="147" s="1"/>
  <c r="N3" i="146"/>
  <c r="N3" i="147" s="1"/>
  <c r="S9" i="146"/>
  <c r="S9" i="147" s="1"/>
  <c r="U11" i="146"/>
  <c r="P18" i="146"/>
  <c r="P18" i="147" s="1"/>
  <c r="N27" i="146"/>
  <c r="N27" i="147" s="1"/>
  <c r="L29" i="146"/>
  <c r="L29" i="147" s="1"/>
  <c r="K43" i="146"/>
  <c r="C27" i="146"/>
  <c r="C27" i="147" s="1"/>
  <c r="O3" i="146"/>
  <c r="O3" i="147" s="1"/>
  <c r="U9" i="146"/>
  <c r="U9" i="147" s="1"/>
  <c r="D12" i="146"/>
  <c r="D12" i="147" s="1"/>
  <c r="Q18" i="146"/>
  <c r="Q18" i="147" s="1"/>
  <c r="O27" i="146"/>
  <c r="O27" i="147" s="1"/>
  <c r="M29" i="146"/>
  <c r="M29" i="147" s="1"/>
  <c r="D38" i="146"/>
  <c r="D38" i="147" s="1"/>
  <c r="P3" i="146"/>
  <c r="P3" i="147" s="1"/>
  <c r="V9" i="146"/>
  <c r="V9" i="147" s="1"/>
  <c r="E12" i="146"/>
  <c r="E12" i="147" s="1"/>
  <c r="N29" i="146"/>
  <c r="N29" i="147" s="1"/>
  <c r="C29" i="146"/>
  <c r="C29" i="147" s="1"/>
  <c r="Q3" i="146"/>
  <c r="Q3" i="147" s="1"/>
  <c r="F12" i="146"/>
  <c r="F12" i="147" s="1"/>
  <c r="Q27" i="146"/>
  <c r="Q27" i="147" s="1"/>
  <c r="O29" i="146"/>
  <c r="O29" i="147" s="1"/>
  <c r="N43" i="146"/>
  <c r="J5" i="146"/>
  <c r="J5" i="147" s="1"/>
  <c r="T18" i="146"/>
  <c r="T18" i="147" s="1"/>
  <c r="P29" i="146"/>
  <c r="P29" i="147" s="1"/>
  <c r="G38" i="146"/>
  <c r="G38" i="147" s="1"/>
  <c r="O43" i="146"/>
  <c r="F2" i="146"/>
  <c r="F2" i="147" s="1"/>
  <c r="O10" i="146"/>
  <c r="O10" i="147" s="1"/>
  <c r="H12" i="146"/>
  <c r="H12" i="147" s="1"/>
  <c r="S27" i="146"/>
  <c r="S27" i="147" s="1"/>
  <c r="D45" i="146"/>
  <c r="G2" i="146"/>
  <c r="G2" i="147" s="1"/>
  <c r="L5" i="146"/>
  <c r="L5" i="147" s="1"/>
  <c r="P10" i="146"/>
  <c r="P10" i="147" s="1"/>
  <c r="I12" i="146"/>
  <c r="I12" i="147" s="1"/>
  <c r="I28" i="146"/>
  <c r="I28" i="147" s="1"/>
  <c r="E45" i="146"/>
  <c r="H2" i="146"/>
  <c r="H2" i="147" s="1"/>
  <c r="J28" i="146"/>
  <c r="J28" i="147" s="1"/>
  <c r="J38" i="146"/>
  <c r="J38" i="147" s="1"/>
  <c r="R43" i="146"/>
  <c r="T29" i="146"/>
  <c r="T29" i="147" s="1"/>
  <c r="K38" i="146"/>
  <c r="K38" i="147" s="1"/>
  <c r="V10" i="146"/>
  <c r="V10" i="147" s="1"/>
  <c r="R19" i="146"/>
  <c r="R19" i="147" s="1"/>
  <c r="V12" i="146"/>
  <c r="V12" i="147" s="1"/>
  <c r="N28" i="146"/>
  <c r="N28" i="147" s="1"/>
  <c r="D11" i="146"/>
  <c r="S19" i="146"/>
  <c r="S19" i="147" s="1"/>
  <c r="F13" i="146"/>
  <c r="F13" i="147" s="1"/>
  <c r="G45" i="146"/>
  <c r="O17" i="146"/>
  <c r="O17" i="147" s="1"/>
  <c r="N38" i="146"/>
  <c r="N38" i="147" s="1"/>
  <c r="U12" i="146"/>
  <c r="U12" i="147" s="1"/>
  <c r="E13" i="146"/>
  <c r="E13" i="147" s="1"/>
  <c r="K34" i="146"/>
  <c r="K34" i="147" s="1"/>
  <c r="U29" i="146"/>
  <c r="U29" i="147" s="1"/>
  <c r="V43" i="146"/>
  <c r="Q5" i="146"/>
  <c r="Q5" i="147" s="1"/>
  <c r="R5" i="146"/>
  <c r="R5" i="147" s="1"/>
  <c r="M38" i="146"/>
  <c r="M38" i="147" s="1"/>
  <c r="T10" i="146"/>
  <c r="T10" i="147" s="1"/>
  <c r="J42" i="146"/>
  <c r="J42" i="147" s="1"/>
  <c r="K42" i="146"/>
  <c r="K42" i="147" s="1"/>
  <c r="L42" i="146"/>
  <c r="L42" i="147" s="1"/>
  <c r="M42" i="146"/>
  <c r="M42" i="147" s="1"/>
  <c r="L28" i="146"/>
  <c r="L28" i="147" s="1"/>
  <c r="N42" i="146"/>
  <c r="N42" i="147" s="1"/>
  <c r="K2" i="146"/>
  <c r="K2" i="147" s="1"/>
  <c r="M28" i="146"/>
  <c r="M28" i="147" s="1"/>
  <c r="S43" i="146"/>
  <c r="L2" i="146"/>
  <c r="L2" i="147" s="1"/>
  <c r="T43" i="146"/>
  <c r="M2" i="146"/>
  <c r="M2" i="147" s="1"/>
  <c r="O28" i="146"/>
  <c r="O28" i="147" s="1"/>
  <c r="U43" i="146"/>
  <c r="H45" i="146"/>
  <c r="N2" i="146"/>
  <c r="N2" i="147" s="1"/>
  <c r="N17" i="146"/>
  <c r="N17" i="147" s="1"/>
  <c r="L34" i="146"/>
  <c r="L34" i="147" s="1"/>
  <c r="S45" i="146"/>
  <c r="O5" i="146"/>
  <c r="O5" i="147" s="1"/>
  <c r="M34" i="146"/>
  <c r="M34" i="147" s="1"/>
  <c r="T45" i="146"/>
  <c r="P5" i="146"/>
  <c r="P5" i="147" s="1"/>
  <c r="P17" i="146"/>
  <c r="P17" i="147" s="1"/>
  <c r="N34" i="146"/>
  <c r="N34" i="147" s="1"/>
  <c r="Q17" i="146"/>
  <c r="Q17" i="147" s="1"/>
  <c r="L38" i="146"/>
  <c r="L38" i="147" s="1"/>
  <c r="S10" i="146"/>
  <c r="S10" i="147" s="1"/>
  <c r="F19" i="146"/>
  <c r="F19" i="147" s="1"/>
  <c r="C45" i="146"/>
  <c r="G19" i="146"/>
  <c r="G19" i="147" s="1"/>
  <c r="T51" i="146"/>
  <c r="R51" i="146"/>
  <c r="S35" i="146"/>
  <c r="Q35" i="146"/>
  <c r="Q46" i="146"/>
  <c r="J22" i="146"/>
  <c r="N23" i="146"/>
  <c r="S24" i="146"/>
  <c r="P39" i="146"/>
  <c r="P39" i="147" s="1"/>
  <c r="S40" i="146"/>
  <c r="S40" i="147" s="1"/>
  <c r="U41" i="146"/>
  <c r="U41" i="147" s="1"/>
  <c r="T40" i="146"/>
  <c r="T40" i="147" s="1"/>
  <c r="V41" i="146"/>
  <c r="V41" i="147" s="1"/>
  <c r="U39" i="146"/>
  <c r="U39" i="147" s="1"/>
  <c r="O22" i="146"/>
  <c r="V39" i="146"/>
  <c r="V39" i="147" s="1"/>
  <c r="Q22" i="146"/>
  <c r="V23" i="146"/>
  <c r="F41" i="146"/>
  <c r="F41" i="147" s="1"/>
  <c r="H25" i="146"/>
  <c r="E40" i="146"/>
  <c r="E40" i="147" s="1"/>
  <c r="I25" i="146"/>
  <c r="R46" i="146"/>
  <c r="K22" i="146"/>
  <c r="O23" i="146"/>
  <c r="U24" i="146"/>
  <c r="R39" i="146"/>
  <c r="R39" i="147" s="1"/>
  <c r="C40" i="146"/>
  <c r="C40" i="147" s="1"/>
  <c r="C41" i="146"/>
  <c r="C41" i="147" s="1"/>
  <c r="S22" i="146"/>
  <c r="T22" i="146"/>
  <c r="S46" i="146"/>
  <c r="L22" i="146"/>
  <c r="P23" i="146"/>
  <c r="V24" i="146"/>
  <c r="S39" i="146"/>
  <c r="S39" i="147" s="1"/>
  <c r="U40" i="146"/>
  <c r="U40" i="147" s="1"/>
  <c r="U23" i="146"/>
  <c r="E41" i="146"/>
  <c r="E41" i="147" s="1"/>
  <c r="D40" i="146"/>
  <c r="D40" i="147" s="1"/>
  <c r="G41" i="146"/>
  <c r="G41" i="147" s="1"/>
  <c r="T46" i="146"/>
  <c r="M22" i="146"/>
  <c r="R23" i="146"/>
  <c r="D25" i="146"/>
  <c r="T39" i="146"/>
  <c r="T39" i="147" s="1"/>
  <c r="V40" i="146"/>
  <c r="V40" i="147" s="1"/>
  <c r="C39" i="146"/>
  <c r="C39" i="147" s="1"/>
  <c r="D24" i="146"/>
  <c r="U46" i="146"/>
  <c r="N22" i="146"/>
  <c r="T23" i="146"/>
  <c r="E25" i="146"/>
  <c r="D41" i="146"/>
  <c r="D41" i="147" s="1"/>
  <c r="F25" i="146"/>
  <c r="G25" i="146"/>
  <c r="M46" i="146"/>
  <c r="E24" i="146"/>
  <c r="F24" i="146"/>
  <c r="T25" i="146"/>
  <c r="E39" i="146"/>
  <c r="E39" i="147" s="1"/>
  <c r="O40" i="146"/>
  <c r="O40" i="147" s="1"/>
  <c r="I39" i="146"/>
  <c r="I39" i="147" s="1"/>
  <c r="J46" i="146"/>
  <c r="J41" i="146"/>
  <c r="J41" i="147" s="1"/>
  <c r="G24" i="146"/>
  <c r="V25" i="146"/>
  <c r="F39" i="146"/>
  <c r="F39" i="147" s="1"/>
  <c r="P40" i="146"/>
  <c r="P40" i="147" s="1"/>
  <c r="C23" i="146"/>
  <c r="E22" i="146"/>
  <c r="O39" i="146"/>
  <c r="O39" i="147" s="1"/>
  <c r="K25" i="146"/>
  <c r="R41" i="146"/>
  <c r="R41" i="147" s="1"/>
  <c r="G23" i="146"/>
  <c r="D46" i="146"/>
  <c r="H23" i="146"/>
  <c r="F46" i="146"/>
  <c r="H24" i="146"/>
  <c r="G39" i="146"/>
  <c r="G39" i="147" s="1"/>
  <c r="Q40" i="146"/>
  <c r="Q40" i="147" s="1"/>
  <c r="I46" i="146"/>
  <c r="D22" i="146"/>
  <c r="K24" i="146"/>
  <c r="N39" i="146"/>
  <c r="N39" i="147" s="1"/>
  <c r="Q24" i="146"/>
  <c r="J25" i="146"/>
  <c r="T41" i="146"/>
  <c r="T41" i="147" s="1"/>
  <c r="N25" i="146"/>
  <c r="G46" i="146"/>
  <c r="I24" i="146"/>
  <c r="H39" i="146"/>
  <c r="H39" i="147" s="1"/>
  <c r="H41" i="146"/>
  <c r="H41" i="147" s="1"/>
  <c r="C22" i="146"/>
  <c r="J24" i="146"/>
  <c r="I41" i="146"/>
  <c r="I41" i="147" s="1"/>
  <c r="J39" i="146"/>
  <c r="J39" i="147" s="1"/>
  <c r="C24" i="146"/>
  <c r="M39" i="146"/>
  <c r="M39" i="147" s="1"/>
  <c r="U22" i="146"/>
  <c r="P41" i="146"/>
  <c r="P41" i="147" s="1"/>
  <c r="L25" i="146"/>
  <c r="H40" i="146"/>
  <c r="H40" i="147" s="1"/>
  <c r="M25" i="146"/>
  <c r="I40" i="146"/>
  <c r="I40" i="147" s="1"/>
  <c r="K46" i="146"/>
  <c r="F22" i="146"/>
  <c r="L24" i="146"/>
  <c r="K39" i="146"/>
  <c r="K39" i="147" s="1"/>
  <c r="K41" i="146"/>
  <c r="K41" i="147" s="1"/>
  <c r="C25" i="146"/>
  <c r="L46" i="146"/>
  <c r="G22" i="146"/>
  <c r="M24" i="146"/>
  <c r="L39" i="146"/>
  <c r="L39" i="147" s="1"/>
  <c r="L41" i="146"/>
  <c r="L41" i="147" s="1"/>
  <c r="P46" i="146"/>
  <c r="H22" i="146"/>
  <c r="N24" i="146"/>
  <c r="M41" i="146"/>
  <c r="M41" i="147" s="1"/>
  <c r="P24" i="146"/>
  <c r="N41" i="146"/>
  <c r="N41" i="147" s="1"/>
  <c r="V22" i="146"/>
  <c r="O41" i="146"/>
  <c r="O41" i="147" s="1"/>
  <c r="D23" i="146"/>
  <c r="F40" i="146"/>
  <c r="F40" i="147" s="1"/>
  <c r="E23" i="146"/>
  <c r="G40" i="146"/>
  <c r="G40" i="147" s="1"/>
  <c r="Q41" i="146"/>
  <c r="Q41" i="147" s="1"/>
  <c r="F23" i="146"/>
  <c r="C46" i="146"/>
  <c r="D39" i="146"/>
  <c r="D39" i="147" s="1"/>
  <c r="K23" i="146"/>
  <c r="J40" i="146"/>
  <c r="J40" i="147" s="1"/>
  <c r="L40" i="146"/>
  <c r="L40" i="147" s="1"/>
  <c r="N40" i="146"/>
  <c r="N40" i="147" s="1"/>
  <c r="I23" i="146"/>
  <c r="K40" i="146"/>
  <c r="K40" i="147" s="1"/>
  <c r="J23" i="146"/>
  <c r="M40" i="146"/>
  <c r="M40" i="147" s="1"/>
  <c r="M23" i="146"/>
  <c r="O25" i="146"/>
  <c r="P25" i="146"/>
  <c r="Q25" i="146"/>
  <c r="R25" i="146"/>
  <c r="E46" i="146"/>
  <c r="U26" i="146"/>
  <c r="U26" i="147" s="1"/>
  <c r="V35" i="146"/>
  <c r="V35" i="147" s="1"/>
  <c r="C26" i="146"/>
  <c r="U20" i="146"/>
  <c r="U20" i="147" s="1"/>
  <c r="S96" i="147"/>
  <c r="M4" i="147"/>
  <c r="P7" i="147"/>
  <c r="V15" i="147"/>
  <c r="C21" i="147"/>
  <c r="S23" i="147"/>
  <c r="S16" i="147"/>
  <c r="T14" i="147"/>
  <c r="V11" i="147"/>
  <c r="V16" i="147"/>
  <c r="I168" i="147"/>
  <c r="D36" i="147"/>
  <c r="U4" i="147"/>
  <c r="U10" i="147"/>
  <c r="D7" i="147"/>
  <c r="J21" i="147"/>
  <c r="D13" i="147"/>
  <c r="L14" i="147"/>
  <c r="E7" i="147"/>
  <c r="E4" i="147"/>
  <c r="O16" i="147"/>
  <c r="V4" i="147"/>
  <c r="L20" i="147"/>
  <c r="Q39" i="147"/>
  <c r="E14" i="147"/>
  <c r="J3" i="147"/>
  <c r="Q23" i="147"/>
  <c r="Q36" i="147"/>
  <c r="R20" i="147"/>
  <c r="V20" i="147"/>
  <c r="D14" i="147"/>
  <c r="S171" i="147"/>
  <c r="U171" i="147"/>
  <c r="R22" i="147"/>
  <c r="G4" i="147"/>
  <c r="M30" i="147"/>
  <c r="O14" i="147"/>
  <c r="C14" i="147"/>
  <c r="N14" i="147"/>
  <c r="I14" i="147"/>
  <c r="F8" i="147"/>
  <c r="M36" i="147"/>
  <c r="C8" i="147"/>
  <c r="F14" i="147"/>
  <c r="U25" i="147"/>
  <c r="C30" i="147"/>
  <c r="S41" i="147"/>
  <c r="U16" i="147"/>
  <c r="R95" i="147"/>
  <c r="V7" i="147"/>
  <c r="T36" i="147"/>
  <c r="T30" i="147"/>
  <c r="P16" i="147"/>
  <c r="O30" i="147"/>
  <c r="D8" i="147"/>
  <c r="J43" i="147"/>
  <c r="J26" i="147"/>
  <c r="F4" i="147"/>
  <c r="I8" i="147"/>
  <c r="K4" i="147"/>
  <c r="H14" i="147"/>
  <c r="E8" i="147"/>
  <c r="R24" i="147"/>
  <c r="P95" i="147"/>
  <c r="R97" i="147"/>
  <c r="P14" i="147"/>
  <c r="R36" i="147"/>
  <c r="P22" i="147"/>
  <c r="T35" i="147"/>
  <c r="L8" i="147"/>
  <c r="Q14" i="147"/>
  <c r="Q7" i="147"/>
  <c r="T24" i="147"/>
  <c r="T97" i="147"/>
  <c r="I7" i="147"/>
  <c r="D16" i="147"/>
  <c r="S25" i="147"/>
  <c r="S20" i="147"/>
  <c r="J7" i="147"/>
  <c r="R14" i="147"/>
  <c r="M43" i="147"/>
  <c r="T8" i="147"/>
  <c r="T20" i="147"/>
  <c r="F26" i="147"/>
  <c r="O4" i="147"/>
  <c r="M26" i="147"/>
  <c r="E16" i="147"/>
  <c r="D21" i="147"/>
  <c r="C43" i="147"/>
  <c r="T170" i="147"/>
  <c r="G8" i="147"/>
  <c r="Q96" i="147"/>
  <c r="C26" i="147"/>
  <c r="G14" i="147"/>
  <c r="C20" i="147"/>
  <c r="H36" i="147"/>
  <c r="D20" i="147"/>
  <c r="S14" i="147"/>
  <c r="E21" i="147"/>
  <c r="N43" i="147"/>
  <c r="N4" i="147"/>
  <c r="M8" i="147"/>
  <c r="N26" i="147"/>
  <c r="J30" i="147"/>
  <c r="I36" i="147"/>
  <c r="O43" i="147"/>
  <c r="P30" i="147"/>
  <c r="U30" i="147"/>
  <c r="N36" i="147"/>
  <c r="C36" i="147"/>
  <c r="M21" i="147"/>
  <c r="F20" i="147"/>
  <c r="L4" i="147"/>
  <c r="N21" i="147"/>
  <c r="S4" i="147"/>
  <c r="U35" i="147"/>
  <c r="S35" i="147"/>
  <c r="T4" i="147"/>
  <c r="Q20" i="147"/>
  <c r="O21" i="147"/>
  <c r="H4" i="147"/>
  <c r="F43" i="147"/>
  <c r="P4" i="147"/>
  <c r="C7" i="147"/>
  <c r="R7" i="147"/>
  <c r="K43" i="147"/>
  <c r="Q21" i="147"/>
  <c r="D43" i="147"/>
  <c r="L43" i="147"/>
  <c r="Q4" i="147"/>
  <c r="P35" i="147"/>
  <c r="L26" i="147"/>
  <c r="J20" i="147"/>
  <c r="R4" i="147"/>
  <c r="P21" i="147"/>
  <c r="O7" i="147"/>
  <c r="G43" i="147"/>
  <c r="C35" i="147"/>
  <c r="E43" i="147"/>
  <c r="E20" i="147"/>
  <c r="Q35" i="147"/>
  <c r="K26" i="147"/>
  <c r="O20" i="147"/>
  <c r="S21" i="147"/>
  <c r="G26" i="147"/>
  <c r="AJ22" i="158" l="1"/>
  <c r="AH22" i="158" s="1"/>
  <c r="AE22" i="158"/>
  <c r="AG23" i="158"/>
  <c r="AK22" i="158"/>
  <c r="AE49" i="162"/>
  <c r="AF85" i="129"/>
  <c r="AF141" i="129"/>
  <c r="AN26" i="129"/>
  <c r="AL20" i="129"/>
  <c r="AO19" i="129"/>
  <c r="AM19" i="129" s="1"/>
  <c r="AF27" i="129"/>
  <c r="AN26" i="162"/>
  <c r="AL26" i="162" s="1"/>
  <c r="AK27" i="162"/>
  <c r="AI26" i="162"/>
  <c r="AO26" i="162" s="1"/>
  <c r="AM32" i="162"/>
  <c r="C98" i="163" a="1"/>
  <c r="C98" i="163" s="1"/>
  <c r="C101" i="163" a="1"/>
  <c r="C101" i="163" s="1"/>
  <c r="C97" i="163" a="1"/>
  <c r="C97" i="163" s="1"/>
  <c r="C99" i="163" a="1"/>
  <c r="C99" i="163" s="1"/>
  <c r="C96" i="163" a="1"/>
  <c r="C96" i="163" s="1"/>
  <c r="C94" i="163" a="1"/>
  <c r="C94" i="163" s="1"/>
  <c r="C104" i="163"/>
  <c r="AJ19" i="129"/>
  <c r="AP19" i="129" s="1"/>
  <c r="K30" i="154"/>
  <c r="U43" i="147"/>
  <c r="V26" i="147"/>
  <c r="T171" i="147"/>
  <c r="T98" i="147"/>
  <c r="T25" i="147"/>
  <c r="F15" i="147"/>
  <c r="F11" i="147"/>
  <c r="I11" i="147"/>
  <c r="I15" i="147"/>
  <c r="T43" i="147"/>
  <c r="T26" i="147"/>
  <c r="T11" i="147"/>
  <c r="T15" i="147"/>
  <c r="S43" i="147"/>
  <c r="S26" i="147"/>
  <c r="J170" i="147"/>
  <c r="J24" i="147"/>
  <c r="J97" i="147"/>
  <c r="M97" i="147"/>
  <c r="M170" i="147"/>
  <c r="M24" i="147"/>
  <c r="Q11" i="147"/>
  <c r="Q15" i="147"/>
  <c r="G95" i="147"/>
  <c r="G22" i="147"/>
  <c r="G168" i="147"/>
  <c r="K25" i="147"/>
  <c r="K171" i="147"/>
  <c r="K98" i="147"/>
  <c r="L95" i="147"/>
  <c r="L22" i="147"/>
  <c r="L168" i="147"/>
  <c r="T23" i="147"/>
  <c r="T96" i="147"/>
  <c r="T169" i="147"/>
  <c r="C98" i="147"/>
  <c r="C25" i="147"/>
  <c r="N168" i="147"/>
  <c r="N22" i="147"/>
  <c r="N95" i="147"/>
  <c r="N171" i="147"/>
  <c r="N98" i="147"/>
  <c r="N25" i="147"/>
  <c r="D97" i="147"/>
  <c r="D24" i="147"/>
  <c r="D170" i="147"/>
  <c r="C15" i="147"/>
  <c r="C11" i="147"/>
  <c r="S24" i="147"/>
  <c r="S170" i="147"/>
  <c r="S97" i="147"/>
  <c r="E23" i="147"/>
  <c r="E169" i="147"/>
  <c r="E96" i="147"/>
  <c r="F168" i="147"/>
  <c r="F95" i="147"/>
  <c r="F22" i="147"/>
  <c r="V25" i="147"/>
  <c r="V98" i="147"/>
  <c r="V171" i="147"/>
  <c r="R98" i="147"/>
  <c r="R171" i="147"/>
  <c r="R25" i="147"/>
  <c r="D96" i="147"/>
  <c r="D169" i="147"/>
  <c r="D23" i="147"/>
  <c r="Q98" i="147"/>
  <c r="Q171" i="147"/>
  <c r="Q25" i="147"/>
  <c r="M171" i="147"/>
  <c r="M98" i="147"/>
  <c r="M25" i="147"/>
  <c r="K24" i="147"/>
  <c r="K97" i="147"/>
  <c r="K170" i="147"/>
  <c r="R169" i="147"/>
  <c r="R23" i="147"/>
  <c r="R96" i="147"/>
  <c r="K22" i="147"/>
  <c r="K168" i="147"/>
  <c r="K95" i="147"/>
  <c r="J15" i="147"/>
  <c r="J11" i="147"/>
  <c r="C24" i="147"/>
  <c r="C97" i="147"/>
  <c r="V96" i="147"/>
  <c r="V169" i="147"/>
  <c r="V23" i="147"/>
  <c r="S11" i="147"/>
  <c r="S15" i="147"/>
  <c r="O11" i="147"/>
  <c r="O15" i="147"/>
  <c r="F98" i="147"/>
  <c r="F25" i="147"/>
  <c r="F171" i="147"/>
  <c r="O168" i="147"/>
  <c r="O95" i="147"/>
  <c r="O22" i="147"/>
  <c r="K15" i="147"/>
  <c r="K11" i="147"/>
  <c r="N11" i="147"/>
  <c r="N15" i="147"/>
  <c r="P43" i="147"/>
  <c r="I24" i="147"/>
  <c r="I170" i="147"/>
  <c r="I97" i="147"/>
  <c r="E168" i="147"/>
  <c r="E22" i="147"/>
  <c r="E95" i="147"/>
  <c r="T22" i="147"/>
  <c r="T95" i="147"/>
  <c r="T168" i="147"/>
  <c r="J98" i="147"/>
  <c r="J25" i="147"/>
  <c r="J171" i="147"/>
  <c r="Q170" i="147"/>
  <c r="Q97" i="147"/>
  <c r="Q24" i="147"/>
  <c r="J168" i="147"/>
  <c r="J95" i="147"/>
  <c r="J22" i="147"/>
  <c r="H43" i="147"/>
  <c r="H26" i="147"/>
  <c r="O23" i="147"/>
  <c r="O169" i="147"/>
  <c r="O96" i="147"/>
  <c r="P98" i="147"/>
  <c r="P25" i="147"/>
  <c r="P171" i="147"/>
  <c r="V22" i="147"/>
  <c r="V95" i="147"/>
  <c r="V168" i="147"/>
  <c r="D22" i="147"/>
  <c r="D168" i="147"/>
  <c r="D95" i="147"/>
  <c r="M168" i="147"/>
  <c r="M95" i="147"/>
  <c r="M22" i="147"/>
  <c r="U22" i="147"/>
  <c r="U95" i="147"/>
  <c r="U168" i="147"/>
  <c r="E15" i="147"/>
  <c r="E11" i="147"/>
  <c r="N97" i="147"/>
  <c r="N170" i="147"/>
  <c r="N24" i="147"/>
  <c r="F97" i="147"/>
  <c r="F170" i="147"/>
  <c r="F24" i="147"/>
  <c r="I96" i="147"/>
  <c r="I169" i="147"/>
  <c r="I23" i="147"/>
  <c r="H96" i="147"/>
  <c r="H23" i="147"/>
  <c r="H169" i="147"/>
  <c r="G96" i="147"/>
  <c r="G23" i="147"/>
  <c r="G169" i="147"/>
  <c r="D11" i="147"/>
  <c r="D15" i="147"/>
  <c r="L15" i="147"/>
  <c r="L11" i="147"/>
  <c r="R43" i="147"/>
  <c r="R26" i="147"/>
  <c r="R11" i="147"/>
  <c r="R15" i="147"/>
  <c r="K96" i="147"/>
  <c r="K169" i="147"/>
  <c r="K23" i="147"/>
  <c r="E98" i="147"/>
  <c r="E25" i="147"/>
  <c r="E171" i="147"/>
  <c r="S22" i="147"/>
  <c r="S168" i="147"/>
  <c r="S95" i="147"/>
  <c r="L170" i="147"/>
  <c r="L24" i="147"/>
  <c r="L97" i="147"/>
  <c r="N23" i="147"/>
  <c r="N96" i="147"/>
  <c r="N169" i="147"/>
  <c r="G97" i="147"/>
  <c r="G24" i="147"/>
  <c r="G170" i="147"/>
  <c r="U15" i="147"/>
  <c r="U11" i="147"/>
  <c r="G15" i="147"/>
  <c r="G11" i="147"/>
  <c r="O171" i="147"/>
  <c r="O25" i="147"/>
  <c r="O98" i="147"/>
  <c r="L171" i="147"/>
  <c r="L98" i="147"/>
  <c r="L25" i="147"/>
  <c r="I171" i="147"/>
  <c r="I25" i="147"/>
  <c r="I98" i="147"/>
  <c r="H25" i="147"/>
  <c r="H98" i="147"/>
  <c r="H171" i="147"/>
  <c r="H15" i="147"/>
  <c r="H11" i="147"/>
  <c r="J96" i="147"/>
  <c r="J23" i="147"/>
  <c r="J169" i="147"/>
  <c r="H24" i="147"/>
  <c r="H170" i="147"/>
  <c r="H97" i="147"/>
  <c r="H22" i="147"/>
  <c r="H95" i="147"/>
  <c r="H168" i="147"/>
  <c r="E97" i="147"/>
  <c r="E24" i="147"/>
  <c r="E170" i="147"/>
  <c r="U96" i="147"/>
  <c r="U23" i="147"/>
  <c r="U169" i="147"/>
  <c r="P15" i="147"/>
  <c r="P11" i="147"/>
  <c r="Q95" i="147"/>
  <c r="Q168" i="147"/>
  <c r="Q22" i="147"/>
  <c r="G98" i="147"/>
  <c r="G171" i="147"/>
  <c r="G25" i="147"/>
  <c r="V24" i="147"/>
  <c r="V97" i="147"/>
  <c r="V170" i="147"/>
  <c r="C22" i="147"/>
  <c r="C95" i="147"/>
  <c r="P23" i="147"/>
  <c r="P169" i="147"/>
  <c r="P96" i="147"/>
  <c r="F169" i="147"/>
  <c r="F23" i="147"/>
  <c r="F96" i="147"/>
  <c r="C23" i="147"/>
  <c r="C96" i="147"/>
  <c r="Q26" i="147"/>
  <c r="Q43" i="147"/>
  <c r="U170" i="147"/>
  <c r="U24" i="147"/>
  <c r="U97" i="147"/>
  <c r="D25" i="147"/>
  <c r="D98" i="147"/>
  <c r="D171" i="147"/>
  <c r="M96" i="147"/>
  <c r="M169" i="147"/>
  <c r="M23" i="147"/>
  <c r="P170" i="147"/>
  <c r="P97" i="147"/>
  <c r="P24" i="147"/>
  <c r="M15" i="147"/>
  <c r="M11" i="147"/>
  <c r="V219" i="134"/>
  <c r="U219" i="134"/>
  <c r="T219" i="134"/>
  <c r="S219" i="134"/>
  <c r="R219" i="134"/>
  <c r="Q219" i="134"/>
  <c r="P219" i="134"/>
  <c r="O219" i="134"/>
  <c r="N219" i="134"/>
  <c r="M219" i="134"/>
  <c r="L219" i="134"/>
  <c r="K219" i="134"/>
  <c r="J219" i="134"/>
  <c r="I219" i="134"/>
  <c r="H219" i="134"/>
  <c r="G219" i="134"/>
  <c r="F219" i="134"/>
  <c r="E219" i="134"/>
  <c r="D219" i="134"/>
  <c r="C219" i="134"/>
  <c r="V140" i="134"/>
  <c r="U140" i="134"/>
  <c r="T140" i="134"/>
  <c r="S140" i="134"/>
  <c r="R140" i="134"/>
  <c r="Q140" i="134"/>
  <c r="P140" i="134"/>
  <c r="O140" i="134"/>
  <c r="N140" i="134"/>
  <c r="M140" i="134"/>
  <c r="L140" i="134"/>
  <c r="K140" i="134"/>
  <c r="J140" i="134"/>
  <c r="I140" i="134"/>
  <c r="H140" i="134"/>
  <c r="G140" i="134"/>
  <c r="F140" i="134"/>
  <c r="E140" i="134"/>
  <c r="D140" i="134"/>
  <c r="C140" i="134"/>
  <c r="D61" i="134"/>
  <c r="E61" i="134"/>
  <c r="F61" i="134"/>
  <c r="G61" i="134"/>
  <c r="H61" i="134"/>
  <c r="I61" i="134"/>
  <c r="J61" i="134"/>
  <c r="K61" i="134"/>
  <c r="L61" i="134"/>
  <c r="M61" i="134"/>
  <c r="N61" i="134"/>
  <c r="O61" i="134"/>
  <c r="P61" i="134"/>
  <c r="Q61" i="134"/>
  <c r="R61" i="134"/>
  <c r="S61" i="134"/>
  <c r="T61" i="134"/>
  <c r="U61" i="134"/>
  <c r="V61" i="134"/>
  <c r="C61" i="134"/>
  <c r="F230" i="138"/>
  <c r="K152" i="138"/>
  <c r="J152" i="138"/>
  <c r="I152" i="138"/>
  <c r="D74" i="138"/>
  <c r="E74" i="138"/>
  <c r="F74" i="138"/>
  <c r="G74" i="138"/>
  <c r="H74" i="138"/>
  <c r="I74" i="138"/>
  <c r="J74" i="138"/>
  <c r="K74" i="138"/>
  <c r="L74" i="138"/>
  <c r="M74" i="138"/>
  <c r="N74" i="138"/>
  <c r="O74" i="138"/>
  <c r="P74" i="138"/>
  <c r="Q74" i="138"/>
  <c r="R74" i="138"/>
  <c r="S74" i="138"/>
  <c r="T74" i="138"/>
  <c r="U74" i="138"/>
  <c r="V74" i="138"/>
  <c r="C74" i="138"/>
  <c r="A206" i="138"/>
  <c r="A207" i="138"/>
  <c r="A208" i="138"/>
  <c r="A209" i="138"/>
  <c r="A210" i="138"/>
  <c r="A211" i="138"/>
  <c r="A212" i="138"/>
  <c r="A205" i="138"/>
  <c r="C159" i="138"/>
  <c r="C148" i="147" s="1"/>
  <c r="D159" i="138"/>
  <c r="E159" i="138"/>
  <c r="F159" i="138"/>
  <c r="G159" i="138"/>
  <c r="H159" i="138"/>
  <c r="I159" i="138"/>
  <c r="J159" i="138"/>
  <c r="K159" i="138"/>
  <c r="L159" i="138"/>
  <c r="M159" i="138"/>
  <c r="N159" i="138"/>
  <c r="O159" i="138"/>
  <c r="P159" i="138"/>
  <c r="Q159" i="138"/>
  <c r="R159" i="138"/>
  <c r="S159" i="138"/>
  <c r="T159" i="138"/>
  <c r="U159" i="138"/>
  <c r="V159" i="138"/>
  <c r="C160" i="138"/>
  <c r="C149" i="147" s="1"/>
  <c r="D160" i="138"/>
  <c r="E160" i="138"/>
  <c r="F160" i="138"/>
  <c r="G160" i="138"/>
  <c r="H160" i="138"/>
  <c r="I160" i="138"/>
  <c r="J160" i="138"/>
  <c r="K160" i="138"/>
  <c r="L160" i="138"/>
  <c r="M160" i="138"/>
  <c r="N160" i="138"/>
  <c r="O160" i="138"/>
  <c r="P160" i="138"/>
  <c r="Q160" i="138"/>
  <c r="R160" i="138"/>
  <c r="S160" i="138"/>
  <c r="T160" i="138"/>
  <c r="U160" i="138"/>
  <c r="V160" i="138"/>
  <c r="C161" i="138"/>
  <c r="D161" i="138"/>
  <c r="E161" i="138"/>
  <c r="F161" i="138"/>
  <c r="G161" i="138"/>
  <c r="H161" i="138"/>
  <c r="I161" i="138"/>
  <c r="J161" i="138"/>
  <c r="K161" i="138"/>
  <c r="L161" i="138"/>
  <c r="M161" i="138"/>
  <c r="N161" i="138"/>
  <c r="O161" i="138"/>
  <c r="P161" i="138"/>
  <c r="Q161" i="138"/>
  <c r="R161" i="138"/>
  <c r="S161" i="138"/>
  <c r="T161" i="138"/>
  <c r="U161" i="138"/>
  <c r="V161" i="138"/>
  <c r="C162" i="138"/>
  <c r="C150" i="147" s="1"/>
  <c r="D162" i="138"/>
  <c r="E162" i="138"/>
  <c r="F162" i="138"/>
  <c r="G162" i="138"/>
  <c r="H162" i="138"/>
  <c r="I162" i="138"/>
  <c r="J162" i="138"/>
  <c r="K162" i="138"/>
  <c r="L162" i="138"/>
  <c r="M162" i="138"/>
  <c r="N162" i="138"/>
  <c r="O162" i="138"/>
  <c r="P162" i="138"/>
  <c r="Q162" i="138"/>
  <c r="R162" i="138"/>
  <c r="S162" i="138"/>
  <c r="T162" i="138"/>
  <c r="U162" i="138"/>
  <c r="V162" i="138"/>
  <c r="C163" i="138"/>
  <c r="C151" i="147" s="1"/>
  <c r="D163" i="138"/>
  <c r="E163" i="138"/>
  <c r="F163" i="138"/>
  <c r="G163" i="138"/>
  <c r="H163" i="138"/>
  <c r="I163" i="138"/>
  <c r="J163" i="138"/>
  <c r="K163" i="138"/>
  <c r="L163" i="138"/>
  <c r="M163" i="138"/>
  <c r="N163" i="138"/>
  <c r="O163" i="138"/>
  <c r="P163" i="138"/>
  <c r="Q163" i="138"/>
  <c r="R163" i="138"/>
  <c r="S163" i="138"/>
  <c r="T163" i="138"/>
  <c r="U163" i="138"/>
  <c r="V163" i="138"/>
  <c r="C164" i="138"/>
  <c r="C152" i="147" s="1"/>
  <c r="D164" i="138"/>
  <c r="E164" i="138"/>
  <c r="F164" i="138"/>
  <c r="G164" i="138"/>
  <c r="H164" i="138"/>
  <c r="I164" i="138"/>
  <c r="J164" i="138"/>
  <c r="K164" i="138"/>
  <c r="L164" i="138"/>
  <c r="M164" i="138"/>
  <c r="N164" i="138"/>
  <c r="O164" i="138"/>
  <c r="P164" i="138"/>
  <c r="Q164" i="138"/>
  <c r="R164" i="138"/>
  <c r="S164" i="138"/>
  <c r="T164" i="138"/>
  <c r="U164" i="138"/>
  <c r="V164" i="138"/>
  <c r="C165" i="138"/>
  <c r="D165" i="138"/>
  <c r="E165" i="138"/>
  <c r="F165" i="138"/>
  <c r="G165" i="138"/>
  <c r="H165" i="138"/>
  <c r="I165" i="138"/>
  <c r="J165" i="138"/>
  <c r="K165" i="138"/>
  <c r="L165" i="138"/>
  <c r="M165" i="138"/>
  <c r="N165" i="138"/>
  <c r="O165" i="138"/>
  <c r="P165" i="138"/>
  <c r="Q165" i="138"/>
  <c r="R165" i="138"/>
  <c r="S165" i="138"/>
  <c r="T165" i="138"/>
  <c r="U165" i="138"/>
  <c r="V165" i="138"/>
  <c r="C166" i="138"/>
  <c r="C177" i="147" s="1"/>
  <c r="D166" i="138"/>
  <c r="E166" i="138"/>
  <c r="F166" i="138"/>
  <c r="G166" i="138"/>
  <c r="H166" i="138"/>
  <c r="I166" i="138"/>
  <c r="J166" i="138"/>
  <c r="K166" i="138"/>
  <c r="L166" i="138"/>
  <c r="M166" i="138"/>
  <c r="N166" i="138"/>
  <c r="O166" i="138"/>
  <c r="P166" i="138"/>
  <c r="Q166" i="138"/>
  <c r="R166" i="138"/>
  <c r="S166" i="138"/>
  <c r="T166" i="138"/>
  <c r="U166" i="138"/>
  <c r="V166" i="138"/>
  <c r="C167" i="138"/>
  <c r="C153" i="147" s="1"/>
  <c r="D167" i="138"/>
  <c r="E167" i="138"/>
  <c r="F167" i="138"/>
  <c r="G167" i="138"/>
  <c r="H167" i="138"/>
  <c r="I167" i="138"/>
  <c r="J167" i="138"/>
  <c r="K167" i="138"/>
  <c r="L167" i="138"/>
  <c r="M167" i="138"/>
  <c r="N167" i="138"/>
  <c r="O167" i="138"/>
  <c r="P167" i="138"/>
  <c r="Q167" i="138"/>
  <c r="R167" i="138"/>
  <c r="S167" i="138"/>
  <c r="T167" i="138"/>
  <c r="U167" i="138"/>
  <c r="V167" i="138"/>
  <c r="C168" i="138"/>
  <c r="C154" i="147" s="1"/>
  <c r="D168" i="138"/>
  <c r="E168" i="138"/>
  <c r="F168" i="138"/>
  <c r="G168" i="138"/>
  <c r="H168" i="138"/>
  <c r="I168" i="138"/>
  <c r="J168" i="138"/>
  <c r="K168" i="138"/>
  <c r="L168" i="138"/>
  <c r="M168" i="138"/>
  <c r="N168" i="138"/>
  <c r="O168" i="138"/>
  <c r="P168" i="138"/>
  <c r="Q168" i="138"/>
  <c r="R168" i="138"/>
  <c r="S168" i="138"/>
  <c r="T168" i="138"/>
  <c r="U168" i="138"/>
  <c r="V168" i="138"/>
  <c r="C169" i="138"/>
  <c r="D169" i="138"/>
  <c r="E169" i="138"/>
  <c r="F169" i="138"/>
  <c r="G169" i="138"/>
  <c r="H169" i="138"/>
  <c r="I169" i="138"/>
  <c r="J169" i="138"/>
  <c r="K169" i="138"/>
  <c r="L169" i="138"/>
  <c r="M169" i="138"/>
  <c r="N169" i="138"/>
  <c r="O169" i="138"/>
  <c r="P169" i="138"/>
  <c r="Q169" i="138"/>
  <c r="R169" i="138"/>
  <c r="S169" i="138"/>
  <c r="T169" i="138"/>
  <c r="U169" i="138"/>
  <c r="V169" i="138"/>
  <c r="C170" i="138"/>
  <c r="C155" i="147" s="1"/>
  <c r="D170" i="138"/>
  <c r="E170" i="138"/>
  <c r="F170" i="138"/>
  <c r="G170" i="138"/>
  <c r="H170" i="138"/>
  <c r="I170" i="138"/>
  <c r="J170" i="138"/>
  <c r="K170" i="138"/>
  <c r="L170" i="138"/>
  <c r="M170" i="138"/>
  <c r="N170" i="138"/>
  <c r="O170" i="138"/>
  <c r="P170" i="138"/>
  <c r="Q170" i="138"/>
  <c r="R170" i="138"/>
  <c r="S170" i="138"/>
  <c r="T170" i="138"/>
  <c r="U170" i="138"/>
  <c r="V170" i="138"/>
  <c r="C171" i="138"/>
  <c r="D171" i="138"/>
  <c r="E171" i="138"/>
  <c r="F171" i="138"/>
  <c r="G171" i="138"/>
  <c r="H171" i="138"/>
  <c r="I171" i="138"/>
  <c r="J171" i="138"/>
  <c r="K171" i="138"/>
  <c r="L171" i="138"/>
  <c r="M171" i="138"/>
  <c r="N171" i="138"/>
  <c r="O171" i="138"/>
  <c r="P171" i="138"/>
  <c r="Q171" i="138"/>
  <c r="R171" i="138"/>
  <c r="S171" i="138"/>
  <c r="T171" i="138"/>
  <c r="U171" i="138"/>
  <c r="V171" i="138"/>
  <c r="C172" i="138"/>
  <c r="D172" i="138"/>
  <c r="E172" i="138"/>
  <c r="F172" i="138"/>
  <c r="G172" i="138"/>
  <c r="H172" i="138"/>
  <c r="I172" i="138"/>
  <c r="J172" i="138"/>
  <c r="K172" i="138"/>
  <c r="L172" i="138"/>
  <c r="M172" i="138"/>
  <c r="N172" i="138"/>
  <c r="O172" i="138"/>
  <c r="P172" i="138"/>
  <c r="Q172" i="138"/>
  <c r="R172" i="138"/>
  <c r="S172" i="138"/>
  <c r="T172" i="138"/>
  <c r="U172" i="138"/>
  <c r="V172" i="138"/>
  <c r="C173" i="138"/>
  <c r="D173" i="138"/>
  <c r="E173" i="138"/>
  <c r="F173" i="138"/>
  <c r="G173" i="138"/>
  <c r="H173" i="138"/>
  <c r="I173" i="138"/>
  <c r="J173" i="138"/>
  <c r="K173" i="138"/>
  <c r="L173" i="138"/>
  <c r="M173" i="138"/>
  <c r="N173" i="138"/>
  <c r="O173" i="138"/>
  <c r="P173" i="138"/>
  <c r="Q173" i="138"/>
  <c r="R173" i="138"/>
  <c r="S173" i="138"/>
  <c r="T173" i="138"/>
  <c r="U173" i="138"/>
  <c r="V173" i="138"/>
  <c r="C174" i="138"/>
  <c r="D174" i="138"/>
  <c r="E174" i="138"/>
  <c r="F174" i="138"/>
  <c r="G174" i="138"/>
  <c r="H174" i="138"/>
  <c r="I174" i="138"/>
  <c r="J174" i="138"/>
  <c r="K174" i="138"/>
  <c r="L174" i="138"/>
  <c r="M174" i="138"/>
  <c r="N174" i="138"/>
  <c r="O174" i="138"/>
  <c r="P174" i="138"/>
  <c r="Q174" i="138"/>
  <c r="R174" i="138"/>
  <c r="S174" i="138"/>
  <c r="T174" i="138"/>
  <c r="U174" i="138"/>
  <c r="V174" i="138"/>
  <c r="C175" i="138"/>
  <c r="C156" i="147" s="1"/>
  <c r="D175" i="138"/>
  <c r="E175" i="138"/>
  <c r="F175" i="138"/>
  <c r="G175" i="138"/>
  <c r="H175" i="138"/>
  <c r="I175" i="138"/>
  <c r="J175" i="138"/>
  <c r="K175" i="138"/>
  <c r="L175" i="138"/>
  <c r="M175" i="138"/>
  <c r="N175" i="138"/>
  <c r="O175" i="138"/>
  <c r="P175" i="138"/>
  <c r="Q175" i="138"/>
  <c r="R175" i="138"/>
  <c r="S175" i="138"/>
  <c r="T175" i="138"/>
  <c r="U175" i="138"/>
  <c r="V175" i="138"/>
  <c r="C176" i="138"/>
  <c r="C157" i="147" s="1"/>
  <c r="D176" i="138"/>
  <c r="E176" i="138"/>
  <c r="F176" i="138"/>
  <c r="G176" i="138"/>
  <c r="H176" i="138"/>
  <c r="I176" i="138"/>
  <c r="J176" i="138"/>
  <c r="K176" i="138"/>
  <c r="L176" i="138"/>
  <c r="M176" i="138"/>
  <c r="N176" i="138"/>
  <c r="O176" i="138"/>
  <c r="P176" i="138"/>
  <c r="Q176" i="138"/>
  <c r="R176" i="138"/>
  <c r="S176" i="138"/>
  <c r="T176" i="138"/>
  <c r="U176" i="138"/>
  <c r="V176" i="138"/>
  <c r="C177" i="138"/>
  <c r="C161" i="147" s="1"/>
  <c r="D177" i="138"/>
  <c r="E177" i="138"/>
  <c r="F177" i="138"/>
  <c r="G177" i="138"/>
  <c r="H177" i="138"/>
  <c r="I177" i="138"/>
  <c r="J177" i="138"/>
  <c r="K177" i="138"/>
  <c r="L177" i="138"/>
  <c r="M177" i="138"/>
  <c r="N177" i="138"/>
  <c r="O177" i="138"/>
  <c r="P177" i="138"/>
  <c r="Q177" i="138"/>
  <c r="R177" i="138"/>
  <c r="S177" i="138"/>
  <c r="T177" i="138"/>
  <c r="U177" i="138"/>
  <c r="V177" i="138"/>
  <c r="C178" i="138"/>
  <c r="C158" i="147" s="1"/>
  <c r="D178" i="138"/>
  <c r="E178" i="138"/>
  <c r="F178" i="138"/>
  <c r="G178" i="138"/>
  <c r="H178" i="138"/>
  <c r="I178" i="138"/>
  <c r="J178" i="138"/>
  <c r="K178" i="138"/>
  <c r="L178" i="138"/>
  <c r="M178" i="138"/>
  <c r="N178" i="138"/>
  <c r="O178" i="138"/>
  <c r="P178" i="138"/>
  <c r="Q178" i="138"/>
  <c r="R178" i="138"/>
  <c r="S178" i="138"/>
  <c r="T178" i="138"/>
  <c r="U178" i="138"/>
  <c r="V178" i="138"/>
  <c r="C179" i="138"/>
  <c r="C159" i="147" s="1"/>
  <c r="D179" i="138"/>
  <c r="E179" i="138"/>
  <c r="F179" i="138"/>
  <c r="G179" i="138"/>
  <c r="H179" i="138"/>
  <c r="I179" i="138"/>
  <c r="J179" i="138"/>
  <c r="K179" i="138"/>
  <c r="L179" i="138"/>
  <c r="M179" i="138"/>
  <c r="N179" i="138"/>
  <c r="O179" i="138"/>
  <c r="P179" i="138"/>
  <c r="Q179" i="138"/>
  <c r="R179" i="138"/>
  <c r="S179" i="138"/>
  <c r="T179" i="138"/>
  <c r="U179" i="138"/>
  <c r="V179" i="138"/>
  <c r="C180" i="138"/>
  <c r="C160" i="147" s="1"/>
  <c r="D180" i="138"/>
  <c r="E180" i="138"/>
  <c r="F180" i="138"/>
  <c r="G180" i="138"/>
  <c r="H180" i="138"/>
  <c r="I180" i="138"/>
  <c r="J180" i="138"/>
  <c r="K180" i="138"/>
  <c r="L180" i="138"/>
  <c r="M180" i="138"/>
  <c r="N180" i="138"/>
  <c r="O180" i="138"/>
  <c r="P180" i="138"/>
  <c r="Q180" i="138"/>
  <c r="R180" i="138"/>
  <c r="S180" i="138"/>
  <c r="T180" i="138"/>
  <c r="U180" i="138"/>
  <c r="V180" i="138"/>
  <c r="C181" i="138"/>
  <c r="C162" i="147" s="1"/>
  <c r="D181" i="138"/>
  <c r="E181" i="138"/>
  <c r="F181" i="138"/>
  <c r="G181" i="138"/>
  <c r="H181" i="138"/>
  <c r="I181" i="138"/>
  <c r="J181" i="138"/>
  <c r="K181" i="138"/>
  <c r="L181" i="138"/>
  <c r="M181" i="138"/>
  <c r="N181" i="138"/>
  <c r="O181" i="138"/>
  <c r="P181" i="138"/>
  <c r="Q181" i="138"/>
  <c r="R181" i="138"/>
  <c r="S181" i="138"/>
  <c r="T181" i="138"/>
  <c r="U181" i="138"/>
  <c r="V181" i="138"/>
  <c r="C182" i="138"/>
  <c r="C163" i="147" s="1"/>
  <c r="D182" i="138"/>
  <c r="E182" i="138"/>
  <c r="F182" i="138"/>
  <c r="G182" i="138"/>
  <c r="H182" i="138"/>
  <c r="I182" i="138"/>
  <c r="J182" i="138"/>
  <c r="K182" i="138"/>
  <c r="L182" i="138"/>
  <c r="M182" i="138"/>
  <c r="N182" i="138"/>
  <c r="O182" i="138"/>
  <c r="P182" i="138"/>
  <c r="Q182" i="138"/>
  <c r="R182" i="138"/>
  <c r="S182" i="138"/>
  <c r="T182" i="138"/>
  <c r="U182" i="138"/>
  <c r="V182" i="138"/>
  <c r="C183" i="138"/>
  <c r="C164" i="147" s="1"/>
  <c r="D183" i="138"/>
  <c r="E183" i="138"/>
  <c r="F183" i="138"/>
  <c r="G183" i="138"/>
  <c r="H183" i="138"/>
  <c r="I183" i="138"/>
  <c r="J183" i="138"/>
  <c r="K183" i="138"/>
  <c r="L183" i="138"/>
  <c r="M183" i="138"/>
  <c r="N183" i="138"/>
  <c r="O183" i="138"/>
  <c r="P183" i="138"/>
  <c r="Q183" i="138"/>
  <c r="R183" i="138"/>
  <c r="S183" i="138"/>
  <c r="T183" i="138"/>
  <c r="U183" i="138"/>
  <c r="V183" i="138"/>
  <c r="C184" i="138"/>
  <c r="C165" i="147" s="1"/>
  <c r="D184" i="138"/>
  <c r="E184" i="138"/>
  <c r="F184" i="138"/>
  <c r="G184" i="138"/>
  <c r="H184" i="138"/>
  <c r="I184" i="138"/>
  <c r="J184" i="138"/>
  <c r="K184" i="138"/>
  <c r="L184" i="138"/>
  <c r="M184" i="138"/>
  <c r="N184" i="138"/>
  <c r="O184" i="138"/>
  <c r="P184" i="138"/>
  <c r="Q184" i="138"/>
  <c r="R184" i="138"/>
  <c r="S184" i="138"/>
  <c r="T184" i="138"/>
  <c r="U184" i="138"/>
  <c r="V184" i="138"/>
  <c r="C185" i="138"/>
  <c r="C166" i="147" s="1"/>
  <c r="D185" i="138"/>
  <c r="E185" i="138"/>
  <c r="F185" i="138"/>
  <c r="G185" i="138"/>
  <c r="H185" i="138"/>
  <c r="I185" i="138"/>
  <c r="J185" i="138"/>
  <c r="K185" i="138"/>
  <c r="L185" i="138"/>
  <c r="M185" i="138"/>
  <c r="N185" i="138"/>
  <c r="O185" i="138"/>
  <c r="P185" i="138"/>
  <c r="Q185" i="138"/>
  <c r="R185" i="138"/>
  <c r="S185" i="138"/>
  <c r="T185" i="138"/>
  <c r="U185" i="138"/>
  <c r="V185" i="138"/>
  <c r="C186" i="138"/>
  <c r="C167" i="147" s="1"/>
  <c r="D186" i="138"/>
  <c r="E186" i="138"/>
  <c r="F186" i="138"/>
  <c r="G186" i="138"/>
  <c r="H186" i="138"/>
  <c r="I186" i="138"/>
  <c r="J186" i="138"/>
  <c r="K186" i="138"/>
  <c r="L186" i="138"/>
  <c r="M186" i="138"/>
  <c r="N186" i="138"/>
  <c r="O186" i="138"/>
  <c r="P186" i="138"/>
  <c r="Q186" i="138"/>
  <c r="R186" i="138"/>
  <c r="S186" i="138"/>
  <c r="T186" i="138"/>
  <c r="U186" i="138"/>
  <c r="V186" i="138"/>
  <c r="C187" i="138"/>
  <c r="D187" i="138"/>
  <c r="E187" i="138"/>
  <c r="F187" i="138"/>
  <c r="G187" i="138"/>
  <c r="H187" i="138"/>
  <c r="I187" i="138"/>
  <c r="J187" i="138"/>
  <c r="K187" i="138"/>
  <c r="L187" i="138"/>
  <c r="M187" i="138"/>
  <c r="N187" i="138"/>
  <c r="O187" i="138"/>
  <c r="P187" i="138"/>
  <c r="Q187" i="138"/>
  <c r="R187" i="138"/>
  <c r="S187" i="138"/>
  <c r="T187" i="138"/>
  <c r="U187" i="138"/>
  <c r="V187" i="138"/>
  <c r="C188" i="138"/>
  <c r="C172" i="147" s="1"/>
  <c r="D188" i="138"/>
  <c r="E188" i="138"/>
  <c r="F188" i="138"/>
  <c r="G188" i="138"/>
  <c r="H188" i="138"/>
  <c r="I188" i="138"/>
  <c r="J188" i="138"/>
  <c r="K188" i="138"/>
  <c r="L188" i="138"/>
  <c r="M188" i="138"/>
  <c r="N188" i="138"/>
  <c r="O188" i="138"/>
  <c r="P188" i="138"/>
  <c r="Q188" i="138"/>
  <c r="R188" i="138"/>
  <c r="S188" i="138"/>
  <c r="T188" i="138"/>
  <c r="U188" i="138"/>
  <c r="V188" i="138"/>
  <c r="C189" i="138"/>
  <c r="C189" i="147" s="1"/>
  <c r="D189" i="138"/>
  <c r="E189" i="138"/>
  <c r="F189" i="138"/>
  <c r="G189" i="138"/>
  <c r="H189" i="138"/>
  <c r="I189" i="138"/>
  <c r="J189" i="138"/>
  <c r="K189" i="138"/>
  <c r="L189" i="138"/>
  <c r="M189" i="138"/>
  <c r="N189" i="138"/>
  <c r="O189" i="138"/>
  <c r="P189" i="138"/>
  <c r="Q189" i="138"/>
  <c r="R189" i="138"/>
  <c r="S189" i="138"/>
  <c r="T189" i="138"/>
  <c r="U189" i="138"/>
  <c r="V189" i="138"/>
  <c r="C190" i="138"/>
  <c r="C173" i="147" s="1"/>
  <c r="D190" i="138"/>
  <c r="E190" i="138"/>
  <c r="F190" i="138"/>
  <c r="G190" i="138"/>
  <c r="H190" i="138"/>
  <c r="I190" i="138"/>
  <c r="J190" i="138"/>
  <c r="K190" i="138"/>
  <c r="L190" i="138"/>
  <c r="M190" i="138"/>
  <c r="N190" i="138"/>
  <c r="O190" i="138"/>
  <c r="P190" i="138"/>
  <c r="Q190" i="138"/>
  <c r="R190" i="138"/>
  <c r="S190" i="138"/>
  <c r="T190" i="138"/>
  <c r="U190" i="138"/>
  <c r="V190" i="138"/>
  <c r="C191" i="138"/>
  <c r="C174" i="147" s="1"/>
  <c r="D191" i="138"/>
  <c r="E191" i="138"/>
  <c r="F191" i="138"/>
  <c r="G191" i="138"/>
  <c r="H191" i="138"/>
  <c r="I191" i="138"/>
  <c r="J191" i="138"/>
  <c r="K191" i="138"/>
  <c r="L191" i="138"/>
  <c r="M191" i="138"/>
  <c r="N191" i="138"/>
  <c r="O191" i="138"/>
  <c r="P191" i="138"/>
  <c r="Q191" i="138"/>
  <c r="R191" i="138"/>
  <c r="S191" i="138"/>
  <c r="T191" i="138"/>
  <c r="U191" i="138"/>
  <c r="V191" i="138"/>
  <c r="C192" i="138"/>
  <c r="C175" i="147" s="1"/>
  <c r="D192" i="138"/>
  <c r="E192" i="138"/>
  <c r="F192" i="138"/>
  <c r="G192" i="138"/>
  <c r="H192" i="138"/>
  <c r="I192" i="138"/>
  <c r="J192" i="138"/>
  <c r="K192" i="138"/>
  <c r="L192" i="138"/>
  <c r="M192" i="138"/>
  <c r="N192" i="138"/>
  <c r="O192" i="138"/>
  <c r="P192" i="138"/>
  <c r="Q192" i="138"/>
  <c r="R192" i="138"/>
  <c r="S192" i="138"/>
  <c r="T192" i="138"/>
  <c r="U192" i="138"/>
  <c r="V192" i="138"/>
  <c r="C193" i="138"/>
  <c r="C176" i="147" s="1"/>
  <c r="D193" i="138"/>
  <c r="E193" i="138"/>
  <c r="F193" i="138"/>
  <c r="G193" i="138"/>
  <c r="H193" i="138"/>
  <c r="I193" i="138"/>
  <c r="J193" i="138"/>
  <c r="K193" i="138"/>
  <c r="L193" i="138"/>
  <c r="M193" i="138"/>
  <c r="N193" i="138"/>
  <c r="O193" i="138"/>
  <c r="P193" i="138"/>
  <c r="Q193" i="138"/>
  <c r="R193" i="138"/>
  <c r="S193" i="138"/>
  <c r="T193" i="138"/>
  <c r="U193" i="138"/>
  <c r="V193" i="138"/>
  <c r="C194" i="138"/>
  <c r="C178" i="147" s="1"/>
  <c r="D194" i="138"/>
  <c r="E194" i="138"/>
  <c r="F194" i="138"/>
  <c r="G194" i="138"/>
  <c r="H194" i="138"/>
  <c r="I194" i="138"/>
  <c r="J194" i="138"/>
  <c r="K194" i="138"/>
  <c r="L194" i="138"/>
  <c r="M194" i="138"/>
  <c r="N194" i="138"/>
  <c r="O194" i="138"/>
  <c r="P194" i="138"/>
  <c r="Q194" i="138"/>
  <c r="R194" i="138"/>
  <c r="S194" i="138"/>
  <c r="T194" i="138"/>
  <c r="U194" i="138"/>
  <c r="V194" i="138"/>
  <c r="C195" i="138"/>
  <c r="C179" i="147" s="1"/>
  <c r="D195" i="138"/>
  <c r="E195" i="138"/>
  <c r="F195" i="138"/>
  <c r="G195" i="138"/>
  <c r="H195" i="138"/>
  <c r="I195" i="138"/>
  <c r="J195" i="138"/>
  <c r="K195" i="138"/>
  <c r="L195" i="138"/>
  <c r="M195" i="138"/>
  <c r="N195" i="138"/>
  <c r="O195" i="138"/>
  <c r="P195" i="138"/>
  <c r="Q195" i="138"/>
  <c r="R195" i="138"/>
  <c r="S195" i="138"/>
  <c r="T195" i="138"/>
  <c r="U195" i="138"/>
  <c r="V195" i="138"/>
  <c r="C196" i="138"/>
  <c r="C180" i="147" s="1"/>
  <c r="D196" i="138"/>
  <c r="E196" i="138"/>
  <c r="F196" i="138"/>
  <c r="G196" i="138"/>
  <c r="H196" i="138"/>
  <c r="I196" i="138"/>
  <c r="J196" i="138"/>
  <c r="K196" i="138"/>
  <c r="L196" i="138"/>
  <c r="M196" i="138"/>
  <c r="N196" i="138"/>
  <c r="O196" i="138"/>
  <c r="P196" i="138"/>
  <c r="Q196" i="138"/>
  <c r="R196" i="138"/>
  <c r="S196" i="138"/>
  <c r="T196" i="138"/>
  <c r="U196" i="138"/>
  <c r="V196" i="138"/>
  <c r="C197" i="138"/>
  <c r="C181" i="147" s="1"/>
  <c r="D197" i="138"/>
  <c r="E197" i="138"/>
  <c r="F197" i="138"/>
  <c r="G197" i="138"/>
  <c r="H197" i="138"/>
  <c r="I197" i="138"/>
  <c r="J197" i="138"/>
  <c r="K197" i="138"/>
  <c r="L197" i="138"/>
  <c r="M197" i="138"/>
  <c r="N197" i="138"/>
  <c r="O197" i="138"/>
  <c r="P197" i="138"/>
  <c r="Q197" i="138"/>
  <c r="R197" i="138"/>
  <c r="S197" i="138"/>
  <c r="T197" i="138"/>
  <c r="U197" i="138"/>
  <c r="V197" i="138"/>
  <c r="C198" i="138"/>
  <c r="C182" i="147" s="1"/>
  <c r="D198" i="138"/>
  <c r="E198" i="138"/>
  <c r="F198" i="138"/>
  <c r="G198" i="138"/>
  <c r="H198" i="138"/>
  <c r="I198" i="138"/>
  <c r="J198" i="138"/>
  <c r="K198" i="138"/>
  <c r="L198" i="138"/>
  <c r="M198" i="138"/>
  <c r="N198" i="138"/>
  <c r="O198" i="138"/>
  <c r="P198" i="138"/>
  <c r="Q198" i="138"/>
  <c r="R198" i="138"/>
  <c r="S198" i="138"/>
  <c r="T198" i="138"/>
  <c r="U198" i="138"/>
  <c r="V198" i="138"/>
  <c r="C199" i="138"/>
  <c r="C183" i="147" s="1"/>
  <c r="D199" i="138"/>
  <c r="E199" i="138"/>
  <c r="F199" i="138"/>
  <c r="G199" i="138"/>
  <c r="H199" i="138"/>
  <c r="I199" i="138"/>
  <c r="J199" i="138"/>
  <c r="K199" i="138"/>
  <c r="L199" i="138"/>
  <c r="M199" i="138"/>
  <c r="N199" i="138"/>
  <c r="O199" i="138"/>
  <c r="P199" i="138"/>
  <c r="Q199" i="138"/>
  <c r="R199" i="138"/>
  <c r="S199" i="138"/>
  <c r="T199" i="138"/>
  <c r="U199" i="138"/>
  <c r="V199" i="138"/>
  <c r="C200" i="138"/>
  <c r="C184" i="147" s="1"/>
  <c r="D200" i="138"/>
  <c r="E200" i="138"/>
  <c r="F200" i="138"/>
  <c r="G200" i="138"/>
  <c r="H200" i="138"/>
  <c r="I200" i="138"/>
  <c r="J200" i="138"/>
  <c r="K200" i="138"/>
  <c r="L200" i="138"/>
  <c r="M200" i="138"/>
  <c r="N200" i="138"/>
  <c r="O200" i="138"/>
  <c r="P200" i="138"/>
  <c r="Q200" i="138"/>
  <c r="R200" i="138"/>
  <c r="S200" i="138"/>
  <c r="T200" i="138"/>
  <c r="U200" i="138"/>
  <c r="V200" i="138"/>
  <c r="C201" i="138"/>
  <c r="C185" i="147" s="1"/>
  <c r="D201" i="138"/>
  <c r="E201" i="138"/>
  <c r="F201" i="138"/>
  <c r="G201" i="138"/>
  <c r="H201" i="138"/>
  <c r="I201" i="138"/>
  <c r="J201" i="138"/>
  <c r="K201" i="138"/>
  <c r="L201" i="138"/>
  <c r="M201" i="138"/>
  <c r="N201" i="138"/>
  <c r="O201" i="138"/>
  <c r="P201" i="138"/>
  <c r="Q201" i="138"/>
  <c r="R201" i="138"/>
  <c r="S201" i="138"/>
  <c r="T201" i="138"/>
  <c r="U201" i="138"/>
  <c r="V201" i="138"/>
  <c r="C202" i="138"/>
  <c r="C186" i="147" s="1"/>
  <c r="D202" i="138"/>
  <c r="E202" i="138"/>
  <c r="F202" i="138"/>
  <c r="G202" i="138"/>
  <c r="H202" i="138"/>
  <c r="I202" i="138"/>
  <c r="J202" i="138"/>
  <c r="K202" i="138"/>
  <c r="L202" i="138"/>
  <c r="M202" i="138"/>
  <c r="N202" i="138"/>
  <c r="O202" i="138"/>
  <c r="P202" i="138"/>
  <c r="Q202" i="138"/>
  <c r="R202" i="138"/>
  <c r="S202" i="138"/>
  <c r="T202" i="138"/>
  <c r="U202" i="138"/>
  <c r="V202" i="138"/>
  <c r="C203" i="138"/>
  <c r="C187" i="147" s="1"/>
  <c r="D203" i="138"/>
  <c r="E203" i="138"/>
  <c r="F203" i="138"/>
  <c r="G203" i="138"/>
  <c r="H203" i="138"/>
  <c r="I203" i="138"/>
  <c r="J203" i="138"/>
  <c r="K203" i="138"/>
  <c r="L203" i="138"/>
  <c r="M203" i="138"/>
  <c r="N203" i="138"/>
  <c r="O203" i="138"/>
  <c r="P203" i="138"/>
  <c r="Q203" i="138"/>
  <c r="R203" i="138"/>
  <c r="S203" i="138"/>
  <c r="T203" i="138"/>
  <c r="U203" i="138"/>
  <c r="V203" i="138"/>
  <c r="C204" i="138"/>
  <c r="C188" i="147" s="1"/>
  <c r="D204" i="138"/>
  <c r="E204" i="138"/>
  <c r="F204" i="138"/>
  <c r="G204" i="138"/>
  <c r="H204" i="138"/>
  <c r="I204" i="138"/>
  <c r="J204" i="138"/>
  <c r="K204" i="138"/>
  <c r="L204" i="138"/>
  <c r="M204" i="138"/>
  <c r="N204" i="138"/>
  <c r="O204" i="138"/>
  <c r="P204" i="138"/>
  <c r="Q204" i="138"/>
  <c r="R204" i="138"/>
  <c r="S204" i="138"/>
  <c r="T204" i="138"/>
  <c r="U204" i="138"/>
  <c r="V204" i="138"/>
  <c r="D158" i="138"/>
  <c r="D230" i="138" s="1"/>
  <c r="E158" i="138"/>
  <c r="F158" i="138"/>
  <c r="G158" i="138"/>
  <c r="H158" i="138"/>
  <c r="I158" i="138"/>
  <c r="I230" i="138" s="1"/>
  <c r="J158" i="138"/>
  <c r="J230" i="138" s="1"/>
  <c r="K158" i="138"/>
  <c r="L158" i="138"/>
  <c r="L230" i="138" s="1"/>
  <c r="M158" i="138"/>
  <c r="M230" i="138" s="1"/>
  <c r="N158" i="138"/>
  <c r="N230" i="138" s="1"/>
  <c r="O158" i="138"/>
  <c r="O230" i="138" s="1"/>
  <c r="P158" i="138"/>
  <c r="P230" i="138" s="1"/>
  <c r="Q158" i="138"/>
  <c r="R158" i="138"/>
  <c r="R230" i="138" s="1"/>
  <c r="S158" i="138"/>
  <c r="S230" i="138" s="1"/>
  <c r="T158" i="138"/>
  <c r="T230" i="138" s="1"/>
  <c r="U158" i="138"/>
  <c r="U230" i="138" s="1"/>
  <c r="V158" i="138"/>
  <c r="C158" i="138"/>
  <c r="C81" i="138"/>
  <c r="C75" i="147" s="1"/>
  <c r="D81" i="138"/>
  <c r="E81" i="138"/>
  <c r="F81" i="138"/>
  <c r="G81" i="138"/>
  <c r="H81" i="138"/>
  <c r="I81" i="138"/>
  <c r="J81" i="138"/>
  <c r="K81" i="138"/>
  <c r="L81" i="138"/>
  <c r="M81" i="138"/>
  <c r="N81" i="138"/>
  <c r="O81" i="138"/>
  <c r="P81" i="138"/>
  <c r="Q81" i="138"/>
  <c r="R81" i="138"/>
  <c r="S81" i="138"/>
  <c r="T81" i="138"/>
  <c r="U81" i="138"/>
  <c r="V81" i="138"/>
  <c r="C82" i="138"/>
  <c r="C76" i="147" s="1"/>
  <c r="D82" i="138"/>
  <c r="E82" i="138"/>
  <c r="F82" i="138"/>
  <c r="G82" i="138"/>
  <c r="H82" i="138"/>
  <c r="I82" i="138"/>
  <c r="J82" i="138"/>
  <c r="K82" i="138"/>
  <c r="L82" i="138"/>
  <c r="M82" i="138"/>
  <c r="N82" i="138"/>
  <c r="O82" i="138"/>
  <c r="P82" i="138"/>
  <c r="Q82" i="138"/>
  <c r="R82" i="138"/>
  <c r="S82" i="138"/>
  <c r="T82" i="138"/>
  <c r="U82" i="138"/>
  <c r="V82" i="138"/>
  <c r="C83" i="138"/>
  <c r="D83" i="138"/>
  <c r="E83" i="138"/>
  <c r="F83" i="138"/>
  <c r="G83" i="138"/>
  <c r="H83" i="138"/>
  <c r="I83" i="138"/>
  <c r="J83" i="138"/>
  <c r="K83" i="138"/>
  <c r="L83" i="138"/>
  <c r="M83" i="138"/>
  <c r="N83" i="138"/>
  <c r="O83" i="138"/>
  <c r="P83" i="138"/>
  <c r="Q83" i="138"/>
  <c r="R83" i="138"/>
  <c r="S83" i="138"/>
  <c r="T83" i="138"/>
  <c r="U83" i="138"/>
  <c r="V83" i="138"/>
  <c r="C84" i="138"/>
  <c r="C77" i="147" s="1"/>
  <c r="D84" i="138"/>
  <c r="E84" i="138"/>
  <c r="F84" i="138"/>
  <c r="G84" i="138"/>
  <c r="H84" i="138"/>
  <c r="I84" i="138"/>
  <c r="J84" i="138"/>
  <c r="K84" i="138"/>
  <c r="L84" i="138"/>
  <c r="M84" i="138"/>
  <c r="N84" i="138"/>
  <c r="O84" i="138"/>
  <c r="P84" i="138"/>
  <c r="Q84" i="138"/>
  <c r="R84" i="138"/>
  <c r="S84" i="138"/>
  <c r="T84" i="138"/>
  <c r="U84" i="138"/>
  <c r="V84" i="138"/>
  <c r="C85" i="138"/>
  <c r="C78" i="147" s="1"/>
  <c r="D85" i="138"/>
  <c r="E85" i="138"/>
  <c r="F85" i="138"/>
  <c r="G85" i="138"/>
  <c r="H85" i="138"/>
  <c r="I85" i="138"/>
  <c r="J85" i="138"/>
  <c r="K85" i="138"/>
  <c r="L85" i="138"/>
  <c r="M85" i="138"/>
  <c r="N85" i="138"/>
  <c r="O85" i="138"/>
  <c r="P85" i="138"/>
  <c r="Q85" i="138"/>
  <c r="R85" i="138"/>
  <c r="S85" i="138"/>
  <c r="T85" i="138"/>
  <c r="U85" i="138"/>
  <c r="V85" i="138"/>
  <c r="C86" i="138"/>
  <c r="C79" i="147" s="1"/>
  <c r="D86" i="138"/>
  <c r="E86" i="138"/>
  <c r="F86" i="138"/>
  <c r="G86" i="138"/>
  <c r="H86" i="138"/>
  <c r="I86" i="138"/>
  <c r="J86" i="138"/>
  <c r="K86" i="138"/>
  <c r="L86" i="138"/>
  <c r="M86" i="138"/>
  <c r="N86" i="138"/>
  <c r="O86" i="138"/>
  <c r="P86" i="138"/>
  <c r="Q86" i="138"/>
  <c r="R86" i="138"/>
  <c r="S86" i="138"/>
  <c r="T86" i="138"/>
  <c r="U86" i="138"/>
  <c r="V86" i="138"/>
  <c r="C87" i="138"/>
  <c r="D87" i="138"/>
  <c r="E87" i="138"/>
  <c r="F87" i="138"/>
  <c r="G87" i="138"/>
  <c r="H87" i="138"/>
  <c r="I87" i="138"/>
  <c r="J87" i="138"/>
  <c r="K87" i="138"/>
  <c r="L87" i="138"/>
  <c r="M87" i="138"/>
  <c r="N87" i="138"/>
  <c r="O87" i="138"/>
  <c r="P87" i="138"/>
  <c r="Q87" i="138"/>
  <c r="R87" i="138"/>
  <c r="S87" i="138"/>
  <c r="T87" i="138"/>
  <c r="U87" i="138"/>
  <c r="V87" i="138"/>
  <c r="C88" i="138"/>
  <c r="C104" i="147" s="1"/>
  <c r="D88" i="138"/>
  <c r="E88" i="138"/>
  <c r="F88" i="138"/>
  <c r="G88" i="138"/>
  <c r="H88" i="138"/>
  <c r="I88" i="138"/>
  <c r="J88" i="138"/>
  <c r="K88" i="138"/>
  <c r="L88" i="138"/>
  <c r="M88" i="138"/>
  <c r="N88" i="138"/>
  <c r="O88" i="138"/>
  <c r="P88" i="138"/>
  <c r="Q88" i="138"/>
  <c r="R88" i="138"/>
  <c r="S88" i="138"/>
  <c r="T88" i="138"/>
  <c r="U88" i="138"/>
  <c r="V88" i="138"/>
  <c r="C89" i="138"/>
  <c r="C80" i="147" s="1"/>
  <c r="D89" i="138"/>
  <c r="E89" i="138"/>
  <c r="F89" i="138"/>
  <c r="G89" i="138"/>
  <c r="H89" i="138"/>
  <c r="I89" i="138"/>
  <c r="J89" i="138"/>
  <c r="K89" i="138"/>
  <c r="L89" i="138"/>
  <c r="M89" i="138"/>
  <c r="N89" i="138"/>
  <c r="O89" i="138"/>
  <c r="P89" i="138"/>
  <c r="Q89" i="138"/>
  <c r="R89" i="138"/>
  <c r="S89" i="138"/>
  <c r="T89" i="138"/>
  <c r="U89" i="138"/>
  <c r="V89" i="138"/>
  <c r="C90" i="138"/>
  <c r="C81" i="147" s="1"/>
  <c r="D90" i="138"/>
  <c r="E90" i="138"/>
  <c r="F90" i="138"/>
  <c r="G90" i="138"/>
  <c r="H90" i="138"/>
  <c r="I90" i="138"/>
  <c r="J90" i="138"/>
  <c r="K90" i="138"/>
  <c r="L90" i="138"/>
  <c r="M90" i="138"/>
  <c r="N90" i="138"/>
  <c r="O90" i="138"/>
  <c r="P90" i="138"/>
  <c r="Q90" i="138"/>
  <c r="R90" i="138"/>
  <c r="S90" i="138"/>
  <c r="T90" i="138"/>
  <c r="U90" i="138"/>
  <c r="V90" i="138"/>
  <c r="C91" i="138"/>
  <c r="D91" i="138"/>
  <c r="E91" i="138"/>
  <c r="F91" i="138"/>
  <c r="G91" i="138"/>
  <c r="H91" i="138"/>
  <c r="I91" i="138"/>
  <c r="J91" i="138"/>
  <c r="K91" i="138"/>
  <c r="L91" i="138"/>
  <c r="M91" i="138"/>
  <c r="N91" i="138"/>
  <c r="O91" i="138"/>
  <c r="P91" i="138"/>
  <c r="Q91" i="138"/>
  <c r="R91" i="138"/>
  <c r="S91" i="138"/>
  <c r="T91" i="138"/>
  <c r="U91" i="138"/>
  <c r="V91" i="138"/>
  <c r="C92" i="138"/>
  <c r="C82" i="147" s="1"/>
  <c r="D92" i="138"/>
  <c r="E92" i="138"/>
  <c r="F92" i="138"/>
  <c r="G92" i="138"/>
  <c r="H92" i="138"/>
  <c r="I92" i="138"/>
  <c r="J92" i="138"/>
  <c r="K92" i="138"/>
  <c r="L92" i="138"/>
  <c r="M92" i="138"/>
  <c r="N92" i="138"/>
  <c r="O92" i="138"/>
  <c r="P92" i="138"/>
  <c r="Q92" i="138"/>
  <c r="R92" i="138"/>
  <c r="S92" i="138"/>
  <c r="T92" i="138"/>
  <c r="U92" i="138"/>
  <c r="V92" i="138"/>
  <c r="C93" i="138"/>
  <c r="D93" i="138"/>
  <c r="E93" i="138"/>
  <c r="F93" i="138"/>
  <c r="G93" i="138"/>
  <c r="H93" i="138"/>
  <c r="I93" i="138"/>
  <c r="J93" i="138"/>
  <c r="K93" i="138"/>
  <c r="L93" i="138"/>
  <c r="M93" i="138"/>
  <c r="N93" i="138"/>
  <c r="O93" i="138"/>
  <c r="P93" i="138"/>
  <c r="Q93" i="138"/>
  <c r="R93" i="138"/>
  <c r="S93" i="138"/>
  <c r="T93" i="138"/>
  <c r="U93" i="138"/>
  <c r="V93" i="138"/>
  <c r="C94" i="138"/>
  <c r="D94" i="138"/>
  <c r="E94" i="138"/>
  <c r="F94" i="138"/>
  <c r="G94" i="138"/>
  <c r="H94" i="138"/>
  <c r="I94" i="138"/>
  <c r="J94" i="138"/>
  <c r="K94" i="138"/>
  <c r="L94" i="138"/>
  <c r="M94" i="138"/>
  <c r="N94" i="138"/>
  <c r="O94" i="138"/>
  <c r="P94" i="138"/>
  <c r="Q94" i="138"/>
  <c r="R94" i="138"/>
  <c r="S94" i="138"/>
  <c r="T94" i="138"/>
  <c r="U94" i="138"/>
  <c r="V94" i="138"/>
  <c r="C95" i="138"/>
  <c r="D95" i="138"/>
  <c r="E95" i="138"/>
  <c r="F95" i="138"/>
  <c r="G95" i="138"/>
  <c r="H95" i="138"/>
  <c r="I95" i="138"/>
  <c r="J95" i="138"/>
  <c r="K95" i="138"/>
  <c r="L95" i="138"/>
  <c r="M95" i="138"/>
  <c r="N95" i="138"/>
  <c r="O95" i="138"/>
  <c r="P95" i="138"/>
  <c r="Q95" i="138"/>
  <c r="R95" i="138"/>
  <c r="S95" i="138"/>
  <c r="T95" i="138"/>
  <c r="U95" i="138"/>
  <c r="V95" i="138"/>
  <c r="C96" i="138"/>
  <c r="D96" i="138"/>
  <c r="E96" i="138"/>
  <c r="F96" i="138"/>
  <c r="G96" i="138"/>
  <c r="H96" i="138"/>
  <c r="I96" i="138"/>
  <c r="J96" i="138"/>
  <c r="K96" i="138"/>
  <c r="L96" i="138"/>
  <c r="M96" i="138"/>
  <c r="N96" i="138"/>
  <c r="O96" i="138"/>
  <c r="P96" i="138"/>
  <c r="Q96" i="138"/>
  <c r="R96" i="138"/>
  <c r="S96" i="138"/>
  <c r="T96" i="138"/>
  <c r="U96" i="138"/>
  <c r="V96" i="138"/>
  <c r="C97" i="138"/>
  <c r="C83" i="147" s="1"/>
  <c r="D97" i="138"/>
  <c r="E97" i="138"/>
  <c r="F97" i="138"/>
  <c r="G97" i="138"/>
  <c r="H97" i="138"/>
  <c r="I97" i="138"/>
  <c r="J97" i="138"/>
  <c r="K97" i="138"/>
  <c r="L97" i="138"/>
  <c r="M97" i="138"/>
  <c r="N97" i="138"/>
  <c r="O97" i="138"/>
  <c r="P97" i="138"/>
  <c r="Q97" i="138"/>
  <c r="R97" i="138"/>
  <c r="S97" i="138"/>
  <c r="T97" i="138"/>
  <c r="U97" i="138"/>
  <c r="V97" i="138"/>
  <c r="C98" i="138"/>
  <c r="C84" i="147" s="1"/>
  <c r="D98" i="138"/>
  <c r="E98" i="138"/>
  <c r="F98" i="138"/>
  <c r="G98" i="138"/>
  <c r="H98" i="138"/>
  <c r="I98" i="138"/>
  <c r="J98" i="138"/>
  <c r="K98" i="138"/>
  <c r="L98" i="138"/>
  <c r="M98" i="138"/>
  <c r="N98" i="138"/>
  <c r="O98" i="138"/>
  <c r="P98" i="138"/>
  <c r="Q98" i="138"/>
  <c r="R98" i="138"/>
  <c r="S98" i="138"/>
  <c r="T98" i="138"/>
  <c r="U98" i="138"/>
  <c r="V98" i="138"/>
  <c r="C99" i="138"/>
  <c r="C88" i="147" s="1"/>
  <c r="D99" i="138"/>
  <c r="E99" i="138"/>
  <c r="F99" i="138"/>
  <c r="G99" i="138"/>
  <c r="H99" i="138"/>
  <c r="I99" i="138"/>
  <c r="J99" i="138"/>
  <c r="K99" i="138"/>
  <c r="L99" i="138"/>
  <c r="M99" i="138"/>
  <c r="N99" i="138"/>
  <c r="O99" i="138"/>
  <c r="P99" i="138"/>
  <c r="Q99" i="138"/>
  <c r="R99" i="138"/>
  <c r="S99" i="138"/>
  <c r="T99" i="138"/>
  <c r="U99" i="138"/>
  <c r="V99" i="138"/>
  <c r="C100" i="138"/>
  <c r="C85" i="147" s="1"/>
  <c r="D100" i="138"/>
  <c r="E100" i="138"/>
  <c r="F100" i="138"/>
  <c r="G100" i="138"/>
  <c r="H100" i="138"/>
  <c r="I100" i="138"/>
  <c r="J100" i="138"/>
  <c r="K100" i="138"/>
  <c r="L100" i="138"/>
  <c r="M100" i="138"/>
  <c r="N100" i="138"/>
  <c r="O100" i="138"/>
  <c r="P100" i="138"/>
  <c r="Q100" i="138"/>
  <c r="R100" i="138"/>
  <c r="S100" i="138"/>
  <c r="T100" i="138"/>
  <c r="U100" i="138"/>
  <c r="V100" i="138"/>
  <c r="C101" i="138"/>
  <c r="C86" i="147" s="1"/>
  <c r="D101" i="138"/>
  <c r="E101" i="138"/>
  <c r="F101" i="138"/>
  <c r="G101" i="138"/>
  <c r="H101" i="138"/>
  <c r="I101" i="138"/>
  <c r="J101" i="138"/>
  <c r="K101" i="138"/>
  <c r="L101" i="138"/>
  <c r="M101" i="138"/>
  <c r="N101" i="138"/>
  <c r="O101" i="138"/>
  <c r="P101" i="138"/>
  <c r="Q101" i="138"/>
  <c r="R101" i="138"/>
  <c r="S101" i="138"/>
  <c r="T101" i="138"/>
  <c r="U101" i="138"/>
  <c r="V101" i="138"/>
  <c r="C102" i="138"/>
  <c r="C87" i="147" s="1"/>
  <c r="D102" i="138"/>
  <c r="E102" i="138"/>
  <c r="F102" i="138"/>
  <c r="G102" i="138"/>
  <c r="H102" i="138"/>
  <c r="I102" i="138"/>
  <c r="J102" i="138"/>
  <c r="K102" i="138"/>
  <c r="L102" i="138"/>
  <c r="M102" i="138"/>
  <c r="N102" i="138"/>
  <c r="O102" i="138"/>
  <c r="P102" i="138"/>
  <c r="Q102" i="138"/>
  <c r="R102" i="138"/>
  <c r="S102" i="138"/>
  <c r="T102" i="138"/>
  <c r="U102" i="138"/>
  <c r="V102" i="138"/>
  <c r="C103" i="138"/>
  <c r="C89" i="147" s="1"/>
  <c r="D103" i="138"/>
  <c r="E103" i="138"/>
  <c r="F103" i="138"/>
  <c r="G103" i="138"/>
  <c r="H103" i="138"/>
  <c r="I103" i="138"/>
  <c r="J103" i="138"/>
  <c r="K103" i="138"/>
  <c r="L103" i="138"/>
  <c r="M103" i="138"/>
  <c r="N103" i="138"/>
  <c r="O103" i="138"/>
  <c r="P103" i="138"/>
  <c r="Q103" i="138"/>
  <c r="R103" i="138"/>
  <c r="S103" i="138"/>
  <c r="T103" i="138"/>
  <c r="U103" i="138"/>
  <c r="V103" i="138"/>
  <c r="C104" i="138"/>
  <c r="C90" i="147" s="1"/>
  <c r="D104" i="138"/>
  <c r="E104" i="138"/>
  <c r="F104" i="138"/>
  <c r="G104" i="138"/>
  <c r="H104" i="138"/>
  <c r="I104" i="138"/>
  <c r="J104" i="138"/>
  <c r="K104" i="138"/>
  <c r="L104" i="138"/>
  <c r="M104" i="138"/>
  <c r="N104" i="138"/>
  <c r="O104" i="138"/>
  <c r="P104" i="138"/>
  <c r="Q104" i="138"/>
  <c r="R104" i="138"/>
  <c r="S104" i="138"/>
  <c r="T104" i="138"/>
  <c r="U104" i="138"/>
  <c r="V104" i="138"/>
  <c r="C105" i="138"/>
  <c r="C91" i="147" s="1"/>
  <c r="D105" i="138"/>
  <c r="E105" i="138"/>
  <c r="F105" i="138"/>
  <c r="G105" i="138"/>
  <c r="H105" i="138"/>
  <c r="I105" i="138"/>
  <c r="J105" i="138"/>
  <c r="K105" i="138"/>
  <c r="L105" i="138"/>
  <c r="M105" i="138"/>
  <c r="N105" i="138"/>
  <c r="O105" i="138"/>
  <c r="P105" i="138"/>
  <c r="Q105" i="138"/>
  <c r="R105" i="138"/>
  <c r="S105" i="138"/>
  <c r="T105" i="138"/>
  <c r="U105" i="138"/>
  <c r="V105" i="138"/>
  <c r="C106" i="138"/>
  <c r="C92" i="147" s="1"/>
  <c r="D106" i="138"/>
  <c r="E106" i="138"/>
  <c r="F106" i="138"/>
  <c r="G106" i="138"/>
  <c r="H106" i="138"/>
  <c r="I106" i="138"/>
  <c r="J106" i="138"/>
  <c r="K106" i="138"/>
  <c r="L106" i="138"/>
  <c r="M106" i="138"/>
  <c r="N106" i="138"/>
  <c r="O106" i="138"/>
  <c r="P106" i="138"/>
  <c r="Q106" i="138"/>
  <c r="R106" i="138"/>
  <c r="S106" i="138"/>
  <c r="T106" i="138"/>
  <c r="U106" i="138"/>
  <c r="V106" i="138"/>
  <c r="C107" i="138"/>
  <c r="C93" i="147" s="1"/>
  <c r="D107" i="138"/>
  <c r="E107" i="138"/>
  <c r="F107" i="138"/>
  <c r="G107" i="138"/>
  <c r="H107" i="138"/>
  <c r="I107" i="138"/>
  <c r="J107" i="138"/>
  <c r="K107" i="138"/>
  <c r="L107" i="138"/>
  <c r="M107" i="138"/>
  <c r="N107" i="138"/>
  <c r="O107" i="138"/>
  <c r="P107" i="138"/>
  <c r="Q107" i="138"/>
  <c r="R107" i="138"/>
  <c r="S107" i="138"/>
  <c r="T107" i="138"/>
  <c r="U107" i="138"/>
  <c r="V107" i="138"/>
  <c r="C108" i="138"/>
  <c r="C94" i="147" s="1"/>
  <c r="D108" i="138"/>
  <c r="E108" i="138"/>
  <c r="F108" i="138"/>
  <c r="G108" i="138"/>
  <c r="H108" i="138"/>
  <c r="I108" i="138"/>
  <c r="J108" i="138"/>
  <c r="K108" i="138"/>
  <c r="L108" i="138"/>
  <c r="M108" i="138"/>
  <c r="N108" i="138"/>
  <c r="O108" i="138"/>
  <c r="P108" i="138"/>
  <c r="Q108" i="138"/>
  <c r="R108" i="138"/>
  <c r="S108" i="138"/>
  <c r="T108" i="138"/>
  <c r="U108" i="138"/>
  <c r="V108" i="138"/>
  <c r="C109" i="138"/>
  <c r="D109" i="138"/>
  <c r="E109" i="138"/>
  <c r="F109" i="138"/>
  <c r="G109" i="138"/>
  <c r="H109" i="138"/>
  <c r="I109" i="138"/>
  <c r="J109" i="138"/>
  <c r="K109" i="138"/>
  <c r="L109" i="138"/>
  <c r="M109" i="138"/>
  <c r="N109" i="138"/>
  <c r="O109" i="138"/>
  <c r="P109" i="138"/>
  <c r="Q109" i="138"/>
  <c r="R109" i="138"/>
  <c r="S109" i="138"/>
  <c r="T109" i="138"/>
  <c r="U109" i="138"/>
  <c r="V109" i="138"/>
  <c r="C110" i="138"/>
  <c r="C99" i="147" s="1"/>
  <c r="D110" i="138"/>
  <c r="E110" i="138"/>
  <c r="F110" i="138"/>
  <c r="G110" i="138"/>
  <c r="H110" i="138"/>
  <c r="I110" i="138"/>
  <c r="J110" i="138"/>
  <c r="K110" i="138"/>
  <c r="L110" i="138"/>
  <c r="M110" i="138"/>
  <c r="N110" i="138"/>
  <c r="O110" i="138"/>
  <c r="P110" i="138"/>
  <c r="Q110" i="138"/>
  <c r="R110" i="138"/>
  <c r="S110" i="138"/>
  <c r="T110" i="138"/>
  <c r="U110" i="138"/>
  <c r="V110" i="138"/>
  <c r="C111" i="138"/>
  <c r="C116" i="147" s="1"/>
  <c r="D111" i="138"/>
  <c r="E111" i="138"/>
  <c r="F111" i="138"/>
  <c r="G111" i="138"/>
  <c r="H111" i="138"/>
  <c r="I111" i="138"/>
  <c r="J111" i="138"/>
  <c r="K111" i="138"/>
  <c r="L111" i="138"/>
  <c r="M111" i="138"/>
  <c r="N111" i="138"/>
  <c r="O111" i="138"/>
  <c r="P111" i="138"/>
  <c r="Q111" i="138"/>
  <c r="R111" i="138"/>
  <c r="S111" i="138"/>
  <c r="T111" i="138"/>
  <c r="U111" i="138"/>
  <c r="V111" i="138"/>
  <c r="C112" i="138"/>
  <c r="C100" i="147" s="1"/>
  <c r="D112" i="138"/>
  <c r="E112" i="138"/>
  <c r="F112" i="138"/>
  <c r="G112" i="138"/>
  <c r="H112" i="138"/>
  <c r="I112" i="138"/>
  <c r="J112" i="138"/>
  <c r="K112" i="138"/>
  <c r="L112" i="138"/>
  <c r="M112" i="138"/>
  <c r="N112" i="138"/>
  <c r="O112" i="138"/>
  <c r="P112" i="138"/>
  <c r="Q112" i="138"/>
  <c r="R112" i="138"/>
  <c r="S112" i="138"/>
  <c r="T112" i="138"/>
  <c r="U112" i="138"/>
  <c r="V112" i="138"/>
  <c r="C113" i="138"/>
  <c r="C101" i="147" s="1"/>
  <c r="D113" i="138"/>
  <c r="E113" i="138"/>
  <c r="F113" i="138"/>
  <c r="G113" i="138"/>
  <c r="H113" i="138"/>
  <c r="I113" i="138"/>
  <c r="J113" i="138"/>
  <c r="K113" i="138"/>
  <c r="L113" i="138"/>
  <c r="M113" i="138"/>
  <c r="N113" i="138"/>
  <c r="O113" i="138"/>
  <c r="P113" i="138"/>
  <c r="Q113" i="138"/>
  <c r="R113" i="138"/>
  <c r="S113" i="138"/>
  <c r="T113" i="138"/>
  <c r="U113" i="138"/>
  <c r="V113" i="138"/>
  <c r="C114" i="138"/>
  <c r="C102" i="147" s="1"/>
  <c r="D114" i="138"/>
  <c r="E114" i="138"/>
  <c r="F114" i="138"/>
  <c r="G114" i="138"/>
  <c r="H114" i="138"/>
  <c r="I114" i="138"/>
  <c r="J114" i="138"/>
  <c r="K114" i="138"/>
  <c r="L114" i="138"/>
  <c r="M114" i="138"/>
  <c r="N114" i="138"/>
  <c r="O114" i="138"/>
  <c r="P114" i="138"/>
  <c r="Q114" i="138"/>
  <c r="R114" i="138"/>
  <c r="S114" i="138"/>
  <c r="T114" i="138"/>
  <c r="U114" i="138"/>
  <c r="V114" i="138"/>
  <c r="C115" i="138"/>
  <c r="C103" i="147" s="1"/>
  <c r="D115" i="138"/>
  <c r="E115" i="138"/>
  <c r="F115" i="138"/>
  <c r="G115" i="138"/>
  <c r="H115" i="138"/>
  <c r="I115" i="138"/>
  <c r="J115" i="138"/>
  <c r="K115" i="138"/>
  <c r="L115" i="138"/>
  <c r="M115" i="138"/>
  <c r="N115" i="138"/>
  <c r="O115" i="138"/>
  <c r="P115" i="138"/>
  <c r="Q115" i="138"/>
  <c r="R115" i="138"/>
  <c r="S115" i="138"/>
  <c r="T115" i="138"/>
  <c r="U115" i="138"/>
  <c r="V115" i="138"/>
  <c r="C116" i="138"/>
  <c r="C105" i="147" s="1"/>
  <c r="D116" i="138"/>
  <c r="E116" i="138"/>
  <c r="F116" i="138"/>
  <c r="G116" i="138"/>
  <c r="H116" i="138"/>
  <c r="I116" i="138"/>
  <c r="J116" i="138"/>
  <c r="K116" i="138"/>
  <c r="L116" i="138"/>
  <c r="M116" i="138"/>
  <c r="N116" i="138"/>
  <c r="O116" i="138"/>
  <c r="P116" i="138"/>
  <c r="Q116" i="138"/>
  <c r="R116" i="138"/>
  <c r="S116" i="138"/>
  <c r="T116" i="138"/>
  <c r="U116" i="138"/>
  <c r="V116" i="138"/>
  <c r="C117" i="138"/>
  <c r="C106" i="147" s="1"/>
  <c r="D117" i="138"/>
  <c r="E117" i="138"/>
  <c r="F117" i="138"/>
  <c r="G117" i="138"/>
  <c r="H117" i="138"/>
  <c r="I117" i="138"/>
  <c r="J117" i="138"/>
  <c r="K117" i="138"/>
  <c r="L117" i="138"/>
  <c r="M117" i="138"/>
  <c r="N117" i="138"/>
  <c r="O117" i="138"/>
  <c r="P117" i="138"/>
  <c r="Q117" i="138"/>
  <c r="R117" i="138"/>
  <c r="S117" i="138"/>
  <c r="T117" i="138"/>
  <c r="U117" i="138"/>
  <c r="V117" i="138"/>
  <c r="C118" i="138"/>
  <c r="C107" i="147" s="1"/>
  <c r="D118" i="138"/>
  <c r="E118" i="138"/>
  <c r="F118" i="138"/>
  <c r="G118" i="138"/>
  <c r="H118" i="138"/>
  <c r="I118" i="138"/>
  <c r="J118" i="138"/>
  <c r="K118" i="138"/>
  <c r="L118" i="138"/>
  <c r="M118" i="138"/>
  <c r="N118" i="138"/>
  <c r="O118" i="138"/>
  <c r="P118" i="138"/>
  <c r="Q118" i="138"/>
  <c r="R118" i="138"/>
  <c r="S118" i="138"/>
  <c r="T118" i="138"/>
  <c r="U118" i="138"/>
  <c r="V118" i="138"/>
  <c r="C119" i="138"/>
  <c r="C108" i="147" s="1"/>
  <c r="D119" i="138"/>
  <c r="E119" i="138"/>
  <c r="F119" i="138"/>
  <c r="G119" i="138"/>
  <c r="H119" i="138"/>
  <c r="I119" i="138"/>
  <c r="J119" i="138"/>
  <c r="K119" i="138"/>
  <c r="L119" i="138"/>
  <c r="M119" i="138"/>
  <c r="N119" i="138"/>
  <c r="O119" i="138"/>
  <c r="P119" i="138"/>
  <c r="Q119" i="138"/>
  <c r="R119" i="138"/>
  <c r="S119" i="138"/>
  <c r="T119" i="138"/>
  <c r="U119" i="138"/>
  <c r="V119" i="138"/>
  <c r="C120" i="138"/>
  <c r="C109" i="147" s="1"/>
  <c r="D120" i="138"/>
  <c r="E120" i="138"/>
  <c r="F120" i="138"/>
  <c r="G120" i="138"/>
  <c r="H120" i="138"/>
  <c r="I120" i="138"/>
  <c r="J120" i="138"/>
  <c r="K120" i="138"/>
  <c r="L120" i="138"/>
  <c r="M120" i="138"/>
  <c r="N120" i="138"/>
  <c r="O120" i="138"/>
  <c r="P120" i="138"/>
  <c r="Q120" i="138"/>
  <c r="R120" i="138"/>
  <c r="S120" i="138"/>
  <c r="T120" i="138"/>
  <c r="U120" i="138"/>
  <c r="V120" i="138"/>
  <c r="C121" i="138"/>
  <c r="C110" i="147" s="1"/>
  <c r="D121" i="138"/>
  <c r="E121" i="138"/>
  <c r="F121" i="138"/>
  <c r="G121" i="138"/>
  <c r="H121" i="138"/>
  <c r="I121" i="138"/>
  <c r="J121" i="138"/>
  <c r="K121" i="138"/>
  <c r="L121" i="138"/>
  <c r="M121" i="138"/>
  <c r="N121" i="138"/>
  <c r="O121" i="138"/>
  <c r="P121" i="138"/>
  <c r="Q121" i="138"/>
  <c r="R121" i="138"/>
  <c r="S121" i="138"/>
  <c r="T121" i="138"/>
  <c r="U121" i="138"/>
  <c r="V121" i="138"/>
  <c r="C122" i="138"/>
  <c r="C111" i="147" s="1"/>
  <c r="D122" i="138"/>
  <c r="E122" i="138"/>
  <c r="F122" i="138"/>
  <c r="G122" i="138"/>
  <c r="H122" i="138"/>
  <c r="I122" i="138"/>
  <c r="J122" i="138"/>
  <c r="K122" i="138"/>
  <c r="L122" i="138"/>
  <c r="M122" i="138"/>
  <c r="N122" i="138"/>
  <c r="O122" i="138"/>
  <c r="P122" i="138"/>
  <c r="Q122" i="138"/>
  <c r="R122" i="138"/>
  <c r="S122" i="138"/>
  <c r="T122" i="138"/>
  <c r="U122" i="138"/>
  <c r="V122" i="138"/>
  <c r="C123" i="138"/>
  <c r="C112" i="147" s="1"/>
  <c r="D123" i="138"/>
  <c r="E123" i="138"/>
  <c r="F123" i="138"/>
  <c r="G123" i="138"/>
  <c r="H123" i="138"/>
  <c r="I123" i="138"/>
  <c r="J123" i="138"/>
  <c r="K123" i="138"/>
  <c r="L123" i="138"/>
  <c r="M123" i="138"/>
  <c r="N123" i="138"/>
  <c r="O123" i="138"/>
  <c r="P123" i="138"/>
  <c r="Q123" i="138"/>
  <c r="R123" i="138"/>
  <c r="S123" i="138"/>
  <c r="T123" i="138"/>
  <c r="U123" i="138"/>
  <c r="V123" i="138"/>
  <c r="C124" i="138"/>
  <c r="C113" i="147" s="1"/>
  <c r="D124" i="138"/>
  <c r="E124" i="138"/>
  <c r="F124" i="138"/>
  <c r="G124" i="138"/>
  <c r="H124" i="138"/>
  <c r="I124" i="138"/>
  <c r="J124" i="138"/>
  <c r="K124" i="138"/>
  <c r="L124" i="138"/>
  <c r="M124" i="138"/>
  <c r="N124" i="138"/>
  <c r="O124" i="138"/>
  <c r="P124" i="138"/>
  <c r="Q124" i="138"/>
  <c r="R124" i="138"/>
  <c r="S124" i="138"/>
  <c r="T124" i="138"/>
  <c r="U124" i="138"/>
  <c r="V124" i="138"/>
  <c r="C125" i="138"/>
  <c r="C114" i="147" s="1"/>
  <c r="D125" i="138"/>
  <c r="E125" i="138"/>
  <c r="F125" i="138"/>
  <c r="G125" i="138"/>
  <c r="H125" i="138"/>
  <c r="I125" i="138"/>
  <c r="J125" i="138"/>
  <c r="K125" i="138"/>
  <c r="L125" i="138"/>
  <c r="M125" i="138"/>
  <c r="N125" i="138"/>
  <c r="O125" i="138"/>
  <c r="P125" i="138"/>
  <c r="Q125" i="138"/>
  <c r="R125" i="138"/>
  <c r="S125" i="138"/>
  <c r="T125" i="138"/>
  <c r="U125" i="138"/>
  <c r="V125" i="138"/>
  <c r="C126" i="138"/>
  <c r="C115" i="147" s="1"/>
  <c r="D126" i="138"/>
  <c r="E126" i="138"/>
  <c r="F126" i="138"/>
  <c r="G126" i="138"/>
  <c r="H126" i="138"/>
  <c r="I126" i="138"/>
  <c r="J126" i="138"/>
  <c r="K126" i="138"/>
  <c r="L126" i="138"/>
  <c r="M126" i="138"/>
  <c r="N126" i="138"/>
  <c r="O126" i="138"/>
  <c r="P126" i="138"/>
  <c r="Q126" i="138"/>
  <c r="R126" i="138"/>
  <c r="S126" i="138"/>
  <c r="T126" i="138"/>
  <c r="U126" i="138"/>
  <c r="V126" i="138"/>
  <c r="D80" i="138"/>
  <c r="D152" i="138" s="1"/>
  <c r="E80" i="138"/>
  <c r="F80" i="138"/>
  <c r="G80" i="138"/>
  <c r="H80" i="138"/>
  <c r="I80" i="138"/>
  <c r="J80" i="138"/>
  <c r="K80" i="138"/>
  <c r="L80" i="138"/>
  <c r="M80" i="138"/>
  <c r="M152" i="138" s="1"/>
  <c r="N80" i="138"/>
  <c r="N152" i="138" s="1"/>
  <c r="O80" i="138"/>
  <c r="O152" i="138" s="1"/>
  <c r="P80" i="138"/>
  <c r="P152" i="138" s="1"/>
  <c r="Q80" i="138"/>
  <c r="R80" i="138"/>
  <c r="R152" i="138" s="1"/>
  <c r="S80" i="138"/>
  <c r="T80" i="138"/>
  <c r="T152" i="138" s="1"/>
  <c r="U80" i="138"/>
  <c r="U152" i="138" s="1"/>
  <c r="V80" i="138"/>
  <c r="C80" i="138"/>
  <c r="A128" i="138"/>
  <c r="A129" i="138"/>
  <c r="A130" i="138"/>
  <c r="A131" i="138"/>
  <c r="A132" i="138"/>
  <c r="A133" i="138"/>
  <c r="A134" i="138"/>
  <c r="A127" i="138"/>
  <c r="V216" i="138"/>
  <c r="U216" i="138"/>
  <c r="T216" i="138"/>
  <c r="S216" i="138"/>
  <c r="R216" i="138"/>
  <c r="Q216" i="138"/>
  <c r="P216" i="138"/>
  <c r="O216" i="138"/>
  <c r="N216" i="138"/>
  <c r="M216" i="138"/>
  <c r="L216" i="138"/>
  <c r="K216" i="138"/>
  <c r="J216" i="138"/>
  <c r="I216" i="138"/>
  <c r="H216" i="138"/>
  <c r="G216" i="138"/>
  <c r="F216" i="138"/>
  <c r="E216" i="138"/>
  <c r="D216" i="138"/>
  <c r="C216" i="138"/>
  <c r="V138" i="138"/>
  <c r="U138" i="138"/>
  <c r="T138" i="138"/>
  <c r="S138" i="138"/>
  <c r="R138" i="138"/>
  <c r="Q138" i="138"/>
  <c r="P138" i="138"/>
  <c r="O138" i="138"/>
  <c r="N138" i="138"/>
  <c r="M138" i="138"/>
  <c r="L138" i="138"/>
  <c r="K138" i="138"/>
  <c r="J138" i="138"/>
  <c r="I138" i="138"/>
  <c r="H138" i="138"/>
  <c r="G138" i="138"/>
  <c r="F138" i="138"/>
  <c r="E138" i="138"/>
  <c r="D138" i="138"/>
  <c r="C138" i="138"/>
  <c r="D60" i="138"/>
  <c r="E60" i="138"/>
  <c r="F60" i="138"/>
  <c r="G60" i="138"/>
  <c r="H60" i="138"/>
  <c r="I60" i="138"/>
  <c r="J60" i="138"/>
  <c r="K60" i="138"/>
  <c r="L60" i="138"/>
  <c r="M60" i="138"/>
  <c r="N60" i="138"/>
  <c r="O60" i="138"/>
  <c r="P60" i="138"/>
  <c r="Q60" i="138"/>
  <c r="R60" i="138"/>
  <c r="S60" i="138"/>
  <c r="T60" i="138"/>
  <c r="U60" i="138"/>
  <c r="V60" i="138"/>
  <c r="C60" i="138"/>
  <c r="AJ23" i="158" l="1"/>
  <c r="AE23" i="158"/>
  <c r="AG24" i="158"/>
  <c r="AH23" i="158"/>
  <c r="AK23" i="158"/>
  <c r="AE50" i="162"/>
  <c r="AL21" i="129"/>
  <c r="AO20" i="129"/>
  <c r="AM20" i="129" s="1"/>
  <c r="AF86" i="129"/>
  <c r="AF142" i="129"/>
  <c r="AN27" i="129"/>
  <c r="AF28" i="129"/>
  <c r="AM33" i="162"/>
  <c r="AK28" i="162"/>
  <c r="AN27" i="162"/>
  <c r="AL27" i="162" s="1"/>
  <c r="AI27" i="162"/>
  <c r="AO27" i="162" s="1"/>
  <c r="AJ20" i="129"/>
  <c r="AP20" i="129" s="1"/>
  <c r="G69" i="147"/>
  <c r="C69" i="147"/>
  <c r="R69" i="147"/>
  <c r="T69" i="147"/>
  <c r="I69" i="147"/>
  <c r="K69" i="147"/>
  <c r="P69" i="147"/>
  <c r="U69" i="147"/>
  <c r="F69" i="147"/>
  <c r="D69" i="147"/>
  <c r="O69" i="147"/>
  <c r="V69" i="147"/>
  <c r="S69" i="147"/>
  <c r="M69" i="147"/>
  <c r="H69" i="147"/>
  <c r="L69" i="147"/>
  <c r="E69" i="147"/>
  <c r="J69" i="147"/>
  <c r="Q69" i="147"/>
  <c r="N69" i="147"/>
  <c r="Q230" i="138"/>
  <c r="L152" i="138"/>
  <c r="K230" i="138"/>
  <c r="H152" i="138"/>
  <c r="H230" i="138"/>
  <c r="G230" i="138"/>
  <c r="F152" i="138"/>
  <c r="E152" i="138"/>
  <c r="E230" i="138"/>
  <c r="V152" i="138"/>
  <c r="V230" i="138"/>
  <c r="C152" i="138"/>
  <c r="C230" i="138"/>
  <c r="S152" i="138"/>
  <c r="V115" i="147"/>
  <c r="V188" i="147"/>
  <c r="V187" i="147"/>
  <c r="V114" i="147"/>
  <c r="V186" i="147"/>
  <c r="V113" i="147"/>
  <c r="V112" i="147"/>
  <c r="V185" i="147"/>
  <c r="V184" i="147"/>
  <c r="V111" i="147"/>
  <c r="V183" i="147"/>
  <c r="V110" i="147"/>
  <c r="V109" i="147"/>
  <c r="V182" i="147"/>
  <c r="V181" i="147"/>
  <c r="V108" i="147"/>
  <c r="V107" i="147"/>
  <c r="V180" i="147"/>
  <c r="V106" i="147"/>
  <c r="V179" i="147"/>
  <c r="V178" i="147"/>
  <c r="V105" i="147"/>
  <c r="V103" i="147"/>
  <c r="V176" i="147"/>
  <c r="V175" i="147"/>
  <c r="V102" i="147"/>
  <c r="V174" i="147"/>
  <c r="V101" i="147"/>
  <c r="V100" i="147"/>
  <c r="V173" i="147"/>
  <c r="V116" i="147"/>
  <c r="V189" i="147"/>
  <c r="V99" i="147"/>
  <c r="V172" i="147"/>
  <c r="V94" i="147"/>
  <c r="V167" i="147"/>
  <c r="V166" i="147"/>
  <c r="V93" i="147"/>
  <c r="V92" i="147"/>
  <c r="V165" i="147"/>
  <c r="V91" i="147"/>
  <c r="V164" i="147"/>
  <c r="V90" i="147"/>
  <c r="V163" i="147"/>
  <c r="V89" i="147"/>
  <c r="V162" i="147"/>
  <c r="V160" i="147"/>
  <c r="V87" i="147"/>
  <c r="V86" i="147"/>
  <c r="V159" i="147"/>
  <c r="V85" i="147"/>
  <c r="V158" i="147"/>
  <c r="V88" i="147"/>
  <c r="V161" i="147"/>
  <c r="V84" i="147"/>
  <c r="V157" i="147"/>
  <c r="V83" i="147"/>
  <c r="V156" i="147"/>
  <c r="V82" i="147"/>
  <c r="V155" i="147"/>
  <c r="V154" i="147"/>
  <c r="V81" i="147"/>
  <c r="V80" i="147"/>
  <c r="V153" i="147"/>
  <c r="V104" i="147"/>
  <c r="V177" i="147"/>
  <c r="V152" i="147"/>
  <c r="V79" i="147"/>
  <c r="V78" i="147"/>
  <c r="V151" i="147"/>
  <c r="V77" i="147"/>
  <c r="V150" i="147"/>
  <c r="V76" i="147"/>
  <c r="V149" i="147"/>
  <c r="V148" i="147"/>
  <c r="V75" i="147"/>
  <c r="C170" i="147"/>
  <c r="C171" i="147"/>
  <c r="C168" i="147"/>
  <c r="C169" i="147"/>
  <c r="G186" i="147"/>
  <c r="G113" i="147"/>
  <c r="G182" i="147"/>
  <c r="G109" i="147"/>
  <c r="G106" i="147"/>
  <c r="G179" i="147"/>
  <c r="G102" i="147"/>
  <c r="G175" i="147"/>
  <c r="G100" i="147"/>
  <c r="G173" i="147"/>
  <c r="G93" i="147"/>
  <c r="G166" i="147"/>
  <c r="G165" i="147"/>
  <c r="G92" i="147"/>
  <c r="G163" i="147"/>
  <c r="G90" i="147"/>
  <c r="G87" i="147"/>
  <c r="G160" i="147"/>
  <c r="G158" i="147"/>
  <c r="G85" i="147"/>
  <c r="G157" i="147"/>
  <c r="G84" i="147"/>
  <c r="G155" i="147"/>
  <c r="G82" i="147"/>
  <c r="G81" i="147"/>
  <c r="G154" i="147"/>
  <c r="G177" i="147"/>
  <c r="G104" i="147"/>
  <c r="G150" i="147"/>
  <c r="G77" i="147"/>
  <c r="G148" i="147"/>
  <c r="G75" i="147"/>
  <c r="F115" i="147"/>
  <c r="F188" i="147"/>
  <c r="F114" i="147"/>
  <c r="F187" i="147"/>
  <c r="F186" i="147"/>
  <c r="F113" i="147"/>
  <c r="F184" i="147"/>
  <c r="F111" i="147"/>
  <c r="F109" i="147"/>
  <c r="F182" i="147"/>
  <c r="F181" i="147"/>
  <c r="F108" i="147"/>
  <c r="F180" i="147"/>
  <c r="F107" i="147"/>
  <c r="F103" i="147"/>
  <c r="F176" i="147"/>
  <c r="F102" i="147"/>
  <c r="F175" i="147"/>
  <c r="F173" i="147"/>
  <c r="F100" i="147"/>
  <c r="F116" i="147"/>
  <c r="F189" i="147"/>
  <c r="F167" i="147"/>
  <c r="F94" i="147"/>
  <c r="F93" i="147"/>
  <c r="F166" i="147"/>
  <c r="F92" i="147"/>
  <c r="F165" i="147"/>
  <c r="F163" i="147"/>
  <c r="F90" i="147"/>
  <c r="F162" i="147"/>
  <c r="F89" i="147"/>
  <c r="F159" i="147"/>
  <c r="F86" i="147"/>
  <c r="F85" i="147"/>
  <c r="F158" i="147"/>
  <c r="F157" i="147"/>
  <c r="F84" i="147"/>
  <c r="F155" i="147"/>
  <c r="F82" i="147"/>
  <c r="F81" i="147"/>
  <c r="F154" i="147"/>
  <c r="F177" i="147"/>
  <c r="F104" i="147"/>
  <c r="F79" i="147"/>
  <c r="F152" i="147"/>
  <c r="F150" i="147"/>
  <c r="F77" i="147"/>
  <c r="F75" i="147"/>
  <c r="F148" i="147"/>
  <c r="E187" i="147"/>
  <c r="E114" i="147"/>
  <c r="E183" i="147"/>
  <c r="E110" i="147"/>
  <c r="E108" i="147"/>
  <c r="E181" i="147"/>
  <c r="E179" i="147"/>
  <c r="E106" i="147"/>
  <c r="E102" i="147"/>
  <c r="E175" i="147"/>
  <c r="E189" i="147"/>
  <c r="E116" i="147"/>
  <c r="E93" i="147"/>
  <c r="E166" i="147"/>
  <c r="E92" i="147"/>
  <c r="E165" i="147"/>
  <c r="E163" i="147"/>
  <c r="E90" i="147"/>
  <c r="E160" i="147"/>
  <c r="E87" i="147"/>
  <c r="E85" i="147"/>
  <c r="E158" i="147"/>
  <c r="E84" i="147"/>
  <c r="E157" i="147"/>
  <c r="E177" i="147"/>
  <c r="E104" i="147"/>
  <c r="E151" i="147"/>
  <c r="E78" i="147"/>
  <c r="E150" i="147"/>
  <c r="E77" i="147"/>
  <c r="E148" i="147"/>
  <c r="E75" i="147"/>
  <c r="D188" i="147"/>
  <c r="D115" i="147"/>
  <c r="D113" i="147"/>
  <c r="D186" i="147"/>
  <c r="D111" i="147"/>
  <c r="D184" i="147"/>
  <c r="D108" i="147"/>
  <c r="D181" i="147"/>
  <c r="D106" i="147"/>
  <c r="D179" i="147"/>
  <c r="D105" i="147"/>
  <c r="D178" i="147"/>
  <c r="D101" i="147"/>
  <c r="D174" i="147"/>
  <c r="D94" i="147"/>
  <c r="D167" i="147"/>
  <c r="D92" i="147"/>
  <c r="D165" i="147"/>
  <c r="D90" i="147"/>
  <c r="D163" i="147"/>
  <c r="D89" i="147"/>
  <c r="D162" i="147"/>
  <c r="D159" i="147"/>
  <c r="D86" i="147"/>
  <c r="D158" i="147"/>
  <c r="D85" i="147"/>
  <c r="D157" i="147"/>
  <c r="D84" i="147"/>
  <c r="D177" i="147"/>
  <c r="D104" i="147"/>
  <c r="D152" i="147"/>
  <c r="D79" i="147"/>
  <c r="D150" i="147"/>
  <c r="D77" i="147"/>
  <c r="D149" i="147"/>
  <c r="D76" i="147"/>
  <c r="U187" i="147"/>
  <c r="U114" i="147"/>
  <c r="U185" i="147"/>
  <c r="U112" i="147"/>
  <c r="U184" i="147"/>
  <c r="U111" i="147"/>
  <c r="U109" i="147"/>
  <c r="U182" i="147"/>
  <c r="U105" i="147"/>
  <c r="U178" i="147"/>
  <c r="U116" i="147"/>
  <c r="U189" i="147"/>
  <c r="U94" i="147"/>
  <c r="U167" i="147"/>
  <c r="U92" i="147"/>
  <c r="U165" i="147"/>
  <c r="U162" i="147"/>
  <c r="U89" i="147"/>
  <c r="U86" i="147"/>
  <c r="U159" i="147"/>
  <c r="U161" i="147"/>
  <c r="U88" i="147"/>
  <c r="U156" i="147"/>
  <c r="U83" i="147"/>
  <c r="U82" i="147"/>
  <c r="U155" i="147"/>
  <c r="U177" i="147"/>
  <c r="U104" i="147"/>
  <c r="U77" i="147"/>
  <c r="U150" i="147"/>
  <c r="U76" i="147"/>
  <c r="U149" i="147"/>
  <c r="T112" i="147"/>
  <c r="T185" i="147"/>
  <c r="T181" i="147"/>
  <c r="T108" i="147"/>
  <c r="T176" i="147"/>
  <c r="T103" i="147"/>
  <c r="T116" i="147"/>
  <c r="T189" i="147"/>
  <c r="T94" i="147"/>
  <c r="T167" i="147"/>
  <c r="T163" i="147"/>
  <c r="T90" i="147"/>
  <c r="T87" i="147"/>
  <c r="T160" i="147"/>
  <c r="T161" i="147"/>
  <c r="T88" i="147"/>
  <c r="T80" i="147"/>
  <c r="T153" i="147"/>
  <c r="T151" i="147"/>
  <c r="T78" i="147"/>
  <c r="S188" i="147"/>
  <c r="S115" i="147"/>
  <c r="S111" i="147"/>
  <c r="S184" i="147"/>
  <c r="S180" i="147"/>
  <c r="S107" i="147"/>
  <c r="S105" i="147"/>
  <c r="S178" i="147"/>
  <c r="S102" i="147"/>
  <c r="S175" i="147"/>
  <c r="S173" i="147"/>
  <c r="S100" i="147"/>
  <c r="S116" i="147"/>
  <c r="S189" i="147"/>
  <c r="S99" i="147"/>
  <c r="S172" i="147"/>
  <c r="S94" i="147"/>
  <c r="S167" i="147"/>
  <c r="S91" i="147"/>
  <c r="S164" i="147"/>
  <c r="S89" i="147"/>
  <c r="S162" i="147"/>
  <c r="S161" i="147"/>
  <c r="S88" i="147"/>
  <c r="S83" i="147"/>
  <c r="S156" i="147"/>
  <c r="S80" i="147"/>
  <c r="S153" i="147"/>
  <c r="S79" i="147"/>
  <c r="S152" i="147"/>
  <c r="S150" i="147"/>
  <c r="S77" i="147"/>
  <c r="S148" i="147"/>
  <c r="S75" i="147"/>
  <c r="R115" i="147"/>
  <c r="R188" i="147"/>
  <c r="R114" i="147"/>
  <c r="R187" i="147"/>
  <c r="R111" i="147"/>
  <c r="R184" i="147"/>
  <c r="R109" i="147"/>
  <c r="R182" i="147"/>
  <c r="R107" i="147"/>
  <c r="R180" i="147"/>
  <c r="R105" i="147"/>
  <c r="R178" i="147"/>
  <c r="R174" i="147"/>
  <c r="R101" i="147"/>
  <c r="R93" i="147"/>
  <c r="R166" i="147"/>
  <c r="R165" i="147"/>
  <c r="R92" i="147"/>
  <c r="R90" i="147"/>
  <c r="R163" i="147"/>
  <c r="R86" i="147"/>
  <c r="R159" i="147"/>
  <c r="R161" i="147"/>
  <c r="R88" i="147"/>
  <c r="R156" i="147"/>
  <c r="R83" i="147"/>
  <c r="R155" i="147"/>
  <c r="R82" i="147"/>
  <c r="R153" i="147"/>
  <c r="R80" i="147"/>
  <c r="R78" i="147"/>
  <c r="R151" i="147"/>
  <c r="Q188" i="147"/>
  <c r="Q115" i="147"/>
  <c r="Q179" i="147"/>
  <c r="Q106" i="147"/>
  <c r="Q94" i="147"/>
  <c r="Q167" i="147"/>
  <c r="Q88" i="147"/>
  <c r="Q161" i="147"/>
  <c r="Q104" i="147"/>
  <c r="Q177" i="147"/>
  <c r="P187" i="147"/>
  <c r="P114" i="147"/>
  <c r="P185" i="147"/>
  <c r="P112" i="147"/>
  <c r="P184" i="147"/>
  <c r="P111" i="147"/>
  <c r="P183" i="147"/>
  <c r="P110" i="147"/>
  <c r="P180" i="147"/>
  <c r="P107" i="147"/>
  <c r="P103" i="147"/>
  <c r="P176" i="147"/>
  <c r="P174" i="147"/>
  <c r="P101" i="147"/>
  <c r="P93" i="147"/>
  <c r="P166" i="147"/>
  <c r="P163" i="147"/>
  <c r="P90" i="147"/>
  <c r="P86" i="147"/>
  <c r="P159" i="147"/>
  <c r="P88" i="147"/>
  <c r="P161" i="147"/>
  <c r="P155" i="147"/>
  <c r="P82" i="147"/>
  <c r="P81" i="147"/>
  <c r="P154" i="147"/>
  <c r="P152" i="147"/>
  <c r="P79" i="147"/>
  <c r="P151" i="147"/>
  <c r="P78" i="147"/>
  <c r="P150" i="147"/>
  <c r="P77" i="147"/>
  <c r="P75" i="147"/>
  <c r="P148" i="147"/>
  <c r="O188" i="147"/>
  <c r="O115" i="147"/>
  <c r="O114" i="147"/>
  <c r="O187" i="147"/>
  <c r="O186" i="147"/>
  <c r="O113" i="147"/>
  <c r="O185" i="147"/>
  <c r="O112" i="147"/>
  <c r="O184" i="147"/>
  <c r="O111" i="147"/>
  <c r="O183" i="147"/>
  <c r="O110" i="147"/>
  <c r="O109" i="147"/>
  <c r="O182" i="147"/>
  <c r="O108" i="147"/>
  <c r="O181" i="147"/>
  <c r="O107" i="147"/>
  <c r="O180" i="147"/>
  <c r="O179" i="147"/>
  <c r="O106" i="147"/>
  <c r="O178" i="147"/>
  <c r="O105" i="147"/>
  <c r="O103" i="147"/>
  <c r="O176" i="147"/>
  <c r="O102" i="147"/>
  <c r="O175" i="147"/>
  <c r="O101" i="147"/>
  <c r="O174" i="147"/>
  <c r="O173" i="147"/>
  <c r="O100" i="147"/>
  <c r="O116" i="147"/>
  <c r="O189" i="147"/>
  <c r="O99" i="147"/>
  <c r="O172" i="147"/>
  <c r="O94" i="147"/>
  <c r="O167" i="147"/>
  <c r="O93" i="147"/>
  <c r="O166" i="147"/>
  <c r="O92" i="147"/>
  <c r="O165" i="147"/>
  <c r="O164" i="147"/>
  <c r="O91" i="147"/>
  <c r="O163" i="147"/>
  <c r="O90" i="147"/>
  <c r="O162" i="147"/>
  <c r="O89" i="147"/>
  <c r="O87" i="147"/>
  <c r="O160" i="147"/>
  <c r="O86" i="147"/>
  <c r="O159" i="147"/>
  <c r="O85" i="147"/>
  <c r="O158" i="147"/>
  <c r="O161" i="147"/>
  <c r="O88" i="147"/>
  <c r="O84" i="147"/>
  <c r="O157" i="147"/>
  <c r="O156" i="147"/>
  <c r="O83" i="147"/>
  <c r="O155" i="147"/>
  <c r="O82" i="147"/>
  <c r="O154" i="147"/>
  <c r="O81" i="147"/>
  <c r="O80" i="147"/>
  <c r="O153" i="147"/>
  <c r="O177" i="147"/>
  <c r="O104" i="147"/>
  <c r="O152" i="147"/>
  <c r="O79" i="147"/>
  <c r="O151" i="147"/>
  <c r="O78" i="147"/>
  <c r="O150" i="147"/>
  <c r="O77" i="147"/>
  <c r="O149" i="147"/>
  <c r="O76" i="147"/>
  <c r="O75" i="147"/>
  <c r="O148" i="147"/>
  <c r="N188" i="147"/>
  <c r="N115" i="147"/>
  <c r="N187" i="147"/>
  <c r="N114" i="147"/>
  <c r="N186" i="147"/>
  <c r="N113" i="147"/>
  <c r="N185" i="147"/>
  <c r="N112" i="147"/>
  <c r="N111" i="147"/>
  <c r="N184" i="147"/>
  <c r="N110" i="147"/>
  <c r="N183" i="147"/>
  <c r="N182" i="147"/>
  <c r="N109" i="147"/>
  <c r="N181" i="147"/>
  <c r="N108" i="147"/>
  <c r="N107" i="147"/>
  <c r="N180" i="147"/>
  <c r="N179" i="147"/>
  <c r="N106" i="147"/>
  <c r="N105" i="147"/>
  <c r="N178" i="147"/>
  <c r="N103" i="147"/>
  <c r="N176" i="147"/>
  <c r="N175" i="147"/>
  <c r="N102" i="147"/>
  <c r="N101" i="147"/>
  <c r="N174" i="147"/>
  <c r="N173" i="147"/>
  <c r="N100" i="147"/>
  <c r="N116" i="147"/>
  <c r="N189" i="147"/>
  <c r="N99" i="147"/>
  <c r="N172" i="147"/>
  <c r="N167" i="147"/>
  <c r="N94" i="147"/>
  <c r="N93" i="147"/>
  <c r="N166" i="147"/>
  <c r="N165" i="147"/>
  <c r="N92" i="147"/>
  <c r="N164" i="147"/>
  <c r="N91" i="147"/>
  <c r="N163" i="147"/>
  <c r="N90" i="147"/>
  <c r="N89" i="147"/>
  <c r="N162" i="147"/>
  <c r="N160" i="147"/>
  <c r="N87" i="147"/>
  <c r="N86" i="147"/>
  <c r="N159" i="147"/>
  <c r="N158" i="147"/>
  <c r="N85" i="147"/>
  <c r="N88" i="147"/>
  <c r="N161" i="147"/>
  <c r="N84" i="147"/>
  <c r="N157" i="147"/>
  <c r="N83" i="147"/>
  <c r="N156" i="147"/>
  <c r="N155" i="147"/>
  <c r="N82" i="147"/>
  <c r="N154" i="147"/>
  <c r="N81" i="147"/>
  <c r="N80" i="147"/>
  <c r="N153" i="147"/>
  <c r="N104" i="147"/>
  <c r="N177" i="147"/>
  <c r="N79" i="147"/>
  <c r="N152" i="147"/>
  <c r="N151" i="147"/>
  <c r="N78" i="147"/>
  <c r="N77" i="147"/>
  <c r="N150" i="147"/>
  <c r="N149" i="147"/>
  <c r="N76" i="147"/>
  <c r="N148" i="147"/>
  <c r="N75" i="147"/>
  <c r="G172" i="147"/>
  <c r="G99" i="147"/>
  <c r="F110" i="147"/>
  <c r="F183" i="147"/>
  <c r="E173" i="147"/>
  <c r="E100" i="147"/>
  <c r="D189" i="147"/>
  <c r="D116" i="147"/>
  <c r="U99" i="147"/>
  <c r="U172" i="147"/>
  <c r="T91" i="147"/>
  <c r="T164" i="147"/>
  <c r="S182" i="147"/>
  <c r="S109" i="147"/>
  <c r="S76" i="147"/>
  <c r="S149" i="147"/>
  <c r="R79" i="147"/>
  <c r="R152" i="147"/>
  <c r="Q92" i="147"/>
  <c r="Q165" i="147"/>
  <c r="P116" i="147"/>
  <c r="P189" i="147"/>
  <c r="P104" i="147"/>
  <c r="P177" i="147"/>
  <c r="M172" i="147"/>
  <c r="M99" i="147"/>
  <c r="L115" i="147"/>
  <c r="L188" i="147"/>
  <c r="L187" i="147"/>
  <c r="L114" i="147"/>
  <c r="L186" i="147"/>
  <c r="L113" i="147"/>
  <c r="L112" i="147"/>
  <c r="L185" i="147"/>
  <c r="L184" i="147"/>
  <c r="L111" i="147"/>
  <c r="L183" i="147"/>
  <c r="L110" i="147"/>
  <c r="L182" i="147"/>
  <c r="L109" i="147"/>
  <c r="L108" i="147"/>
  <c r="L181" i="147"/>
  <c r="L180" i="147"/>
  <c r="L107" i="147"/>
  <c r="L179" i="147"/>
  <c r="L106" i="147"/>
  <c r="L178" i="147"/>
  <c r="L105" i="147"/>
  <c r="L103" i="147"/>
  <c r="L176" i="147"/>
  <c r="L175" i="147"/>
  <c r="L102" i="147"/>
  <c r="L101" i="147"/>
  <c r="L174" i="147"/>
  <c r="L173" i="147"/>
  <c r="L100" i="147"/>
  <c r="L189" i="147"/>
  <c r="L116" i="147"/>
  <c r="L99" i="147"/>
  <c r="L172" i="147"/>
  <c r="L94" i="147"/>
  <c r="L167" i="147"/>
  <c r="L166" i="147"/>
  <c r="L93" i="147"/>
  <c r="L165" i="147"/>
  <c r="L92" i="147"/>
  <c r="L164" i="147"/>
  <c r="L91" i="147"/>
  <c r="L163" i="147"/>
  <c r="L90" i="147"/>
  <c r="L89" i="147"/>
  <c r="L162" i="147"/>
  <c r="L160" i="147"/>
  <c r="L87" i="147"/>
  <c r="L86" i="147"/>
  <c r="L159" i="147"/>
  <c r="L85" i="147"/>
  <c r="L158" i="147"/>
  <c r="L88" i="147"/>
  <c r="L161" i="147"/>
  <c r="L84" i="147"/>
  <c r="L157" i="147"/>
  <c r="L83" i="147"/>
  <c r="L156" i="147"/>
  <c r="L82" i="147"/>
  <c r="L155" i="147"/>
  <c r="L81" i="147"/>
  <c r="L154" i="147"/>
  <c r="L80" i="147"/>
  <c r="L153" i="147"/>
  <c r="L177" i="147"/>
  <c r="L104" i="147"/>
  <c r="L79" i="147"/>
  <c r="L152" i="147"/>
  <c r="L151" i="147"/>
  <c r="L78" i="147"/>
  <c r="L150" i="147"/>
  <c r="L77" i="147"/>
  <c r="L76" i="147"/>
  <c r="L149" i="147"/>
  <c r="L75" i="147"/>
  <c r="L148" i="147"/>
  <c r="G111" i="147"/>
  <c r="G184" i="147"/>
  <c r="G151" i="147"/>
  <c r="G78" i="147"/>
  <c r="F172" i="147"/>
  <c r="F99" i="147"/>
  <c r="E80" i="147"/>
  <c r="E153" i="147"/>
  <c r="D182" i="147"/>
  <c r="D109" i="147"/>
  <c r="D82" i="147"/>
  <c r="D155" i="147"/>
  <c r="U103" i="147"/>
  <c r="U176" i="147"/>
  <c r="U148" i="147"/>
  <c r="U75" i="147"/>
  <c r="T85" i="147"/>
  <c r="T158" i="147"/>
  <c r="S176" i="147"/>
  <c r="S103" i="147"/>
  <c r="S154" i="147"/>
  <c r="S81" i="147"/>
  <c r="R185" i="147"/>
  <c r="R112" i="147"/>
  <c r="R75" i="147"/>
  <c r="R148" i="147"/>
  <c r="Q159" i="147"/>
  <c r="Q86" i="147"/>
  <c r="P115" i="147"/>
  <c r="P188" i="147"/>
  <c r="P160" i="147"/>
  <c r="P87" i="147"/>
  <c r="M174" i="147"/>
  <c r="M101" i="147"/>
  <c r="K188" i="147"/>
  <c r="K115" i="147"/>
  <c r="K187" i="147"/>
  <c r="K114" i="147"/>
  <c r="K186" i="147"/>
  <c r="K113" i="147"/>
  <c r="K185" i="147"/>
  <c r="K112" i="147"/>
  <c r="K184" i="147"/>
  <c r="K111" i="147"/>
  <c r="K183" i="147"/>
  <c r="K110" i="147"/>
  <c r="K182" i="147"/>
  <c r="K109" i="147"/>
  <c r="K181" i="147"/>
  <c r="K108" i="147"/>
  <c r="K107" i="147"/>
  <c r="K180" i="147"/>
  <c r="K179" i="147"/>
  <c r="K106" i="147"/>
  <c r="K178" i="147"/>
  <c r="K105" i="147"/>
  <c r="K176" i="147"/>
  <c r="K103" i="147"/>
  <c r="K102" i="147"/>
  <c r="K175" i="147"/>
  <c r="K101" i="147"/>
  <c r="K174" i="147"/>
  <c r="K173" i="147"/>
  <c r="K100" i="147"/>
  <c r="K189" i="147"/>
  <c r="K116" i="147"/>
  <c r="K172" i="147"/>
  <c r="K99" i="147"/>
  <c r="K167" i="147"/>
  <c r="K94" i="147"/>
  <c r="K166" i="147"/>
  <c r="K93" i="147"/>
  <c r="K165" i="147"/>
  <c r="K92" i="147"/>
  <c r="K164" i="147"/>
  <c r="K91" i="147"/>
  <c r="K163" i="147"/>
  <c r="K90" i="147"/>
  <c r="K89" i="147"/>
  <c r="K162" i="147"/>
  <c r="K160" i="147"/>
  <c r="K87" i="147"/>
  <c r="K86" i="147"/>
  <c r="K159" i="147"/>
  <c r="K158" i="147"/>
  <c r="K85" i="147"/>
  <c r="K161" i="147"/>
  <c r="K88" i="147"/>
  <c r="K84" i="147"/>
  <c r="K157" i="147"/>
  <c r="K156" i="147"/>
  <c r="K83" i="147"/>
  <c r="K155" i="147"/>
  <c r="K82" i="147"/>
  <c r="K81" i="147"/>
  <c r="K154" i="147"/>
  <c r="K80" i="147"/>
  <c r="K153" i="147"/>
  <c r="K177" i="147"/>
  <c r="K104" i="147"/>
  <c r="K152" i="147"/>
  <c r="K79" i="147"/>
  <c r="K151" i="147"/>
  <c r="K78" i="147"/>
  <c r="K150" i="147"/>
  <c r="K77" i="147"/>
  <c r="K149" i="147"/>
  <c r="K76" i="147"/>
  <c r="K148" i="147"/>
  <c r="K75" i="147"/>
  <c r="G178" i="147"/>
  <c r="G105" i="147"/>
  <c r="F76" i="147"/>
  <c r="F149" i="147"/>
  <c r="E112" i="147"/>
  <c r="E185" i="147"/>
  <c r="D164" i="147"/>
  <c r="D91" i="147"/>
  <c r="U91" i="147"/>
  <c r="U164" i="147"/>
  <c r="T187" i="147"/>
  <c r="T114" i="147"/>
  <c r="S160" i="147"/>
  <c r="S87" i="147"/>
  <c r="R108" i="147"/>
  <c r="R181" i="147"/>
  <c r="Q189" i="147"/>
  <c r="Q116" i="147"/>
  <c r="P178" i="147"/>
  <c r="P105" i="147"/>
  <c r="M184" i="147"/>
  <c r="M111" i="147"/>
  <c r="M78" i="147"/>
  <c r="M151" i="147"/>
  <c r="J188" i="147"/>
  <c r="J115" i="147"/>
  <c r="J110" i="147"/>
  <c r="J183" i="147"/>
  <c r="J178" i="147"/>
  <c r="J105" i="147"/>
  <c r="J102" i="147"/>
  <c r="J175" i="147"/>
  <c r="J174" i="147"/>
  <c r="J101" i="147"/>
  <c r="J173" i="147"/>
  <c r="J100" i="147"/>
  <c r="J116" i="147"/>
  <c r="J189" i="147"/>
  <c r="J94" i="147"/>
  <c r="J167" i="147"/>
  <c r="J93" i="147"/>
  <c r="J166" i="147"/>
  <c r="J165" i="147"/>
  <c r="J92" i="147"/>
  <c r="J91" i="147"/>
  <c r="J164" i="147"/>
  <c r="J163" i="147"/>
  <c r="J90" i="147"/>
  <c r="J162" i="147"/>
  <c r="J89" i="147"/>
  <c r="J160" i="147"/>
  <c r="J87" i="147"/>
  <c r="J159" i="147"/>
  <c r="J86" i="147"/>
  <c r="J85" i="147"/>
  <c r="J158" i="147"/>
  <c r="J88" i="147"/>
  <c r="J161" i="147"/>
  <c r="J84" i="147"/>
  <c r="J157" i="147"/>
  <c r="J156" i="147"/>
  <c r="J83" i="147"/>
  <c r="J155" i="147"/>
  <c r="J82" i="147"/>
  <c r="J81" i="147"/>
  <c r="J154" i="147"/>
  <c r="J80" i="147"/>
  <c r="J153" i="147"/>
  <c r="J104" i="147"/>
  <c r="J177" i="147"/>
  <c r="J152" i="147"/>
  <c r="J79" i="147"/>
  <c r="J78" i="147"/>
  <c r="J151" i="147"/>
  <c r="J77" i="147"/>
  <c r="J150" i="147"/>
  <c r="J149" i="147"/>
  <c r="J76" i="147"/>
  <c r="J148" i="147"/>
  <c r="J75" i="147"/>
  <c r="C142" i="147"/>
  <c r="F105" i="147"/>
  <c r="F178" i="147"/>
  <c r="E178" i="147"/>
  <c r="E105" i="147"/>
  <c r="E76" i="147"/>
  <c r="E149" i="147"/>
  <c r="D88" i="147"/>
  <c r="D161" i="147"/>
  <c r="U174" i="147"/>
  <c r="U101" i="147"/>
  <c r="T157" i="147"/>
  <c r="T84" i="147"/>
  <c r="S158" i="147"/>
  <c r="S85" i="147"/>
  <c r="R189" i="147"/>
  <c r="R116" i="147"/>
  <c r="Q149" i="147"/>
  <c r="Q76" i="147"/>
  <c r="P165" i="147"/>
  <c r="P92" i="147"/>
  <c r="M153" i="147"/>
  <c r="M80" i="147"/>
  <c r="J185" i="147"/>
  <c r="J112" i="147"/>
  <c r="I111" i="147"/>
  <c r="I184" i="147"/>
  <c r="I109" i="147"/>
  <c r="I182" i="147"/>
  <c r="I180" i="147"/>
  <c r="I107" i="147"/>
  <c r="I179" i="147"/>
  <c r="I106" i="147"/>
  <c r="I176" i="147"/>
  <c r="I103" i="147"/>
  <c r="I102" i="147"/>
  <c r="I175" i="147"/>
  <c r="I101" i="147"/>
  <c r="I174" i="147"/>
  <c r="I173" i="147"/>
  <c r="I100" i="147"/>
  <c r="I116" i="147"/>
  <c r="I189" i="147"/>
  <c r="I99" i="147"/>
  <c r="I172" i="147"/>
  <c r="I94" i="147"/>
  <c r="I167" i="147"/>
  <c r="I166" i="147"/>
  <c r="I93" i="147"/>
  <c r="I92" i="147"/>
  <c r="I165" i="147"/>
  <c r="I164" i="147"/>
  <c r="I91" i="147"/>
  <c r="I163" i="147"/>
  <c r="I90" i="147"/>
  <c r="I89" i="147"/>
  <c r="I162" i="147"/>
  <c r="I87" i="147"/>
  <c r="I160" i="147"/>
  <c r="I159" i="147"/>
  <c r="I86" i="147"/>
  <c r="I158" i="147"/>
  <c r="I85" i="147"/>
  <c r="I161" i="147"/>
  <c r="I88" i="147"/>
  <c r="I157" i="147"/>
  <c r="I84" i="147"/>
  <c r="I156" i="147"/>
  <c r="I83" i="147"/>
  <c r="I155" i="147"/>
  <c r="I82" i="147"/>
  <c r="I154" i="147"/>
  <c r="I81" i="147"/>
  <c r="I80" i="147"/>
  <c r="I153" i="147"/>
  <c r="I177" i="147"/>
  <c r="I104" i="147"/>
  <c r="I152" i="147"/>
  <c r="I79" i="147"/>
  <c r="I151" i="147"/>
  <c r="I78" i="147"/>
  <c r="I150" i="147"/>
  <c r="I77" i="147"/>
  <c r="I76" i="147"/>
  <c r="I149" i="147"/>
  <c r="I148" i="147"/>
  <c r="I75" i="147"/>
  <c r="G188" i="147"/>
  <c r="G115" i="147"/>
  <c r="G114" i="147"/>
  <c r="G187" i="147"/>
  <c r="G185" i="147"/>
  <c r="G112" i="147"/>
  <c r="G110" i="147"/>
  <c r="G183" i="147"/>
  <c r="G108" i="147"/>
  <c r="G181" i="147"/>
  <c r="G107" i="147"/>
  <c r="G180" i="147"/>
  <c r="G176" i="147"/>
  <c r="G103" i="147"/>
  <c r="G101" i="147"/>
  <c r="G174" i="147"/>
  <c r="G116" i="147"/>
  <c r="G189" i="147"/>
  <c r="G94" i="147"/>
  <c r="G167" i="147"/>
  <c r="G91" i="147"/>
  <c r="G164" i="147"/>
  <c r="G162" i="147"/>
  <c r="G89" i="147"/>
  <c r="G86" i="147"/>
  <c r="G159" i="147"/>
  <c r="G161" i="147"/>
  <c r="G88" i="147"/>
  <c r="G156" i="147"/>
  <c r="G83" i="147"/>
  <c r="G153" i="147"/>
  <c r="G80" i="147"/>
  <c r="G152" i="147"/>
  <c r="G79" i="147"/>
  <c r="G76" i="147"/>
  <c r="G149" i="147"/>
  <c r="G152" i="138"/>
  <c r="F185" i="147"/>
  <c r="F112" i="147"/>
  <c r="F179" i="147"/>
  <c r="F106" i="147"/>
  <c r="F101" i="147"/>
  <c r="F174" i="147"/>
  <c r="F91" i="147"/>
  <c r="F164" i="147"/>
  <c r="F160" i="147"/>
  <c r="F87" i="147"/>
  <c r="F88" i="147"/>
  <c r="F161" i="147"/>
  <c r="F83" i="147"/>
  <c r="F156" i="147"/>
  <c r="F80" i="147"/>
  <c r="F153" i="147"/>
  <c r="F78" i="147"/>
  <c r="F151" i="147"/>
  <c r="E188" i="147"/>
  <c r="E115" i="147"/>
  <c r="E113" i="147"/>
  <c r="E186" i="147"/>
  <c r="E184" i="147"/>
  <c r="E111" i="147"/>
  <c r="E182" i="147"/>
  <c r="E109" i="147"/>
  <c r="E107" i="147"/>
  <c r="E180" i="147"/>
  <c r="E103" i="147"/>
  <c r="E176" i="147"/>
  <c r="E174" i="147"/>
  <c r="E101" i="147"/>
  <c r="E172" i="147"/>
  <c r="E99" i="147"/>
  <c r="E94" i="147"/>
  <c r="E167" i="147"/>
  <c r="E91" i="147"/>
  <c r="E164" i="147"/>
  <c r="E162" i="147"/>
  <c r="E89" i="147"/>
  <c r="E159" i="147"/>
  <c r="E86" i="147"/>
  <c r="E161" i="147"/>
  <c r="E88" i="147"/>
  <c r="E83" i="147"/>
  <c r="E156" i="147"/>
  <c r="E155" i="147"/>
  <c r="E82" i="147"/>
  <c r="E154" i="147"/>
  <c r="E81" i="147"/>
  <c r="E79" i="147"/>
  <c r="E152" i="147"/>
  <c r="D114" i="147"/>
  <c r="D187" i="147"/>
  <c r="D112" i="147"/>
  <c r="D185" i="147"/>
  <c r="D110" i="147"/>
  <c r="D183" i="147"/>
  <c r="D180" i="147"/>
  <c r="D107" i="147"/>
  <c r="D176" i="147"/>
  <c r="D103" i="147"/>
  <c r="D175" i="147"/>
  <c r="D102" i="147"/>
  <c r="D173" i="147"/>
  <c r="D100" i="147"/>
  <c r="D99" i="147"/>
  <c r="D172" i="147"/>
  <c r="D166" i="147"/>
  <c r="D93" i="147"/>
  <c r="D160" i="147"/>
  <c r="D87" i="147"/>
  <c r="D83" i="147"/>
  <c r="D156" i="147"/>
  <c r="D154" i="147"/>
  <c r="D81" i="147"/>
  <c r="D80" i="147"/>
  <c r="D153" i="147"/>
  <c r="D78" i="147"/>
  <c r="D151" i="147"/>
  <c r="D148" i="147"/>
  <c r="D75" i="147"/>
  <c r="U188" i="147"/>
  <c r="U115" i="147"/>
  <c r="U186" i="147"/>
  <c r="U113" i="147"/>
  <c r="U183" i="147"/>
  <c r="U110" i="147"/>
  <c r="U181" i="147"/>
  <c r="U108" i="147"/>
  <c r="U180" i="147"/>
  <c r="U107" i="147"/>
  <c r="U179" i="147"/>
  <c r="U106" i="147"/>
  <c r="U102" i="147"/>
  <c r="U175" i="147"/>
  <c r="U100" i="147"/>
  <c r="U173" i="147"/>
  <c r="U166" i="147"/>
  <c r="U93" i="147"/>
  <c r="U90" i="147"/>
  <c r="U163" i="147"/>
  <c r="U87" i="147"/>
  <c r="U160" i="147"/>
  <c r="U158" i="147"/>
  <c r="U85" i="147"/>
  <c r="U157" i="147"/>
  <c r="U84" i="147"/>
  <c r="U81" i="147"/>
  <c r="U154" i="147"/>
  <c r="U80" i="147"/>
  <c r="U153" i="147"/>
  <c r="U79" i="147"/>
  <c r="U152" i="147"/>
  <c r="U78" i="147"/>
  <c r="U151" i="147"/>
  <c r="T115" i="147"/>
  <c r="T188" i="147"/>
  <c r="T186" i="147"/>
  <c r="T113" i="147"/>
  <c r="T184" i="147"/>
  <c r="T111" i="147"/>
  <c r="T110" i="147"/>
  <c r="T183" i="147"/>
  <c r="T182" i="147"/>
  <c r="T109" i="147"/>
  <c r="T107" i="147"/>
  <c r="T180" i="147"/>
  <c r="T179" i="147"/>
  <c r="T106" i="147"/>
  <c r="T105" i="147"/>
  <c r="T178" i="147"/>
  <c r="T102" i="147"/>
  <c r="T175" i="147"/>
  <c r="T174" i="147"/>
  <c r="T101" i="147"/>
  <c r="T100" i="147"/>
  <c r="T173" i="147"/>
  <c r="T172" i="147"/>
  <c r="T99" i="147"/>
  <c r="T166" i="147"/>
  <c r="T93" i="147"/>
  <c r="T165" i="147"/>
  <c r="T92" i="147"/>
  <c r="T162" i="147"/>
  <c r="T89" i="147"/>
  <c r="T86" i="147"/>
  <c r="T159" i="147"/>
  <c r="T156" i="147"/>
  <c r="T83" i="147"/>
  <c r="T82" i="147"/>
  <c r="T155" i="147"/>
  <c r="T81" i="147"/>
  <c r="T154" i="147"/>
  <c r="T177" i="147"/>
  <c r="T104" i="147"/>
  <c r="T152" i="147"/>
  <c r="T79" i="147"/>
  <c r="T77" i="147"/>
  <c r="T150" i="147"/>
  <c r="T149" i="147"/>
  <c r="T76" i="147"/>
  <c r="T75" i="147"/>
  <c r="T148" i="147"/>
  <c r="S187" i="147"/>
  <c r="S114" i="147"/>
  <c r="S186" i="147"/>
  <c r="S113" i="147"/>
  <c r="S112" i="147"/>
  <c r="S185" i="147"/>
  <c r="S183" i="147"/>
  <c r="S110" i="147"/>
  <c r="S181" i="147"/>
  <c r="S108" i="147"/>
  <c r="S179" i="147"/>
  <c r="S106" i="147"/>
  <c r="S174" i="147"/>
  <c r="S101" i="147"/>
  <c r="S166" i="147"/>
  <c r="S93" i="147"/>
  <c r="S92" i="147"/>
  <c r="S165" i="147"/>
  <c r="S163" i="147"/>
  <c r="S90" i="147"/>
  <c r="S86" i="147"/>
  <c r="S159" i="147"/>
  <c r="S157" i="147"/>
  <c r="S84" i="147"/>
  <c r="S82" i="147"/>
  <c r="S155" i="147"/>
  <c r="S177" i="147"/>
  <c r="S104" i="147"/>
  <c r="S151" i="147"/>
  <c r="S78" i="147"/>
  <c r="R113" i="147"/>
  <c r="R186" i="147"/>
  <c r="R110" i="147"/>
  <c r="R183" i="147"/>
  <c r="R106" i="147"/>
  <c r="R179" i="147"/>
  <c r="R176" i="147"/>
  <c r="R103" i="147"/>
  <c r="R175" i="147"/>
  <c r="R102" i="147"/>
  <c r="R100" i="147"/>
  <c r="R173" i="147"/>
  <c r="R99" i="147"/>
  <c r="R172" i="147"/>
  <c r="R167" i="147"/>
  <c r="R94" i="147"/>
  <c r="R164" i="147"/>
  <c r="R91" i="147"/>
  <c r="R89" i="147"/>
  <c r="R162" i="147"/>
  <c r="R87" i="147"/>
  <c r="R160" i="147"/>
  <c r="R85" i="147"/>
  <c r="R158" i="147"/>
  <c r="R84" i="147"/>
  <c r="R157" i="147"/>
  <c r="R154" i="147"/>
  <c r="R81" i="147"/>
  <c r="R177" i="147"/>
  <c r="R104" i="147"/>
  <c r="R77" i="147"/>
  <c r="R150" i="147"/>
  <c r="R76" i="147"/>
  <c r="R149" i="147"/>
  <c r="Q187" i="147"/>
  <c r="Q114" i="147"/>
  <c r="Q186" i="147"/>
  <c r="Q113" i="147"/>
  <c r="Q185" i="147"/>
  <c r="Q112" i="147"/>
  <c r="Q111" i="147"/>
  <c r="Q184" i="147"/>
  <c r="Q183" i="147"/>
  <c r="Q110" i="147"/>
  <c r="Q182" i="147"/>
  <c r="Q109" i="147"/>
  <c r="Q181" i="147"/>
  <c r="Q108" i="147"/>
  <c r="Q180" i="147"/>
  <c r="Q107" i="147"/>
  <c r="Q105" i="147"/>
  <c r="Q178" i="147"/>
  <c r="Q176" i="147"/>
  <c r="Q103" i="147"/>
  <c r="Q175" i="147"/>
  <c r="Q102" i="147"/>
  <c r="Q101" i="147"/>
  <c r="Q174" i="147"/>
  <c r="Q173" i="147"/>
  <c r="Q100" i="147"/>
  <c r="Q172" i="147"/>
  <c r="Q99" i="147"/>
  <c r="Q93" i="147"/>
  <c r="Q166" i="147"/>
  <c r="Q164" i="147"/>
  <c r="Q91" i="147"/>
  <c r="Q90" i="147"/>
  <c r="Q163" i="147"/>
  <c r="Q162" i="147"/>
  <c r="Q89" i="147"/>
  <c r="Q160" i="147"/>
  <c r="Q87" i="147"/>
  <c r="Q158" i="147"/>
  <c r="Q85" i="147"/>
  <c r="Q84" i="147"/>
  <c r="Q157" i="147"/>
  <c r="Q83" i="147"/>
  <c r="Q156" i="147"/>
  <c r="Q155" i="147"/>
  <c r="Q82" i="147"/>
  <c r="Q154" i="147"/>
  <c r="Q81" i="147"/>
  <c r="Q153" i="147"/>
  <c r="Q80" i="147"/>
  <c r="Q152" i="147"/>
  <c r="Q79" i="147"/>
  <c r="Q151" i="147"/>
  <c r="Q78" i="147"/>
  <c r="Q150" i="147"/>
  <c r="Q77" i="147"/>
  <c r="Q148" i="147"/>
  <c r="Q75" i="147"/>
  <c r="Q152" i="138"/>
  <c r="P186" i="147"/>
  <c r="P113" i="147"/>
  <c r="P182" i="147"/>
  <c r="P109" i="147"/>
  <c r="P181" i="147"/>
  <c r="P108" i="147"/>
  <c r="P179" i="147"/>
  <c r="P106" i="147"/>
  <c r="P102" i="147"/>
  <c r="P175" i="147"/>
  <c r="P100" i="147"/>
  <c r="P173" i="147"/>
  <c r="P172" i="147"/>
  <c r="P99" i="147"/>
  <c r="P167" i="147"/>
  <c r="P94" i="147"/>
  <c r="P164" i="147"/>
  <c r="P91" i="147"/>
  <c r="P162" i="147"/>
  <c r="P89" i="147"/>
  <c r="P85" i="147"/>
  <c r="P158" i="147"/>
  <c r="P157" i="147"/>
  <c r="P84" i="147"/>
  <c r="P156" i="147"/>
  <c r="P83" i="147"/>
  <c r="P80" i="147"/>
  <c r="P153" i="147"/>
  <c r="P149" i="147"/>
  <c r="P76" i="147"/>
  <c r="M115" i="147"/>
  <c r="M188" i="147"/>
  <c r="M114" i="147"/>
  <c r="M187" i="147"/>
  <c r="M186" i="147"/>
  <c r="M113" i="147"/>
  <c r="M112" i="147"/>
  <c r="M185" i="147"/>
  <c r="M183" i="147"/>
  <c r="M110" i="147"/>
  <c r="M182" i="147"/>
  <c r="M109" i="147"/>
  <c r="M181" i="147"/>
  <c r="M108" i="147"/>
  <c r="M180" i="147"/>
  <c r="M107" i="147"/>
  <c r="M106" i="147"/>
  <c r="M179" i="147"/>
  <c r="M105" i="147"/>
  <c r="M178" i="147"/>
  <c r="M176" i="147"/>
  <c r="M103" i="147"/>
  <c r="M175" i="147"/>
  <c r="M102" i="147"/>
  <c r="M173" i="147"/>
  <c r="M100" i="147"/>
  <c r="M116" i="147"/>
  <c r="M189" i="147"/>
  <c r="M94" i="147"/>
  <c r="M167" i="147"/>
  <c r="M93" i="147"/>
  <c r="M166" i="147"/>
  <c r="M165" i="147"/>
  <c r="M92" i="147"/>
  <c r="M164" i="147"/>
  <c r="M91" i="147"/>
  <c r="M90" i="147"/>
  <c r="M163" i="147"/>
  <c r="M89" i="147"/>
  <c r="M162" i="147"/>
  <c r="M160" i="147"/>
  <c r="M87" i="147"/>
  <c r="M86" i="147"/>
  <c r="M159" i="147"/>
  <c r="M158" i="147"/>
  <c r="M85" i="147"/>
  <c r="M88" i="147"/>
  <c r="M161" i="147"/>
  <c r="M157" i="147"/>
  <c r="M84" i="147"/>
  <c r="M156" i="147"/>
  <c r="M83" i="147"/>
  <c r="M155" i="147"/>
  <c r="M82" i="147"/>
  <c r="M81" i="147"/>
  <c r="M154" i="147"/>
  <c r="M104" i="147"/>
  <c r="M177" i="147"/>
  <c r="M79" i="147"/>
  <c r="M152" i="147"/>
  <c r="M77" i="147"/>
  <c r="M150" i="147"/>
  <c r="M149" i="147"/>
  <c r="M76" i="147"/>
  <c r="M75" i="147"/>
  <c r="M148" i="147"/>
  <c r="J114" i="147"/>
  <c r="J187" i="147"/>
  <c r="J113" i="147"/>
  <c r="J186" i="147"/>
  <c r="J184" i="147"/>
  <c r="J111" i="147"/>
  <c r="J182" i="147"/>
  <c r="J109" i="147"/>
  <c r="J181" i="147"/>
  <c r="J108" i="147"/>
  <c r="J107" i="147"/>
  <c r="J180" i="147"/>
  <c r="J106" i="147"/>
  <c r="J179" i="147"/>
  <c r="J103" i="147"/>
  <c r="J176" i="147"/>
  <c r="J172" i="147"/>
  <c r="J99" i="147"/>
  <c r="I188" i="147"/>
  <c r="I115" i="147"/>
  <c r="I187" i="147"/>
  <c r="I114" i="147"/>
  <c r="I113" i="147"/>
  <c r="I186" i="147"/>
  <c r="I112" i="147"/>
  <c r="I185" i="147"/>
  <c r="I183" i="147"/>
  <c r="I110" i="147"/>
  <c r="I108" i="147"/>
  <c r="I181" i="147"/>
  <c r="I178" i="147"/>
  <c r="I105" i="147"/>
  <c r="H188" i="147"/>
  <c r="H115" i="147"/>
  <c r="H187" i="147"/>
  <c r="H114" i="147"/>
  <c r="H113" i="147"/>
  <c r="H186" i="147"/>
  <c r="H185" i="147"/>
  <c r="H112" i="147"/>
  <c r="H184" i="147"/>
  <c r="H111" i="147"/>
  <c r="H110" i="147"/>
  <c r="H183" i="147"/>
  <c r="H109" i="147"/>
  <c r="H182" i="147"/>
  <c r="H181" i="147"/>
  <c r="H108" i="147"/>
  <c r="H180" i="147"/>
  <c r="H107" i="147"/>
  <c r="H106" i="147"/>
  <c r="H179" i="147"/>
  <c r="H105" i="147"/>
  <c r="H178" i="147"/>
  <c r="H103" i="147"/>
  <c r="H176" i="147"/>
  <c r="H175" i="147"/>
  <c r="H102" i="147"/>
  <c r="H101" i="147"/>
  <c r="H174" i="147"/>
  <c r="H173" i="147"/>
  <c r="H100" i="147"/>
  <c r="H116" i="147"/>
  <c r="H189" i="147"/>
  <c r="H99" i="147"/>
  <c r="H172" i="147"/>
  <c r="H94" i="147"/>
  <c r="H167" i="147"/>
  <c r="H93" i="147"/>
  <c r="H166" i="147"/>
  <c r="H165" i="147"/>
  <c r="H92" i="147"/>
  <c r="H164" i="147"/>
  <c r="H91" i="147"/>
  <c r="H90" i="147"/>
  <c r="H163" i="147"/>
  <c r="H162" i="147"/>
  <c r="H89" i="147"/>
  <c r="H87" i="147"/>
  <c r="H160" i="147"/>
  <c r="H86" i="147"/>
  <c r="H159" i="147"/>
  <c r="H85" i="147"/>
  <c r="H158" i="147"/>
  <c r="H88" i="147"/>
  <c r="H161" i="147"/>
  <c r="H157" i="147"/>
  <c r="H84" i="147"/>
  <c r="H156" i="147"/>
  <c r="H83" i="147"/>
  <c r="H82" i="147"/>
  <c r="H155" i="147"/>
  <c r="H81" i="147"/>
  <c r="H154" i="147"/>
  <c r="H153" i="147"/>
  <c r="H80" i="147"/>
  <c r="H177" i="147"/>
  <c r="H104" i="147"/>
  <c r="H79" i="147"/>
  <c r="H152" i="147"/>
  <c r="H78" i="147"/>
  <c r="H151" i="147"/>
  <c r="H150" i="147"/>
  <c r="H77" i="147"/>
  <c r="H149" i="147"/>
  <c r="H76" i="147"/>
  <c r="H148" i="147"/>
  <c r="H75" i="147"/>
  <c r="Z20" i="132"/>
  <c r="AJ24" i="158" l="1"/>
  <c r="AH24" i="158" s="1"/>
  <c r="AE24" i="158"/>
  <c r="AG25" i="158"/>
  <c r="AK24" i="158"/>
  <c r="AE51" i="162"/>
  <c r="AF87" i="129"/>
  <c r="AF143" i="129"/>
  <c r="AN28" i="129"/>
  <c r="AL22" i="129"/>
  <c r="AO21" i="129"/>
  <c r="AM21" i="129" s="1"/>
  <c r="AF29" i="129"/>
  <c r="AN28" i="162"/>
  <c r="AL28" i="162" s="1"/>
  <c r="AK29" i="162"/>
  <c r="AI28" i="162"/>
  <c r="AO28" i="162" s="1"/>
  <c r="AM34" i="162"/>
  <c r="AJ21" i="129"/>
  <c r="AP21" i="129" s="1"/>
  <c r="AA16" i="132"/>
  <c r="AA17" i="132"/>
  <c r="AA18" i="132"/>
  <c r="AA11" i="132"/>
  <c r="AA15" i="132"/>
  <c r="AA14" i="132"/>
  <c r="AA13" i="132"/>
  <c r="AA12" i="132"/>
  <c r="K142" i="147"/>
  <c r="O215" i="147"/>
  <c r="Q142" i="147"/>
  <c r="L215" i="147"/>
  <c r="O142" i="147"/>
  <c r="P215" i="147"/>
  <c r="E215" i="147"/>
  <c r="H142" i="147"/>
  <c r="Q215" i="147"/>
  <c r="M215" i="147"/>
  <c r="T142" i="147"/>
  <c r="I142" i="147"/>
  <c r="N142" i="147"/>
  <c r="R215" i="147"/>
  <c r="G142" i="147"/>
  <c r="P142" i="147"/>
  <c r="T215" i="147"/>
  <c r="M142" i="147"/>
  <c r="D142" i="147"/>
  <c r="I215" i="147"/>
  <c r="U142" i="147"/>
  <c r="N215" i="147"/>
  <c r="G215" i="147"/>
  <c r="U215" i="147"/>
  <c r="F215" i="147"/>
  <c r="J142" i="147"/>
  <c r="V142" i="147"/>
  <c r="V215" i="147"/>
  <c r="L142" i="147"/>
  <c r="F142" i="147"/>
  <c r="J215" i="147"/>
  <c r="K215" i="147"/>
  <c r="S142" i="147"/>
  <c r="S215" i="147"/>
  <c r="E142" i="147"/>
  <c r="R142" i="147"/>
  <c r="H215" i="147"/>
  <c r="C215" i="147"/>
  <c r="D215" i="147"/>
  <c r="AJ25" i="158" l="1"/>
  <c r="AE25" i="158"/>
  <c r="AG26" i="158"/>
  <c r="AH25" i="158"/>
  <c r="AK25" i="158"/>
  <c r="AE52" i="162"/>
  <c r="AF88" i="129"/>
  <c r="AF144" i="129"/>
  <c r="AN29" i="129"/>
  <c r="AL23" i="129"/>
  <c r="AO22" i="129"/>
  <c r="AM22" i="129" s="1"/>
  <c r="AF30" i="129"/>
  <c r="AM35" i="162"/>
  <c r="AN29" i="162"/>
  <c r="AL29" i="162" s="1"/>
  <c r="AK30" i="162"/>
  <c r="AI29" i="162"/>
  <c r="AO29" i="162" s="1"/>
  <c r="AJ22" i="129"/>
  <c r="AP22" i="129" s="1"/>
  <c r="AA20" i="132"/>
  <c r="C3" i="133"/>
  <c r="D3" i="133"/>
  <c r="E3" i="133"/>
  <c r="F3" i="133"/>
  <c r="G3" i="133"/>
  <c r="H3" i="133"/>
  <c r="I3" i="133"/>
  <c r="J3" i="133"/>
  <c r="K3" i="133"/>
  <c r="L3" i="133"/>
  <c r="M3" i="133"/>
  <c r="M3" i="134" s="1"/>
  <c r="N3" i="133"/>
  <c r="N3" i="134" s="1"/>
  <c r="O3" i="133"/>
  <c r="O3" i="134" s="1"/>
  <c r="P3" i="133"/>
  <c r="Q3" i="133"/>
  <c r="Q3" i="134" s="1"/>
  <c r="R3" i="133"/>
  <c r="R3" i="134" s="1"/>
  <c r="S3" i="133"/>
  <c r="S3" i="134" s="1"/>
  <c r="T3" i="133"/>
  <c r="T3" i="134" s="1"/>
  <c r="U3" i="133"/>
  <c r="U3" i="134" s="1"/>
  <c r="V3" i="133"/>
  <c r="C4" i="133"/>
  <c r="D4" i="133"/>
  <c r="E4" i="133"/>
  <c r="F4" i="133"/>
  <c r="G4" i="133"/>
  <c r="G4" i="134" s="1"/>
  <c r="H4" i="133"/>
  <c r="H4" i="134" s="1"/>
  <c r="I4" i="133"/>
  <c r="I4" i="134" s="1"/>
  <c r="J4" i="133"/>
  <c r="J4" i="134" s="1"/>
  <c r="K4" i="133"/>
  <c r="L4" i="133"/>
  <c r="M4" i="133"/>
  <c r="N4" i="133"/>
  <c r="N4" i="134" s="1"/>
  <c r="O4" i="133"/>
  <c r="O4" i="134" s="1"/>
  <c r="P4" i="133"/>
  <c r="P4" i="134" s="1"/>
  <c r="Q4" i="133"/>
  <c r="Q4" i="134" s="1"/>
  <c r="R4" i="133"/>
  <c r="R4" i="134" s="1"/>
  <c r="S4" i="133"/>
  <c r="S4" i="134" s="1"/>
  <c r="T4" i="133"/>
  <c r="U4" i="133"/>
  <c r="V4" i="133"/>
  <c r="C6" i="133"/>
  <c r="D6" i="133"/>
  <c r="E6" i="133"/>
  <c r="F6" i="133"/>
  <c r="G6" i="133"/>
  <c r="H6" i="133"/>
  <c r="I6" i="133"/>
  <c r="J6" i="133"/>
  <c r="K6" i="133"/>
  <c r="L6" i="133"/>
  <c r="M6" i="133"/>
  <c r="M6" i="134" s="1"/>
  <c r="N6" i="133"/>
  <c r="N6" i="134" s="1"/>
  <c r="O6" i="133"/>
  <c r="P6" i="133"/>
  <c r="Q6" i="133"/>
  <c r="R6" i="133"/>
  <c r="S6" i="133"/>
  <c r="S6" i="134" s="1"/>
  <c r="T6" i="133"/>
  <c r="U6" i="133"/>
  <c r="V6" i="133"/>
  <c r="C7" i="133"/>
  <c r="D7" i="133"/>
  <c r="E7" i="133"/>
  <c r="F7" i="133"/>
  <c r="G7" i="133"/>
  <c r="H7" i="133"/>
  <c r="I7" i="133"/>
  <c r="J7" i="133"/>
  <c r="K7" i="133"/>
  <c r="L7" i="133"/>
  <c r="L7" i="134" s="1"/>
  <c r="M7" i="133"/>
  <c r="M7" i="134" s="1"/>
  <c r="N7" i="133"/>
  <c r="N7" i="134" s="1"/>
  <c r="O7" i="133"/>
  <c r="O7" i="134" s="1"/>
  <c r="P7" i="133"/>
  <c r="P7" i="134" s="1"/>
  <c r="Q7" i="133"/>
  <c r="R7" i="133"/>
  <c r="R7" i="134" s="1"/>
  <c r="S7" i="133"/>
  <c r="T7" i="133"/>
  <c r="T7" i="134" s="1"/>
  <c r="U7" i="133"/>
  <c r="V7" i="133"/>
  <c r="C8" i="133"/>
  <c r="D8" i="133"/>
  <c r="E8" i="133"/>
  <c r="F8" i="133"/>
  <c r="G8" i="133"/>
  <c r="G8" i="134" s="1"/>
  <c r="H8" i="133"/>
  <c r="H8" i="134" s="1"/>
  <c r="I8" i="133"/>
  <c r="I8" i="134" s="1"/>
  <c r="J8" i="133"/>
  <c r="J8" i="134" s="1"/>
  <c r="K8" i="133"/>
  <c r="L8" i="133"/>
  <c r="M8" i="133"/>
  <c r="N8" i="133"/>
  <c r="N8" i="134" s="1"/>
  <c r="O8" i="133"/>
  <c r="P8" i="133"/>
  <c r="Q8" i="133"/>
  <c r="R8" i="133"/>
  <c r="S8" i="133"/>
  <c r="T8" i="133"/>
  <c r="T8" i="134" s="1"/>
  <c r="U8" i="133"/>
  <c r="U8" i="134" s="1"/>
  <c r="V8" i="133"/>
  <c r="C10" i="133"/>
  <c r="D10" i="133"/>
  <c r="E10" i="133"/>
  <c r="F10" i="133"/>
  <c r="G10" i="133"/>
  <c r="H10" i="133"/>
  <c r="I10" i="133"/>
  <c r="J10" i="133"/>
  <c r="K10" i="133"/>
  <c r="L10" i="133"/>
  <c r="M10" i="133"/>
  <c r="M10" i="134" s="1"/>
  <c r="N10" i="133"/>
  <c r="N10" i="134" s="1"/>
  <c r="O10" i="133"/>
  <c r="P10" i="133"/>
  <c r="P10" i="134" s="1"/>
  <c r="Q10" i="133"/>
  <c r="Q10" i="134" s="1"/>
  <c r="R10" i="133"/>
  <c r="R10" i="134" s="1"/>
  <c r="S10" i="133"/>
  <c r="S10" i="134" s="1"/>
  <c r="T10" i="133"/>
  <c r="U10" i="133"/>
  <c r="V10" i="133"/>
  <c r="C13" i="133"/>
  <c r="D13" i="133"/>
  <c r="E13" i="133"/>
  <c r="F13" i="133"/>
  <c r="G13" i="133"/>
  <c r="H13" i="133"/>
  <c r="I13" i="133"/>
  <c r="J13" i="133"/>
  <c r="K13" i="133"/>
  <c r="L13" i="133"/>
  <c r="L13" i="134" s="1"/>
  <c r="M13" i="133"/>
  <c r="M13" i="134" s="1"/>
  <c r="N13" i="133"/>
  <c r="N13" i="134" s="1"/>
  <c r="O13" i="133"/>
  <c r="O13" i="134" s="1"/>
  <c r="P13" i="133"/>
  <c r="Q13" i="133"/>
  <c r="R13" i="133"/>
  <c r="S13" i="133"/>
  <c r="T13" i="133"/>
  <c r="U13" i="133"/>
  <c r="V13" i="133"/>
  <c r="C14" i="133"/>
  <c r="D14" i="133"/>
  <c r="E14" i="133"/>
  <c r="F14" i="133"/>
  <c r="G14" i="133"/>
  <c r="H14" i="133"/>
  <c r="I14" i="133"/>
  <c r="J14" i="133"/>
  <c r="K14" i="133"/>
  <c r="L14" i="133"/>
  <c r="L14" i="134" s="1"/>
  <c r="M14" i="133"/>
  <c r="M14" i="134" s="1"/>
  <c r="N14" i="133"/>
  <c r="N14" i="134" s="1"/>
  <c r="O14" i="133"/>
  <c r="O14" i="134" s="1"/>
  <c r="P14" i="133"/>
  <c r="Q14" i="133"/>
  <c r="R14" i="133"/>
  <c r="R14" i="134" s="1"/>
  <c r="S14" i="133"/>
  <c r="S14" i="134" s="1"/>
  <c r="T14" i="133"/>
  <c r="T14" i="134" s="1"/>
  <c r="U14" i="133"/>
  <c r="V14" i="133"/>
  <c r="C19" i="133"/>
  <c r="D19" i="133"/>
  <c r="E19" i="133"/>
  <c r="F19" i="133"/>
  <c r="G19" i="133"/>
  <c r="H19" i="133"/>
  <c r="I19" i="133"/>
  <c r="J19" i="133"/>
  <c r="K19" i="133"/>
  <c r="L19" i="133"/>
  <c r="M19" i="133"/>
  <c r="N19" i="133"/>
  <c r="O19" i="133"/>
  <c r="O19" i="134" s="1"/>
  <c r="P19" i="133"/>
  <c r="Q19" i="133"/>
  <c r="R19" i="133"/>
  <c r="R19" i="134" s="1"/>
  <c r="S19" i="133"/>
  <c r="S19" i="134" s="1"/>
  <c r="T19" i="133"/>
  <c r="T19" i="134" s="1"/>
  <c r="U19" i="133"/>
  <c r="U19" i="134" s="1"/>
  <c r="V19" i="133"/>
  <c r="C20" i="133"/>
  <c r="D20" i="133"/>
  <c r="E20" i="133"/>
  <c r="F20" i="133"/>
  <c r="G20" i="133"/>
  <c r="G20" i="134" s="1"/>
  <c r="H20" i="133"/>
  <c r="H20" i="134" s="1"/>
  <c r="I20" i="133"/>
  <c r="I20" i="134" s="1"/>
  <c r="J20" i="133"/>
  <c r="J20" i="134" s="1"/>
  <c r="K20" i="133"/>
  <c r="L20" i="133"/>
  <c r="M20" i="133"/>
  <c r="N20" i="133"/>
  <c r="N20" i="134" s="1"/>
  <c r="O20" i="133"/>
  <c r="O20" i="134" s="1"/>
  <c r="P20" i="133"/>
  <c r="P20" i="134" s="1"/>
  <c r="Q20" i="133"/>
  <c r="Q20" i="134" s="1"/>
  <c r="R20" i="133"/>
  <c r="R20" i="134" s="1"/>
  <c r="S20" i="133"/>
  <c r="S20" i="134" s="1"/>
  <c r="T20" i="133"/>
  <c r="U20" i="133"/>
  <c r="V20" i="133"/>
  <c r="C23" i="133"/>
  <c r="D23" i="133"/>
  <c r="E23" i="133"/>
  <c r="F23" i="133"/>
  <c r="G23" i="133"/>
  <c r="H23" i="133"/>
  <c r="I23" i="133"/>
  <c r="J23" i="133"/>
  <c r="K23" i="133"/>
  <c r="L23" i="133"/>
  <c r="L23" i="134" s="1"/>
  <c r="M23" i="133"/>
  <c r="M23" i="134" s="1"/>
  <c r="N23" i="133"/>
  <c r="N23" i="134" s="1"/>
  <c r="O23" i="133"/>
  <c r="O23" i="134" s="1"/>
  <c r="P23" i="133"/>
  <c r="P23" i="134" s="1"/>
  <c r="Q23" i="133"/>
  <c r="R23" i="133"/>
  <c r="R23" i="134" s="1"/>
  <c r="S23" i="133"/>
  <c r="T23" i="133"/>
  <c r="T23" i="134" s="1"/>
  <c r="U23" i="133"/>
  <c r="V23" i="133"/>
  <c r="D24" i="133"/>
  <c r="E24" i="133"/>
  <c r="F24" i="133"/>
  <c r="G24" i="133"/>
  <c r="G24" i="134" s="1"/>
  <c r="H24" i="133"/>
  <c r="H24" i="134" s="1"/>
  <c r="I24" i="133"/>
  <c r="I24" i="134" s="1"/>
  <c r="J24" i="133"/>
  <c r="J24" i="134" s="1"/>
  <c r="K24" i="133"/>
  <c r="L24" i="133"/>
  <c r="M24" i="133"/>
  <c r="N24" i="133"/>
  <c r="N24" i="134" s="1"/>
  <c r="O24" i="133"/>
  <c r="P24" i="133"/>
  <c r="P24" i="134" s="1"/>
  <c r="Q24" i="133"/>
  <c r="R24" i="133"/>
  <c r="R24" i="134" s="1"/>
  <c r="S24" i="133"/>
  <c r="S24" i="134" s="1"/>
  <c r="T24" i="133"/>
  <c r="U24" i="133"/>
  <c r="V24" i="133"/>
  <c r="C31" i="133"/>
  <c r="D31" i="133"/>
  <c r="E31" i="133"/>
  <c r="F31" i="133"/>
  <c r="G31" i="133"/>
  <c r="H31" i="133"/>
  <c r="I31" i="133"/>
  <c r="J31" i="133"/>
  <c r="K31" i="133"/>
  <c r="L31" i="133"/>
  <c r="M31" i="133"/>
  <c r="M31" i="134" s="1"/>
  <c r="N31" i="133"/>
  <c r="N31" i="134" s="1"/>
  <c r="O31" i="133"/>
  <c r="O31" i="134" s="1"/>
  <c r="P31" i="133"/>
  <c r="Q31" i="133"/>
  <c r="R31" i="133"/>
  <c r="S31" i="133"/>
  <c r="S31" i="134" s="1"/>
  <c r="T31" i="133"/>
  <c r="T31" i="134" s="1"/>
  <c r="U31" i="133"/>
  <c r="U31" i="134" s="1"/>
  <c r="V31" i="133"/>
  <c r="C32" i="133"/>
  <c r="D32" i="133"/>
  <c r="E32" i="133"/>
  <c r="F32" i="133"/>
  <c r="G32" i="133"/>
  <c r="G32" i="134" s="1"/>
  <c r="H32" i="133"/>
  <c r="H32" i="134" s="1"/>
  <c r="I32" i="133"/>
  <c r="I32" i="134" s="1"/>
  <c r="J32" i="133"/>
  <c r="K32" i="133"/>
  <c r="L32" i="133"/>
  <c r="M32" i="133"/>
  <c r="N32" i="133"/>
  <c r="O32" i="133"/>
  <c r="P32" i="133"/>
  <c r="P32" i="134" s="1"/>
  <c r="Q32" i="133"/>
  <c r="R32" i="133"/>
  <c r="S32" i="133"/>
  <c r="S32" i="134" s="1"/>
  <c r="T32" i="133"/>
  <c r="T32" i="134" s="1"/>
  <c r="U32" i="133"/>
  <c r="U32" i="134" s="1"/>
  <c r="V32" i="133"/>
  <c r="C33" i="133"/>
  <c r="D33" i="133"/>
  <c r="E33" i="133"/>
  <c r="F33" i="133"/>
  <c r="G33" i="133"/>
  <c r="H33" i="133"/>
  <c r="I33" i="133"/>
  <c r="J33" i="133"/>
  <c r="K33" i="133"/>
  <c r="L33" i="133"/>
  <c r="M33" i="133"/>
  <c r="M33" i="134" s="1"/>
  <c r="N33" i="133"/>
  <c r="N33" i="134" s="1"/>
  <c r="O33" i="133"/>
  <c r="O33" i="134" s="1"/>
  <c r="P33" i="133"/>
  <c r="Q33" i="133"/>
  <c r="R33" i="133"/>
  <c r="S33" i="133"/>
  <c r="T33" i="133"/>
  <c r="U33" i="133"/>
  <c r="V33" i="133"/>
  <c r="C34" i="133"/>
  <c r="D34" i="133"/>
  <c r="E34" i="133"/>
  <c r="F34" i="133"/>
  <c r="G34" i="133"/>
  <c r="H34" i="133"/>
  <c r="I34" i="133"/>
  <c r="J34" i="133"/>
  <c r="K34" i="133"/>
  <c r="K34" i="134" s="1"/>
  <c r="L34" i="133"/>
  <c r="L34" i="134" s="1"/>
  <c r="M34" i="133"/>
  <c r="M34" i="134" s="1"/>
  <c r="N34" i="133"/>
  <c r="N34" i="134" s="1"/>
  <c r="O34" i="133"/>
  <c r="O34" i="134" s="1"/>
  <c r="P34" i="133"/>
  <c r="P34" i="134" s="1"/>
  <c r="Q34" i="133"/>
  <c r="Q34" i="134" s="1"/>
  <c r="R34" i="133"/>
  <c r="S34" i="133"/>
  <c r="S34" i="134" s="1"/>
  <c r="T34" i="133"/>
  <c r="U34" i="133"/>
  <c r="V34" i="133"/>
  <c r="C35" i="133"/>
  <c r="D35" i="133"/>
  <c r="E35" i="133"/>
  <c r="F35" i="133"/>
  <c r="G35" i="133"/>
  <c r="H35" i="133"/>
  <c r="I35" i="133"/>
  <c r="J35" i="133"/>
  <c r="K35" i="133"/>
  <c r="L35" i="133"/>
  <c r="L35" i="134" s="1"/>
  <c r="M35" i="133"/>
  <c r="N35" i="133"/>
  <c r="O35" i="133"/>
  <c r="O35" i="134" s="1"/>
  <c r="P35" i="133"/>
  <c r="P35" i="134" s="1"/>
  <c r="Q35" i="133"/>
  <c r="Q35" i="134" s="1"/>
  <c r="R35" i="133"/>
  <c r="R35" i="134" s="1"/>
  <c r="S35" i="133"/>
  <c r="T35" i="133"/>
  <c r="T35" i="134" s="1"/>
  <c r="U35" i="133"/>
  <c r="U35" i="134" s="1"/>
  <c r="V35" i="133"/>
  <c r="C38" i="133"/>
  <c r="D38" i="133"/>
  <c r="E38" i="133"/>
  <c r="F38" i="133"/>
  <c r="G38" i="133"/>
  <c r="H38" i="133"/>
  <c r="I38" i="133"/>
  <c r="J38" i="133"/>
  <c r="K38" i="133"/>
  <c r="K38" i="134" s="1"/>
  <c r="L38" i="133"/>
  <c r="L38" i="134" s="1"/>
  <c r="M38" i="133"/>
  <c r="M38" i="134" s="1"/>
  <c r="N38" i="133"/>
  <c r="N38" i="134" s="1"/>
  <c r="O38" i="133"/>
  <c r="O38" i="134" s="1"/>
  <c r="P38" i="133"/>
  <c r="P38" i="134" s="1"/>
  <c r="Q38" i="133"/>
  <c r="R38" i="133"/>
  <c r="R38" i="134" s="1"/>
  <c r="S38" i="133"/>
  <c r="T38" i="133"/>
  <c r="T38" i="134" s="1"/>
  <c r="U38" i="133"/>
  <c r="V38" i="133"/>
  <c r="C39" i="133"/>
  <c r="D39" i="133"/>
  <c r="E39" i="133"/>
  <c r="F39" i="133"/>
  <c r="G39" i="133"/>
  <c r="H39" i="133"/>
  <c r="I39" i="133"/>
  <c r="J39" i="133"/>
  <c r="K39" i="133"/>
  <c r="L39" i="133"/>
  <c r="L39" i="134" s="1"/>
  <c r="M39" i="133"/>
  <c r="N39" i="133"/>
  <c r="N39" i="134" s="1"/>
  <c r="O39" i="133"/>
  <c r="O39" i="134" s="1"/>
  <c r="P39" i="133"/>
  <c r="P39" i="134" s="1"/>
  <c r="Q39" i="133"/>
  <c r="Q39" i="134" s="1"/>
  <c r="R39" i="133"/>
  <c r="S39" i="133"/>
  <c r="T39" i="133"/>
  <c r="U39" i="133"/>
  <c r="V39" i="133"/>
  <c r="C40" i="133"/>
  <c r="D40" i="133"/>
  <c r="E40" i="133"/>
  <c r="F40" i="133"/>
  <c r="G40" i="133"/>
  <c r="G40" i="134" s="1"/>
  <c r="H40" i="133"/>
  <c r="H40" i="134" s="1"/>
  <c r="I40" i="133"/>
  <c r="I40" i="134" s="1"/>
  <c r="J40" i="133"/>
  <c r="J40" i="134" s="1"/>
  <c r="K40" i="133"/>
  <c r="L40" i="133"/>
  <c r="M40" i="133"/>
  <c r="N40" i="133"/>
  <c r="N40" i="134" s="1"/>
  <c r="O40" i="133"/>
  <c r="O40" i="134" s="1"/>
  <c r="P40" i="133"/>
  <c r="Q40" i="133"/>
  <c r="R40" i="133"/>
  <c r="S40" i="133"/>
  <c r="S40" i="134" s="1"/>
  <c r="T40" i="133"/>
  <c r="U40" i="133"/>
  <c r="V40" i="133"/>
  <c r="C41" i="133"/>
  <c r="D41" i="133"/>
  <c r="E41" i="133"/>
  <c r="F41" i="133"/>
  <c r="G41" i="133"/>
  <c r="G41" i="134" s="1"/>
  <c r="H41" i="133"/>
  <c r="H41" i="134" s="1"/>
  <c r="I41" i="133"/>
  <c r="I41" i="134" s="1"/>
  <c r="J41" i="133"/>
  <c r="J41" i="134" s="1"/>
  <c r="K41" i="133"/>
  <c r="K41" i="134" s="1"/>
  <c r="L41" i="133"/>
  <c r="L41" i="134" s="1"/>
  <c r="M41" i="133"/>
  <c r="M41" i="134" s="1"/>
  <c r="N41" i="133"/>
  <c r="N41" i="134" s="1"/>
  <c r="O41" i="133"/>
  <c r="O41" i="134" s="1"/>
  <c r="P41" i="133"/>
  <c r="Q41" i="133"/>
  <c r="R41" i="133"/>
  <c r="S41" i="133"/>
  <c r="T41" i="133"/>
  <c r="U41" i="133"/>
  <c r="V41" i="133"/>
  <c r="C43" i="133"/>
  <c r="D43" i="133"/>
  <c r="E43" i="133"/>
  <c r="F43" i="133"/>
  <c r="G43" i="133"/>
  <c r="H43" i="133"/>
  <c r="I43" i="133"/>
  <c r="J43" i="133"/>
  <c r="K43" i="133"/>
  <c r="L43" i="133"/>
  <c r="M43" i="133"/>
  <c r="M43" i="134" s="1"/>
  <c r="N43" i="133"/>
  <c r="N43" i="134" s="1"/>
  <c r="O43" i="133"/>
  <c r="O43" i="134" s="1"/>
  <c r="P43" i="133"/>
  <c r="P43" i="134" s="1"/>
  <c r="Q43" i="133"/>
  <c r="R43" i="133"/>
  <c r="S43" i="133"/>
  <c r="T43" i="133"/>
  <c r="T43" i="134" s="1"/>
  <c r="U43" i="133"/>
  <c r="U43" i="134" s="1"/>
  <c r="V43" i="133"/>
  <c r="C44" i="133"/>
  <c r="D44" i="133"/>
  <c r="E44" i="133"/>
  <c r="F44" i="133"/>
  <c r="G44" i="133"/>
  <c r="G44" i="134" s="1"/>
  <c r="H44" i="133"/>
  <c r="H44" i="134" s="1"/>
  <c r="I44" i="133"/>
  <c r="I44" i="134" s="1"/>
  <c r="J44" i="133"/>
  <c r="J44" i="134" s="1"/>
  <c r="K44" i="133"/>
  <c r="L44" i="133"/>
  <c r="M44" i="133"/>
  <c r="N44" i="133"/>
  <c r="N44" i="134" s="1"/>
  <c r="O44" i="133"/>
  <c r="P44" i="133"/>
  <c r="Q44" i="133"/>
  <c r="Q44" i="134" s="1"/>
  <c r="R44" i="133"/>
  <c r="R44" i="134" s="1"/>
  <c r="S44" i="133"/>
  <c r="T44" i="133"/>
  <c r="U44" i="133"/>
  <c r="U44" i="134" s="1"/>
  <c r="V44" i="133"/>
  <c r="AJ26" i="158" l="1"/>
  <c r="AH26" i="158" s="1"/>
  <c r="AE26" i="158"/>
  <c r="AG27" i="158"/>
  <c r="AK26" i="158"/>
  <c r="AE53" i="162"/>
  <c r="AL24" i="129"/>
  <c r="AO23" i="129"/>
  <c r="AM23" i="129" s="1"/>
  <c r="AF89" i="129"/>
  <c r="AF145" i="129"/>
  <c r="AN30" i="129"/>
  <c r="AJ24" i="129"/>
  <c r="AF31" i="129"/>
  <c r="AN30" i="162"/>
  <c r="AL30" i="162" s="1"/>
  <c r="AI30" i="162"/>
  <c r="AO30" i="162" s="1"/>
  <c r="AK31" i="162"/>
  <c r="AM36" i="162"/>
  <c r="AJ23" i="129"/>
  <c r="AP23" i="129" s="1"/>
  <c r="L44" i="134"/>
  <c r="L202" i="134"/>
  <c r="L123" i="134"/>
  <c r="L40" i="134"/>
  <c r="L198" i="134"/>
  <c r="L119" i="134"/>
  <c r="L113" i="134"/>
  <c r="L192" i="134"/>
  <c r="L112" i="134"/>
  <c r="L191" i="134"/>
  <c r="L32" i="134"/>
  <c r="L111" i="134"/>
  <c r="L190" i="134"/>
  <c r="L189" i="134"/>
  <c r="L110" i="134"/>
  <c r="L24" i="134"/>
  <c r="L103" i="134"/>
  <c r="L182" i="134"/>
  <c r="L20" i="134"/>
  <c r="L99" i="134"/>
  <c r="L178" i="134"/>
  <c r="L177" i="134"/>
  <c r="L98" i="134"/>
  <c r="L8" i="134"/>
  <c r="L87" i="134"/>
  <c r="L166" i="134"/>
  <c r="L165" i="134"/>
  <c r="L86" i="134"/>
  <c r="L85" i="134"/>
  <c r="L164" i="134"/>
  <c r="L4" i="134"/>
  <c r="L162" i="134"/>
  <c r="L83" i="134"/>
  <c r="L161" i="134"/>
  <c r="L82" i="134"/>
  <c r="L33" i="134"/>
  <c r="K44" i="134"/>
  <c r="K123" i="134"/>
  <c r="K202" i="134"/>
  <c r="K43" i="134"/>
  <c r="K122" i="134"/>
  <c r="K201" i="134"/>
  <c r="K120" i="134"/>
  <c r="K199" i="134"/>
  <c r="K40" i="134"/>
  <c r="K198" i="134"/>
  <c r="K119" i="134"/>
  <c r="K39" i="134"/>
  <c r="K197" i="134"/>
  <c r="K118" i="134"/>
  <c r="K196" i="134"/>
  <c r="K117" i="134"/>
  <c r="K35" i="134"/>
  <c r="K193" i="134"/>
  <c r="K114" i="134"/>
  <c r="K192" i="134"/>
  <c r="K113" i="134"/>
  <c r="K33" i="134"/>
  <c r="K191" i="134"/>
  <c r="K112" i="134"/>
  <c r="K32" i="134"/>
  <c r="K190" i="134"/>
  <c r="K111" i="134"/>
  <c r="K31" i="134"/>
  <c r="K189" i="134"/>
  <c r="K110" i="134"/>
  <c r="K24" i="134"/>
  <c r="K182" i="134"/>
  <c r="K103" i="134"/>
  <c r="K23" i="134"/>
  <c r="K181" i="134"/>
  <c r="K102" i="134"/>
  <c r="K20" i="134"/>
  <c r="K178" i="134"/>
  <c r="K99" i="134"/>
  <c r="K19" i="134"/>
  <c r="K177" i="134"/>
  <c r="K98" i="134"/>
  <c r="K14" i="134"/>
  <c r="K172" i="134"/>
  <c r="K93" i="134"/>
  <c r="K13" i="134"/>
  <c r="K92" i="134"/>
  <c r="K171" i="134"/>
  <c r="K10" i="134"/>
  <c r="K168" i="134"/>
  <c r="K89" i="134"/>
  <c r="K8" i="134"/>
  <c r="K87" i="134"/>
  <c r="K166" i="134"/>
  <c r="K7" i="134"/>
  <c r="K86" i="134"/>
  <c r="K165" i="134"/>
  <c r="K6" i="134"/>
  <c r="K164" i="134"/>
  <c r="K85" i="134"/>
  <c r="K4" i="134"/>
  <c r="K162" i="134"/>
  <c r="K83" i="134"/>
  <c r="K3" i="134"/>
  <c r="K161" i="134"/>
  <c r="K82" i="134"/>
  <c r="J202" i="134"/>
  <c r="J123" i="134"/>
  <c r="J43" i="134"/>
  <c r="J201" i="134"/>
  <c r="J122" i="134"/>
  <c r="J120" i="134"/>
  <c r="J199" i="134"/>
  <c r="J198" i="134"/>
  <c r="J119" i="134"/>
  <c r="J39" i="134"/>
  <c r="J118" i="134"/>
  <c r="J197" i="134"/>
  <c r="J38" i="134"/>
  <c r="J196" i="134"/>
  <c r="J117" i="134"/>
  <c r="J35" i="134"/>
  <c r="J114" i="134"/>
  <c r="J193" i="134"/>
  <c r="J34" i="134"/>
  <c r="J113" i="134"/>
  <c r="J192" i="134"/>
  <c r="J33" i="134"/>
  <c r="J112" i="134"/>
  <c r="J191" i="134"/>
  <c r="J111" i="134"/>
  <c r="J190" i="134"/>
  <c r="J31" i="134"/>
  <c r="J110" i="134"/>
  <c r="J189" i="134"/>
  <c r="J182" i="134"/>
  <c r="J103" i="134"/>
  <c r="J23" i="134"/>
  <c r="J181" i="134"/>
  <c r="J102" i="134"/>
  <c r="J178" i="134"/>
  <c r="J99" i="134"/>
  <c r="J19" i="134"/>
  <c r="J177" i="134"/>
  <c r="J98" i="134"/>
  <c r="J14" i="134"/>
  <c r="J93" i="134"/>
  <c r="J172" i="134"/>
  <c r="J13" i="134"/>
  <c r="J92" i="134"/>
  <c r="J171" i="134"/>
  <c r="J10" i="134"/>
  <c r="J89" i="134"/>
  <c r="J168" i="134"/>
  <c r="J87" i="134"/>
  <c r="J166" i="134"/>
  <c r="J7" i="134"/>
  <c r="J86" i="134"/>
  <c r="J165" i="134"/>
  <c r="J6" i="134"/>
  <c r="J164" i="134"/>
  <c r="J85" i="134"/>
  <c r="J162" i="134"/>
  <c r="J83" i="134"/>
  <c r="J3" i="134"/>
  <c r="J161" i="134"/>
  <c r="J82" i="134"/>
  <c r="L31" i="134"/>
  <c r="I123" i="134"/>
  <c r="I202" i="134"/>
  <c r="I43" i="134"/>
  <c r="I122" i="134"/>
  <c r="I201" i="134"/>
  <c r="I199" i="134"/>
  <c r="I120" i="134"/>
  <c r="I198" i="134"/>
  <c r="I119" i="134"/>
  <c r="I39" i="134"/>
  <c r="I197" i="134"/>
  <c r="I118" i="134"/>
  <c r="I38" i="134"/>
  <c r="I196" i="134"/>
  <c r="I117" i="134"/>
  <c r="I35" i="134"/>
  <c r="I114" i="134"/>
  <c r="I193" i="134"/>
  <c r="I34" i="134"/>
  <c r="I192" i="134"/>
  <c r="I113" i="134"/>
  <c r="I33" i="134"/>
  <c r="I191" i="134"/>
  <c r="I112" i="134"/>
  <c r="I190" i="134"/>
  <c r="I111" i="134"/>
  <c r="I31" i="134"/>
  <c r="I189" i="134"/>
  <c r="I110" i="134"/>
  <c r="I103" i="134"/>
  <c r="I182" i="134"/>
  <c r="I23" i="134"/>
  <c r="I181" i="134"/>
  <c r="I102" i="134"/>
  <c r="I99" i="134"/>
  <c r="I178" i="134"/>
  <c r="I19" i="134"/>
  <c r="I98" i="134"/>
  <c r="I177" i="134"/>
  <c r="I14" i="134"/>
  <c r="I172" i="134"/>
  <c r="I93" i="134"/>
  <c r="I13" i="134"/>
  <c r="I171" i="134"/>
  <c r="I92" i="134"/>
  <c r="I10" i="134"/>
  <c r="I89" i="134"/>
  <c r="I168" i="134"/>
  <c r="I166" i="134"/>
  <c r="I87" i="134"/>
  <c r="I7" i="134"/>
  <c r="I165" i="134"/>
  <c r="I86" i="134"/>
  <c r="I6" i="134"/>
  <c r="I164" i="134"/>
  <c r="I85" i="134"/>
  <c r="I83" i="134"/>
  <c r="I162" i="134"/>
  <c r="I3" i="134"/>
  <c r="I82" i="134"/>
  <c r="I161" i="134"/>
  <c r="L6" i="134"/>
  <c r="V38" i="134"/>
  <c r="V196" i="134"/>
  <c r="V117" i="134"/>
  <c r="V35" i="134"/>
  <c r="V114" i="134"/>
  <c r="V193" i="134"/>
  <c r="V31" i="134"/>
  <c r="V110" i="134"/>
  <c r="V189" i="134"/>
  <c r="V19" i="134"/>
  <c r="V98" i="134"/>
  <c r="V177" i="134"/>
  <c r="V7" i="134"/>
  <c r="V165" i="134"/>
  <c r="V86" i="134"/>
  <c r="V4" i="134"/>
  <c r="V162" i="134"/>
  <c r="V83" i="134"/>
  <c r="U197" i="134"/>
  <c r="U118" i="134"/>
  <c r="U34" i="134"/>
  <c r="U192" i="134"/>
  <c r="U113" i="134"/>
  <c r="U190" i="134"/>
  <c r="U111" i="134"/>
  <c r="U10" i="134"/>
  <c r="U168" i="134"/>
  <c r="U89" i="134"/>
  <c r="U86" i="134"/>
  <c r="U165" i="134"/>
  <c r="U162" i="134"/>
  <c r="U83" i="134"/>
  <c r="T202" i="134"/>
  <c r="T123" i="134"/>
  <c r="T198" i="134"/>
  <c r="T119" i="134"/>
  <c r="T103" i="134"/>
  <c r="T182" i="134"/>
  <c r="T178" i="134"/>
  <c r="T99" i="134"/>
  <c r="T164" i="134"/>
  <c r="T85" i="134"/>
  <c r="S117" i="134"/>
  <c r="S196" i="134"/>
  <c r="S114" i="134"/>
  <c r="S193" i="134"/>
  <c r="S111" i="134"/>
  <c r="S190" i="134"/>
  <c r="S98" i="134"/>
  <c r="S177" i="134"/>
  <c r="S87" i="134"/>
  <c r="S166" i="134"/>
  <c r="S165" i="134"/>
  <c r="S86" i="134"/>
  <c r="S161" i="134"/>
  <c r="S82" i="134"/>
  <c r="R197" i="134"/>
  <c r="R118" i="134"/>
  <c r="R192" i="134"/>
  <c r="R113" i="134"/>
  <c r="R33" i="134"/>
  <c r="R112" i="134"/>
  <c r="R191" i="134"/>
  <c r="R110" i="134"/>
  <c r="R189" i="134"/>
  <c r="R89" i="134"/>
  <c r="R168" i="134"/>
  <c r="R87" i="134"/>
  <c r="R166" i="134"/>
  <c r="R85" i="134"/>
  <c r="R164" i="134"/>
  <c r="R82" i="134"/>
  <c r="R161" i="134"/>
  <c r="Q122" i="134"/>
  <c r="Q201" i="134"/>
  <c r="Q41" i="134"/>
  <c r="Q120" i="134"/>
  <c r="Q199" i="134"/>
  <c r="Q33" i="134"/>
  <c r="Q112" i="134"/>
  <c r="Q191" i="134"/>
  <c r="Q110" i="134"/>
  <c r="Q189" i="134"/>
  <c r="Q178" i="134"/>
  <c r="Q99" i="134"/>
  <c r="Q89" i="134"/>
  <c r="Q168" i="134"/>
  <c r="Q83" i="134"/>
  <c r="Q162" i="134"/>
  <c r="S8" i="134"/>
  <c r="P123" i="134"/>
  <c r="P202" i="134"/>
  <c r="P41" i="134"/>
  <c r="P199" i="134"/>
  <c r="P120" i="134"/>
  <c r="P181" i="134"/>
  <c r="P102" i="134"/>
  <c r="P177" i="134"/>
  <c r="P98" i="134"/>
  <c r="P161" i="134"/>
  <c r="P82" i="134"/>
  <c r="O197" i="134"/>
  <c r="O118" i="134"/>
  <c r="O113" i="134"/>
  <c r="O192" i="134"/>
  <c r="O190" i="134"/>
  <c r="O111" i="134"/>
  <c r="O102" i="134"/>
  <c r="O181" i="134"/>
  <c r="O93" i="134"/>
  <c r="O172" i="134"/>
  <c r="O85" i="134"/>
  <c r="O164" i="134"/>
  <c r="N123" i="134"/>
  <c r="N202" i="134"/>
  <c r="N120" i="134"/>
  <c r="N199" i="134"/>
  <c r="N93" i="134"/>
  <c r="N172" i="134"/>
  <c r="N85" i="134"/>
  <c r="N164" i="134"/>
  <c r="M118" i="134"/>
  <c r="M197" i="134"/>
  <c r="M192" i="134"/>
  <c r="M113" i="134"/>
  <c r="M32" i="134"/>
  <c r="M190" i="134"/>
  <c r="M111" i="134"/>
  <c r="L196" i="134"/>
  <c r="L117" i="134"/>
  <c r="L92" i="134"/>
  <c r="L171" i="134"/>
  <c r="O6" i="134"/>
  <c r="H123" i="134"/>
  <c r="H202" i="134"/>
  <c r="H38" i="134"/>
  <c r="H196" i="134"/>
  <c r="H117" i="134"/>
  <c r="H35" i="134"/>
  <c r="H114" i="134"/>
  <c r="H193" i="134"/>
  <c r="H111" i="134"/>
  <c r="H190" i="134"/>
  <c r="H14" i="134"/>
  <c r="H172" i="134"/>
  <c r="H93" i="134"/>
  <c r="H162" i="134"/>
  <c r="H83" i="134"/>
  <c r="T44" i="134"/>
  <c r="G39" i="134"/>
  <c r="G197" i="134"/>
  <c r="G118" i="134"/>
  <c r="G34" i="134"/>
  <c r="G113" i="134"/>
  <c r="G192" i="134"/>
  <c r="G111" i="134"/>
  <c r="G190" i="134"/>
  <c r="G103" i="134"/>
  <c r="G182" i="134"/>
  <c r="G13" i="134"/>
  <c r="G92" i="134"/>
  <c r="G171" i="134"/>
  <c r="G10" i="134"/>
  <c r="G89" i="134"/>
  <c r="G168" i="134"/>
  <c r="G6" i="134"/>
  <c r="G164" i="134"/>
  <c r="G85" i="134"/>
  <c r="F44" i="134"/>
  <c r="F123" i="134"/>
  <c r="F202" i="134"/>
  <c r="F43" i="134"/>
  <c r="F122" i="134"/>
  <c r="F201" i="134"/>
  <c r="F41" i="134"/>
  <c r="F120" i="134"/>
  <c r="F199" i="134"/>
  <c r="F40" i="134"/>
  <c r="F119" i="134"/>
  <c r="F198" i="134"/>
  <c r="F39" i="134"/>
  <c r="F118" i="134"/>
  <c r="F197" i="134"/>
  <c r="F38" i="134"/>
  <c r="F196" i="134"/>
  <c r="F117" i="134"/>
  <c r="F35" i="134"/>
  <c r="F193" i="134"/>
  <c r="F114" i="134"/>
  <c r="F34" i="134"/>
  <c r="F192" i="134"/>
  <c r="F113" i="134"/>
  <c r="F33" i="134"/>
  <c r="F191" i="134"/>
  <c r="F112" i="134"/>
  <c r="F32" i="134"/>
  <c r="F190" i="134"/>
  <c r="F111" i="134"/>
  <c r="F31" i="134"/>
  <c r="F110" i="134"/>
  <c r="F189" i="134"/>
  <c r="F24" i="134"/>
  <c r="F103" i="134"/>
  <c r="F182" i="134"/>
  <c r="F23" i="134"/>
  <c r="F102" i="134"/>
  <c r="F181" i="134"/>
  <c r="F20" i="134"/>
  <c r="F99" i="134"/>
  <c r="F178" i="134"/>
  <c r="F19" i="134"/>
  <c r="F98" i="134"/>
  <c r="F177" i="134"/>
  <c r="F14" i="134"/>
  <c r="F172" i="134"/>
  <c r="F93" i="134"/>
  <c r="F13" i="134"/>
  <c r="F171" i="134"/>
  <c r="F92" i="134"/>
  <c r="F10" i="134"/>
  <c r="F89" i="134"/>
  <c r="F168" i="134"/>
  <c r="F8" i="134"/>
  <c r="F87" i="134"/>
  <c r="F166" i="134"/>
  <c r="F7" i="134"/>
  <c r="F165" i="134"/>
  <c r="F86" i="134"/>
  <c r="F6" i="134"/>
  <c r="F164" i="134"/>
  <c r="F85" i="134"/>
  <c r="F4" i="134"/>
  <c r="F83" i="134"/>
  <c r="F162" i="134"/>
  <c r="F3" i="134"/>
  <c r="F82" i="134"/>
  <c r="F161" i="134"/>
  <c r="V39" i="134"/>
  <c r="V118" i="134"/>
  <c r="V197" i="134"/>
  <c r="V34" i="134"/>
  <c r="V192" i="134"/>
  <c r="V113" i="134"/>
  <c r="V32" i="134"/>
  <c r="V190" i="134"/>
  <c r="V111" i="134"/>
  <c r="V8" i="134"/>
  <c r="V166" i="134"/>
  <c r="V87" i="134"/>
  <c r="V3" i="134"/>
  <c r="V161" i="134"/>
  <c r="V82" i="134"/>
  <c r="U198" i="134"/>
  <c r="U119" i="134"/>
  <c r="U33" i="134"/>
  <c r="U191" i="134"/>
  <c r="U112" i="134"/>
  <c r="U189" i="134"/>
  <c r="U110" i="134"/>
  <c r="U103" i="134"/>
  <c r="U182" i="134"/>
  <c r="U13" i="134"/>
  <c r="U92" i="134"/>
  <c r="U171" i="134"/>
  <c r="T197" i="134"/>
  <c r="T118" i="134"/>
  <c r="T113" i="134"/>
  <c r="T192" i="134"/>
  <c r="T181" i="134"/>
  <c r="T102" i="134"/>
  <c r="T13" i="134"/>
  <c r="T92" i="134"/>
  <c r="T171" i="134"/>
  <c r="T89" i="134"/>
  <c r="T168" i="134"/>
  <c r="T87" i="134"/>
  <c r="T166" i="134"/>
  <c r="T86" i="134"/>
  <c r="T165" i="134"/>
  <c r="T82" i="134"/>
  <c r="T161" i="134"/>
  <c r="S201" i="134"/>
  <c r="S122" i="134"/>
  <c r="S41" i="134"/>
  <c r="S199" i="134"/>
  <c r="S120" i="134"/>
  <c r="S33" i="134"/>
  <c r="S191" i="134"/>
  <c r="S112" i="134"/>
  <c r="S181" i="134"/>
  <c r="S102" i="134"/>
  <c r="S99" i="134"/>
  <c r="S178" i="134"/>
  <c r="S172" i="134"/>
  <c r="S93" i="134"/>
  <c r="R198" i="134"/>
  <c r="R119" i="134"/>
  <c r="R111" i="134"/>
  <c r="R190" i="134"/>
  <c r="R103" i="134"/>
  <c r="R182" i="134"/>
  <c r="R13" i="134"/>
  <c r="R171" i="134"/>
  <c r="R92" i="134"/>
  <c r="Q198" i="134"/>
  <c r="Q119" i="134"/>
  <c r="Q181" i="134"/>
  <c r="Q102" i="134"/>
  <c r="Q165" i="134"/>
  <c r="Q86" i="134"/>
  <c r="P197" i="134"/>
  <c r="P118" i="134"/>
  <c r="P113" i="134"/>
  <c r="P192" i="134"/>
  <c r="P103" i="134"/>
  <c r="P182" i="134"/>
  <c r="P99" i="134"/>
  <c r="P178" i="134"/>
  <c r="P13" i="134"/>
  <c r="P92" i="134"/>
  <c r="P171" i="134"/>
  <c r="P168" i="134"/>
  <c r="P89" i="134"/>
  <c r="U39" i="134"/>
  <c r="O122" i="134"/>
  <c r="O201" i="134"/>
  <c r="O119" i="134"/>
  <c r="O198" i="134"/>
  <c r="O99" i="134"/>
  <c r="O178" i="134"/>
  <c r="O168" i="134"/>
  <c r="O89" i="134"/>
  <c r="O165" i="134"/>
  <c r="O86" i="134"/>
  <c r="O82" i="134"/>
  <c r="O161" i="134"/>
  <c r="T39" i="134"/>
  <c r="N118" i="134"/>
  <c r="N197" i="134"/>
  <c r="N192" i="134"/>
  <c r="N113" i="134"/>
  <c r="N189" i="134"/>
  <c r="N110" i="134"/>
  <c r="N98" i="134"/>
  <c r="N177" i="134"/>
  <c r="M44" i="134"/>
  <c r="M123" i="134"/>
  <c r="M202" i="134"/>
  <c r="M117" i="134"/>
  <c r="M196" i="134"/>
  <c r="M193" i="134"/>
  <c r="M114" i="134"/>
  <c r="M98" i="134"/>
  <c r="M177" i="134"/>
  <c r="M8" i="134"/>
  <c r="M166" i="134"/>
  <c r="M87" i="134"/>
  <c r="M4" i="134"/>
  <c r="M83" i="134"/>
  <c r="M162" i="134"/>
  <c r="R39" i="134"/>
  <c r="L199" i="134"/>
  <c r="L120" i="134"/>
  <c r="L114" i="134"/>
  <c r="L193" i="134"/>
  <c r="L168" i="134"/>
  <c r="L89" i="134"/>
  <c r="T10" i="134"/>
  <c r="H39" i="134"/>
  <c r="H197" i="134"/>
  <c r="H118" i="134"/>
  <c r="H34" i="134"/>
  <c r="H113" i="134"/>
  <c r="H192" i="134"/>
  <c r="H31" i="134"/>
  <c r="H110" i="134"/>
  <c r="H189" i="134"/>
  <c r="H103" i="134"/>
  <c r="H182" i="134"/>
  <c r="H178" i="134"/>
  <c r="H99" i="134"/>
  <c r="U40" i="134"/>
  <c r="R32" i="134"/>
  <c r="G202" i="134"/>
  <c r="G123" i="134"/>
  <c r="G38" i="134"/>
  <c r="G117" i="134"/>
  <c r="G196" i="134"/>
  <c r="G35" i="134"/>
  <c r="G114" i="134"/>
  <c r="G193" i="134"/>
  <c r="G23" i="134"/>
  <c r="G102" i="134"/>
  <c r="G181" i="134"/>
  <c r="G178" i="134"/>
  <c r="G99" i="134"/>
  <c r="P19" i="134"/>
  <c r="O10" i="134"/>
  <c r="E44" i="134"/>
  <c r="E202" i="134"/>
  <c r="E123" i="134"/>
  <c r="E43" i="134"/>
  <c r="E201" i="134"/>
  <c r="E122" i="134"/>
  <c r="E41" i="134"/>
  <c r="E120" i="134"/>
  <c r="E199" i="134"/>
  <c r="E40" i="134"/>
  <c r="E198" i="134"/>
  <c r="E119" i="134"/>
  <c r="E39" i="134"/>
  <c r="E197" i="134"/>
  <c r="E118" i="134"/>
  <c r="E38" i="134"/>
  <c r="E196" i="134"/>
  <c r="E117" i="134"/>
  <c r="E35" i="134"/>
  <c r="E193" i="134"/>
  <c r="E114" i="134"/>
  <c r="E34" i="134"/>
  <c r="E113" i="134"/>
  <c r="E192" i="134"/>
  <c r="E33" i="134"/>
  <c r="E112" i="134"/>
  <c r="E191" i="134"/>
  <c r="E32" i="134"/>
  <c r="E111" i="134"/>
  <c r="E190" i="134"/>
  <c r="E31" i="134"/>
  <c r="E110" i="134"/>
  <c r="E189" i="134"/>
  <c r="E24" i="134"/>
  <c r="E103" i="134"/>
  <c r="E182" i="134"/>
  <c r="E23" i="134"/>
  <c r="E102" i="134"/>
  <c r="E181" i="134"/>
  <c r="E20" i="134"/>
  <c r="E178" i="134"/>
  <c r="E99" i="134"/>
  <c r="E19" i="134"/>
  <c r="E177" i="134"/>
  <c r="E98" i="134"/>
  <c r="E14" i="134"/>
  <c r="E172" i="134"/>
  <c r="E93" i="134"/>
  <c r="E13" i="134"/>
  <c r="E92" i="134"/>
  <c r="E171" i="134"/>
  <c r="E10" i="134"/>
  <c r="E89" i="134"/>
  <c r="E168" i="134"/>
  <c r="E8" i="134"/>
  <c r="E166" i="134"/>
  <c r="E87" i="134"/>
  <c r="E7" i="134"/>
  <c r="E86" i="134"/>
  <c r="E165" i="134"/>
  <c r="E6" i="134"/>
  <c r="E164" i="134"/>
  <c r="E85" i="134"/>
  <c r="E4" i="134"/>
  <c r="E162" i="134"/>
  <c r="E83" i="134"/>
  <c r="E3" i="134"/>
  <c r="E82" i="134"/>
  <c r="E161" i="134"/>
  <c r="R40" i="134"/>
  <c r="S38" i="134"/>
  <c r="T34" i="134"/>
  <c r="O32" i="134"/>
  <c r="S23" i="134"/>
  <c r="N19" i="134"/>
  <c r="S7" i="134"/>
  <c r="V44" i="134"/>
  <c r="V123" i="134"/>
  <c r="V202" i="134"/>
  <c r="V41" i="134"/>
  <c r="V120" i="134"/>
  <c r="V199" i="134"/>
  <c r="V24" i="134"/>
  <c r="V103" i="134"/>
  <c r="V182" i="134"/>
  <c r="V13" i="134"/>
  <c r="V92" i="134"/>
  <c r="V171" i="134"/>
  <c r="V10" i="134"/>
  <c r="V89" i="134"/>
  <c r="V168" i="134"/>
  <c r="V6" i="134"/>
  <c r="V85" i="134"/>
  <c r="V164" i="134"/>
  <c r="U202" i="134"/>
  <c r="U123" i="134"/>
  <c r="U41" i="134"/>
  <c r="U199" i="134"/>
  <c r="U120" i="134"/>
  <c r="U102" i="134"/>
  <c r="U181" i="134"/>
  <c r="U99" i="134"/>
  <c r="U178" i="134"/>
  <c r="U161" i="134"/>
  <c r="U82" i="134"/>
  <c r="T41" i="134"/>
  <c r="T199" i="134"/>
  <c r="T120" i="134"/>
  <c r="T33" i="134"/>
  <c r="T112" i="134"/>
  <c r="T191" i="134"/>
  <c r="T189" i="134"/>
  <c r="T110" i="134"/>
  <c r="T162" i="134"/>
  <c r="T83" i="134"/>
  <c r="S123" i="134"/>
  <c r="S202" i="134"/>
  <c r="S198" i="134"/>
  <c r="S119" i="134"/>
  <c r="S182" i="134"/>
  <c r="S103" i="134"/>
  <c r="S13" i="134"/>
  <c r="S92" i="134"/>
  <c r="S171" i="134"/>
  <c r="S168" i="134"/>
  <c r="S89" i="134"/>
  <c r="S162" i="134"/>
  <c r="S83" i="134"/>
  <c r="U24" i="134"/>
  <c r="R201" i="134"/>
  <c r="R122" i="134"/>
  <c r="R41" i="134"/>
  <c r="R199" i="134"/>
  <c r="R120" i="134"/>
  <c r="R177" i="134"/>
  <c r="R98" i="134"/>
  <c r="R172" i="134"/>
  <c r="R93" i="134"/>
  <c r="R83" i="134"/>
  <c r="R162" i="134"/>
  <c r="Q118" i="134"/>
  <c r="Q197" i="134"/>
  <c r="Q113" i="134"/>
  <c r="Q192" i="134"/>
  <c r="Q111" i="134"/>
  <c r="Q190" i="134"/>
  <c r="Q177" i="134"/>
  <c r="Q98" i="134"/>
  <c r="Q93" i="134"/>
  <c r="Q172" i="134"/>
  <c r="Q87" i="134"/>
  <c r="Q166" i="134"/>
  <c r="T6" i="134"/>
  <c r="P201" i="134"/>
  <c r="P122" i="134"/>
  <c r="P198" i="134"/>
  <c r="P119" i="134"/>
  <c r="P33" i="134"/>
  <c r="P191" i="134"/>
  <c r="P112" i="134"/>
  <c r="P189" i="134"/>
  <c r="P110" i="134"/>
  <c r="P93" i="134"/>
  <c r="P172" i="134"/>
  <c r="P166" i="134"/>
  <c r="P87" i="134"/>
  <c r="P165" i="134"/>
  <c r="P86" i="134"/>
  <c r="P85" i="134"/>
  <c r="P164" i="134"/>
  <c r="R31" i="134"/>
  <c r="R8" i="134"/>
  <c r="O120" i="134"/>
  <c r="O199" i="134"/>
  <c r="O191" i="134"/>
  <c r="O112" i="134"/>
  <c r="O189" i="134"/>
  <c r="O110" i="134"/>
  <c r="O103" i="134"/>
  <c r="O182" i="134"/>
  <c r="O92" i="134"/>
  <c r="O171" i="134"/>
  <c r="O87" i="134"/>
  <c r="O166" i="134"/>
  <c r="O162" i="134"/>
  <c r="O83" i="134"/>
  <c r="R6" i="134"/>
  <c r="N198" i="134"/>
  <c r="N119" i="134"/>
  <c r="N191" i="134"/>
  <c r="N112" i="134"/>
  <c r="N190" i="134"/>
  <c r="N111" i="134"/>
  <c r="N182" i="134"/>
  <c r="N103" i="134"/>
  <c r="N92" i="134"/>
  <c r="N171" i="134"/>
  <c r="N168" i="134"/>
  <c r="N89" i="134"/>
  <c r="N86" i="134"/>
  <c r="N165" i="134"/>
  <c r="N82" i="134"/>
  <c r="N161" i="134"/>
  <c r="R43" i="134"/>
  <c r="P8" i="134"/>
  <c r="M122" i="134"/>
  <c r="M201" i="134"/>
  <c r="M120" i="134"/>
  <c r="M199" i="134"/>
  <c r="M102" i="134"/>
  <c r="M181" i="134"/>
  <c r="M20" i="134"/>
  <c r="M178" i="134"/>
  <c r="M99" i="134"/>
  <c r="M93" i="134"/>
  <c r="M172" i="134"/>
  <c r="M85" i="134"/>
  <c r="M164" i="134"/>
  <c r="O24" i="134"/>
  <c r="P6" i="134"/>
  <c r="L201" i="134"/>
  <c r="L122" i="134"/>
  <c r="L102" i="134"/>
  <c r="L181" i="134"/>
  <c r="L93" i="134"/>
  <c r="L172" i="134"/>
  <c r="H43" i="134"/>
  <c r="H122" i="134"/>
  <c r="H201" i="134"/>
  <c r="H199" i="134"/>
  <c r="H120" i="134"/>
  <c r="H19" i="134"/>
  <c r="H98" i="134"/>
  <c r="H177" i="134"/>
  <c r="H87" i="134"/>
  <c r="H166" i="134"/>
  <c r="H6" i="134"/>
  <c r="H164" i="134"/>
  <c r="H85" i="134"/>
  <c r="M39" i="134"/>
  <c r="Q19" i="134"/>
  <c r="G198" i="134"/>
  <c r="G119" i="134"/>
  <c r="G19" i="134"/>
  <c r="G177" i="134"/>
  <c r="G98" i="134"/>
  <c r="G14" i="134"/>
  <c r="G172" i="134"/>
  <c r="G93" i="134"/>
  <c r="G7" i="134"/>
  <c r="G86" i="134"/>
  <c r="G165" i="134"/>
  <c r="G3" i="134"/>
  <c r="G82" i="134"/>
  <c r="G161" i="134"/>
  <c r="S44" i="134"/>
  <c r="T40" i="134"/>
  <c r="M35" i="134"/>
  <c r="U23" i="134"/>
  <c r="U7" i="134"/>
  <c r="D44" i="134"/>
  <c r="D123" i="134"/>
  <c r="D202" i="134"/>
  <c r="D43" i="134"/>
  <c r="D122" i="134"/>
  <c r="D201" i="134"/>
  <c r="D41" i="134"/>
  <c r="D199" i="134"/>
  <c r="D120" i="134"/>
  <c r="D40" i="134"/>
  <c r="D198" i="134"/>
  <c r="D119" i="134"/>
  <c r="D39" i="134"/>
  <c r="D118" i="134"/>
  <c r="D197" i="134"/>
  <c r="D38" i="134"/>
  <c r="D117" i="134"/>
  <c r="D196" i="134"/>
  <c r="D35" i="134"/>
  <c r="D114" i="134"/>
  <c r="D193" i="134"/>
  <c r="D34" i="134"/>
  <c r="D113" i="134"/>
  <c r="D192" i="134"/>
  <c r="D33" i="134"/>
  <c r="D112" i="134"/>
  <c r="D191" i="134"/>
  <c r="D32" i="134"/>
  <c r="D111" i="134"/>
  <c r="D190" i="134"/>
  <c r="D31" i="134"/>
  <c r="D110" i="134"/>
  <c r="D189" i="134"/>
  <c r="D24" i="134"/>
  <c r="D182" i="134"/>
  <c r="D103" i="134"/>
  <c r="D23" i="134"/>
  <c r="D181" i="134"/>
  <c r="D102" i="134"/>
  <c r="D20" i="134"/>
  <c r="D99" i="134"/>
  <c r="D178" i="134"/>
  <c r="D19" i="134"/>
  <c r="D98" i="134"/>
  <c r="D177" i="134"/>
  <c r="D14" i="134"/>
  <c r="D172" i="134"/>
  <c r="D93" i="134"/>
  <c r="D13" i="134"/>
  <c r="D171" i="134"/>
  <c r="D92" i="134"/>
  <c r="D10" i="134"/>
  <c r="D168" i="134"/>
  <c r="D89" i="134"/>
  <c r="D8" i="134"/>
  <c r="D87" i="134"/>
  <c r="D166" i="134"/>
  <c r="D7" i="134"/>
  <c r="D165" i="134"/>
  <c r="D86" i="134"/>
  <c r="D6" i="134"/>
  <c r="D85" i="134"/>
  <c r="D164" i="134"/>
  <c r="D4" i="134"/>
  <c r="D162" i="134"/>
  <c r="D83" i="134"/>
  <c r="D3" i="134"/>
  <c r="D161" i="134"/>
  <c r="D82" i="134"/>
  <c r="P44" i="134"/>
  <c r="Q40" i="134"/>
  <c r="N32" i="134"/>
  <c r="U20" i="134"/>
  <c r="M19" i="134"/>
  <c r="Q14" i="134"/>
  <c r="L10" i="134"/>
  <c r="U4" i="134"/>
  <c r="V43" i="134"/>
  <c r="V122" i="134"/>
  <c r="V201" i="134"/>
  <c r="V40" i="134"/>
  <c r="V119" i="134"/>
  <c r="V198" i="134"/>
  <c r="V33" i="134"/>
  <c r="V191" i="134"/>
  <c r="V112" i="134"/>
  <c r="V23" i="134"/>
  <c r="V181" i="134"/>
  <c r="V102" i="134"/>
  <c r="V20" i="134"/>
  <c r="V178" i="134"/>
  <c r="V99" i="134"/>
  <c r="V14" i="134"/>
  <c r="V172" i="134"/>
  <c r="V93" i="134"/>
  <c r="U201" i="134"/>
  <c r="U122" i="134"/>
  <c r="U38" i="134"/>
  <c r="U196" i="134"/>
  <c r="U117" i="134"/>
  <c r="U193" i="134"/>
  <c r="U114" i="134"/>
  <c r="U177" i="134"/>
  <c r="U98" i="134"/>
  <c r="U14" i="134"/>
  <c r="U172" i="134"/>
  <c r="U93" i="134"/>
  <c r="U87" i="134"/>
  <c r="U166" i="134"/>
  <c r="U6" i="134"/>
  <c r="U164" i="134"/>
  <c r="U85" i="134"/>
  <c r="T201" i="134"/>
  <c r="T122" i="134"/>
  <c r="T196" i="134"/>
  <c r="T117" i="134"/>
  <c r="T114" i="134"/>
  <c r="T193" i="134"/>
  <c r="T190" i="134"/>
  <c r="T111" i="134"/>
  <c r="T98" i="134"/>
  <c r="T177" i="134"/>
  <c r="T172" i="134"/>
  <c r="T93" i="134"/>
  <c r="S197" i="134"/>
  <c r="S118" i="134"/>
  <c r="S113" i="134"/>
  <c r="S192" i="134"/>
  <c r="S110" i="134"/>
  <c r="S189" i="134"/>
  <c r="S164" i="134"/>
  <c r="S85" i="134"/>
  <c r="R202" i="134"/>
  <c r="R123" i="134"/>
  <c r="R117" i="134"/>
  <c r="R196" i="134"/>
  <c r="R193" i="134"/>
  <c r="R114" i="134"/>
  <c r="R102" i="134"/>
  <c r="R181" i="134"/>
  <c r="R178" i="134"/>
  <c r="R99" i="134"/>
  <c r="R86" i="134"/>
  <c r="R165" i="134"/>
  <c r="T24" i="134"/>
  <c r="Q123" i="134"/>
  <c r="Q202" i="134"/>
  <c r="Q196" i="134"/>
  <c r="Q117" i="134"/>
  <c r="Q114" i="134"/>
  <c r="Q193" i="134"/>
  <c r="Q103" i="134"/>
  <c r="Q182" i="134"/>
  <c r="Q13" i="134"/>
  <c r="Q92" i="134"/>
  <c r="Q171" i="134"/>
  <c r="Q164" i="134"/>
  <c r="Q85" i="134"/>
  <c r="Q161" i="134"/>
  <c r="Q82" i="134"/>
  <c r="P196" i="134"/>
  <c r="P117" i="134"/>
  <c r="P114" i="134"/>
  <c r="P193" i="134"/>
  <c r="P190" i="134"/>
  <c r="P111" i="134"/>
  <c r="P162" i="134"/>
  <c r="P83" i="134"/>
  <c r="O202" i="134"/>
  <c r="O123" i="134"/>
  <c r="O196" i="134"/>
  <c r="O117" i="134"/>
  <c r="O114" i="134"/>
  <c r="O193" i="134"/>
  <c r="O98" i="134"/>
  <c r="O177" i="134"/>
  <c r="S43" i="134"/>
  <c r="Q31" i="134"/>
  <c r="Q24" i="134"/>
  <c r="Q8" i="134"/>
  <c r="N122" i="134"/>
  <c r="N201" i="134"/>
  <c r="N196" i="134"/>
  <c r="N117" i="134"/>
  <c r="N193" i="134"/>
  <c r="N114" i="134"/>
  <c r="N181" i="134"/>
  <c r="N102" i="134"/>
  <c r="N99" i="134"/>
  <c r="N178" i="134"/>
  <c r="N87" i="134"/>
  <c r="N166" i="134"/>
  <c r="N83" i="134"/>
  <c r="N162" i="134"/>
  <c r="S39" i="134"/>
  <c r="P31" i="134"/>
  <c r="Q6" i="134"/>
  <c r="M40" i="134"/>
  <c r="M119" i="134"/>
  <c r="M198" i="134"/>
  <c r="M191" i="134"/>
  <c r="M112" i="134"/>
  <c r="M189" i="134"/>
  <c r="M110" i="134"/>
  <c r="M24" i="134"/>
  <c r="M103" i="134"/>
  <c r="M182" i="134"/>
  <c r="M92" i="134"/>
  <c r="M171" i="134"/>
  <c r="M89" i="134"/>
  <c r="M168" i="134"/>
  <c r="M165" i="134"/>
  <c r="M86" i="134"/>
  <c r="M82" i="134"/>
  <c r="M161" i="134"/>
  <c r="Q43" i="134"/>
  <c r="S35" i="134"/>
  <c r="O8" i="134"/>
  <c r="L197" i="134"/>
  <c r="L118" i="134"/>
  <c r="H119" i="134"/>
  <c r="H198" i="134"/>
  <c r="H33" i="134"/>
  <c r="H112" i="134"/>
  <c r="H191" i="134"/>
  <c r="H23" i="134"/>
  <c r="H102" i="134"/>
  <c r="H181" i="134"/>
  <c r="H13" i="134"/>
  <c r="H171" i="134"/>
  <c r="H92" i="134"/>
  <c r="H10" i="134"/>
  <c r="H168" i="134"/>
  <c r="H89" i="134"/>
  <c r="H7" i="134"/>
  <c r="H86" i="134"/>
  <c r="H165" i="134"/>
  <c r="H3" i="134"/>
  <c r="H161" i="134"/>
  <c r="H82" i="134"/>
  <c r="L43" i="134"/>
  <c r="N35" i="134"/>
  <c r="G43" i="134"/>
  <c r="G201" i="134"/>
  <c r="G122" i="134"/>
  <c r="G199" i="134"/>
  <c r="G120" i="134"/>
  <c r="G33" i="134"/>
  <c r="G191" i="134"/>
  <c r="G112" i="134"/>
  <c r="G31" i="134"/>
  <c r="G110" i="134"/>
  <c r="G189" i="134"/>
  <c r="G87" i="134"/>
  <c r="G166" i="134"/>
  <c r="G162" i="134"/>
  <c r="G83" i="134"/>
  <c r="Q32" i="134"/>
  <c r="P3" i="134"/>
  <c r="C44" i="134"/>
  <c r="C202" i="134"/>
  <c r="C123" i="134"/>
  <c r="C43" i="134"/>
  <c r="C201" i="134"/>
  <c r="C122" i="134"/>
  <c r="C41" i="134"/>
  <c r="C199" i="134"/>
  <c r="C120" i="134"/>
  <c r="C40" i="134"/>
  <c r="C198" i="134"/>
  <c r="C119" i="134"/>
  <c r="C39" i="134"/>
  <c r="C118" i="134"/>
  <c r="C197" i="134"/>
  <c r="C38" i="134"/>
  <c r="C117" i="134"/>
  <c r="C196" i="134"/>
  <c r="C35" i="134"/>
  <c r="C193" i="134"/>
  <c r="C114" i="134"/>
  <c r="C34" i="134"/>
  <c r="C192" i="134"/>
  <c r="C113" i="134"/>
  <c r="C33" i="134"/>
  <c r="C191" i="134"/>
  <c r="C112" i="134"/>
  <c r="C32" i="134"/>
  <c r="C111" i="134"/>
  <c r="C190" i="134"/>
  <c r="C31" i="134"/>
  <c r="C110" i="134"/>
  <c r="C189" i="134"/>
  <c r="C24" i="134"/>
  <c r="C103" i="134"/>
  <c r="C182" i="134"/>
  <c r="C23" i="134"/>
  <c r="C102" i="134"/>
  <c r="C181" i="134"/>
  <c r="C20" i="134"/>
  <c r="C178" i="134"/>
  <c r="C99" i="134"/>
  <c r="C19" i="134"/>
  <c r="C177" i="134"/>
  <c r="C98" i="134"/>
  <c r="C14" i="134"/>
  <c r="C172" i="134"/>
  <c r="C93" i="134"/>
  <c r="C13" i="134"/>
  <c r="C171" i="134"/>
  <c r="C92" i="134"/>
  <c r="C10" i="134"/>
  <c r="C89" i="134"/>
  <c r="C168" i="134"/>
  <c r="C8" i="134"/>
  <c r="C87" i="134"/>
  <c r="C166" i="134"/>
  <c r="C7" i="134"/>
  <c r="C86" i="134"/>
  <c r="C165" i="134"/>
  <c r="C6" i="134"/>
  <c r="C85" i="134"/>
  <c r="C164" i="134"/>
  <c r="C4" i="134"/>
  <c r="C83" i="134"/>
  <c r="C162" i="134"/>
  <c r="C3" i="134"/>
  <c r="C82" i="134"/>
  <c r="C161" i="134"/>
  <c r="O44" i="134"/>
  <c r="P40" i="134"/>
  <c r="Q38" i="134"/>
  <c r="R34" i="134"/>
  <c r="J32" i="134"/>
  <c r="Q23" i="134"/>
  <c r="T20" i="134"/>
  <c r="L19" i="134"/>
  <c r="P14" i="134"/>
  <c r="Q7" i="134"/>
  <c r="T4" i="134"/>
  <c r="L3" i="134"/>
  <c r="X4" i="140"/>
  <c r="X5" i="140"/>
  <c r="X6" i="140"/>
  <c r="X7" i="140"/>
  <c r="X8" i="140"/>
  <c r="X9" i="140"/>
  <c r="X10" i="140"/>
  <c r="X11" i="140"/>
  <c r="X12" i="140"/>
  <c r="X13" i="140"/>
  <c r="X14" i="140"/>
  <c r="X15" i="140"/>
  <c r="X16" i="140"/>
  <c r="X17" i="140"/>
  <c r="X18" i="140"/>
  <c r="X19" i="140"/>
  <c r="X20" i="140"/>
  <c r="X21" i="140"/>
  <c r="X22" i="140"/>
  <c r="X23" i="140"/>
  <c r="X24" i="140"/>
  <c r="X25" i="140"/>
  <c r="B6" i="141" s="1"/>
  <c r="X26" i="140"/>
  <c r="X27" i="140"/>
  <c r="X28" i="140"/>
  <c r="X29" i="140"/>
  <c r="X30" i="140"/>
  <c r="X31" i="140"/>
  <c r="X32" i="140"/>
  <c r="X33" i="140"/>
  <c r="X34" i="140"/>
  <c r="X35" i="140"/>
  <c r="X36" i="140"/>
  <c r="X37" i="140"/>
  <c r="X38" i="140"/>
  <c r="X39" i="140"/>
  <c r="X40" i="140"/>
  <c r="X41" i="140"/>
  <c r="X42" i="140"/>
  <c r="X43" i="140"/>
  <c r="X44" i="140"/>
  <c r="X45" i="140"/>
  <c r="X46" i="140"/>
  <c r="X47" i="140"/>
  <c r="X48" i="140"/>
  <c r="X3" i="140"/>
  <c r="D50" i="140"/>
  <c r="D50" i="133" s="1"/>
  <c r="E50" i="140"/>
  <c r="E50" i="133" s="1"/>
  <c r="F50" i="140"/>
  <c r="F50" i="133" s="1"/>
  <c r="G50" i="140"/>
  <c r="G50" i="133" s="1"/>
  <c r="H50" i="140"/>
  <c r="H50" i="133" s="1"/>
  <c r="I50" i="140"/>
  <c r="I50" i="133" s="1"/>
  <c r="J50" i="140"/>
  <c r="J50" i="133" s="1"/>
  <c r="K50" i="140"/>
  <c r="K50" i="133" s="1"/>
  <c r="L50" i="140"/>
  <c r="L50" i="133" s="1"/>
  <c r="M50" i="140"/>
  <c r="M50" i="133" s="1"/>
  <c r="N50" i="140"/>
  <c r="N50" i="133" s="1"/>
  <c r="O50" i="140"/>
  <c r="O50" i="133" s="1"/>
  <c r="P50" i="140"/>
  <c r="P50" i="133" s="1"/>
  <c r="Q50" i="140"/>
  <c r="Q50" i="133" s="1"/>
  <c r="R50" i="140"/>
  <c r="R50" i="133" s="1"/>
  <c r="S50" i="140"/>
  <c r="S50" i="133" s="1"/>
  <c r="T50" i="140"/>
  <c r="T50" i="133" s="1"/>
  <c r="U50" i="140"/>
  <c r="U50" i="133" s="1"/>
  <c r="V50" i="140"/>
  <c r="V50" i="133" s="1"/>
  <c r="C50" i="140"/>
  <c r="C50" i="133" s="1"/>
  <c r="A50" i="133"/>
  <c r="A51" i="133"/>
  <c r="A52" i="133"/>
  <c r="A53" i="133"/>
  <c r="A54" i="133"/>
  <c r="A55" i="133"/>
  <c r="A56" i="133"/>
  <c r="A49" i="133"/>
  <c r="AJ27" i="158" l="1"/>
  <c r="AE27" i="158"/>
  <c r="AG28" i="158"/>
  <c r="AH27" i="158"/>
  <c r="AK27" i="158"/>
  <c r="AE54" i="162"/>
  <c r="AF90" i="129"/>
  <c r="AF146" i="129"/>
  <c r="AN31" i="129"/>
  <c r="AL25" i="129"/>
  <c r="AO24" i="129"/>
  <c r="AM24" i="129" s="1"/>
  <c r="AP24" i="129"/>
  <c r="AJ25" i="129"/>
  <c r="AP25" i="129" s="1"/>
  <c r="AF32" i="129"/>
  <c r="D96" i="163" a="1"/>
  <c r="D96" i="163" s="1"/>
  <c r="AM37" i="162"/>
  <c r="AI31" i="162"/>
  <c r="AO31" i="162" s="1"/>
  <c r="AK32" i="162"/>
  <c r="AN31" i="162"/>
  <c r="AL31" i="162" s="1"/>
  <c r="B3" i="141"/>
  <c r="B8" i="141"/>
  <c r="B4" i="141"/>
  <c r="B2" i="141"/>
  <c r="B9" i="141"/>
  <c r="T29" i="133" s="1"/>
  <c r="A51" i="134"/>
  <c r="A209" i="134" s="1"/>
  <c r="A50" i="134"/>
  <c r="A129" i="134" s="1"/>
  <c r="A49" i="134"/>
  <c r="A128" i="134" s="1"/>
  <c r="A55" i="134"/>
  <c r="A213" i="134" s="1"/>
  <c r="A53" i="134"/>
  <c r="A211" i="134" s="1"/>
  <c r="A56" i="134"/>
  <c r="A135" i="134" s="1"/>
  <c r="A54" i="134"/>
  <c r="A133" i="134" s="1"/>
  <c r="A52" i="134"/>
  <c r="A131" i="134" s="1"/>
  <c r="J29" i="133"/>
  <c r="L29" i="133"/>
  <c r="O29" i="133"/>
  <c r="P29" i="133"/>
  <c r="Q29" i="133"/>
  <c r="R29" i="133"/>
  <c r="S29" i="133"/>
  <c r="K29" i="133"/>
  <c r="M29" i="133"/>
  <c r="N29" i="133"/>
  <c r="D29" i="133"/>
  <c r="G29" i="133"/>
  <c r="E29" i="133"/>
  <c r="H29" i="133"/>
  <c r="I29" i="133"/>
  <c r="J11" i="133"/>
  <c r="J21" i="133"/>
  <c r="J30" i="133"/>
  <c r="K21" i="133"/>
  <c r="K30" i="133"/>
  <c r="L11" i="133"/>
  <c r="L30" i="133"/>
  <c r="M11" i="133"/>
  <c r="M21" i="133"/>
  <c r="M30" i="133"/>
  <c r="O21" i="133"/>
  <c r="P11" i="133"/>
  <c r="P21" i="133"/>
  <c r="P30" i="133"/>
  <c r="Q11" i="133"/>
  <c r="Q21" i="133"/>
  <c r="Q30" i="133"/>
  <c r="R11" i="133"/>
  <c r="R21" i="133"/>
  <c r="S11" i="133"/>
  <c r="S21" i="133"/>
  <c r="S30" i="133"/>
  <c r="T11" i="133"/>
  <c r="T21" i="133"/>
  <c r="T30" i="133"/>
  <c r="U11" i="133"/>
  <c r="U21" i="133"/>
  <c r="U30" i="133"/>
  <c r="V11" i="133"/>
  <c r="V21" i="133"/>
  <c r="V30" i="133"/>
  <c r="C11" i="133"/>
  <c r="C21" i="133"/>
  <c r="C30" i="133"/>
  <c r="D11" i="133"/>
  <c r="D30" i="133"/>
  <c r="E11" i="133"/>
  <c r="E21" i="133"/>
  <c r="F11" i="133"/>
  <c r="F21" i="133"/>
  <c r="G30" i="133"/>
  <c r="K11" i="133"/>
  <c r="L21" i="133"/>
  <c r="N11" i="133"/>
  <c r="N21" i="133"/>
  <c r="O11" i="133"/>
  <c r="O30" i="133"/>
  <c r="R30" i="133"/>
  <c r="D21" i="133"/>
  <c r="F30" i="133"/>
  <c r="G11" i="133"/>
  <c r="G21" i="133"/>
  <c r="N30" i="133"/>
  <c r="E30" i="133"/>
  <c r="I11" i="133"/>
  <c r="H11" i="133"/>
  <c r="H30" i="133"/>
  <c r="I30" i="133"/>
  <c r="H21" i="133"/>
  <c r="I21" i="133"/>
  <c r="J9" i="133"/>
  <c r="J22" i="133"/>
  <c r="J26" i="133"/>
  <c r="J27" i="133"/>
  <c r="J28" i="133"/>
  <c r="J36" i="133"/>
  <c r="J48" i="133"/>
  <c r="K2" i="133"/>
  <c r="K27" i="133"/>
  <c r="K48" i="133"/>
  <c r="L26" i="133"/>
  <c r="L28" i="133"/>
  <c r="L36" i="133"/>
  <c r="L48" i="133"/>
  <c r="M2" i="133"/>
  <c r="M22" i="133"/>
  <c r="M27" i="133"/>
  <c r="M28" i="133"/>
  <c r="N22" i="133"/>
  <c r="N28" i="133"/>
  <c r="N36" i="133"/>
  <c r="O2" i="133"/>
  <c r="O9" i="133"/>
  <c r="O27" i="133"/>
  <c r="O36" i="133"/>
  <c r="O48" i="133"/>
  <c r="P2" i="133"/>
  <c r="P9" i="133"/>
  <c r="P22" i="133"/>
  <c r="P26" i="133"/>
  <c r="P27" i="133"/>
  <c r="P28" i="133"/>
  <c r="P36" i="133"/>
  <c r="P48" i="133"/>
  <c r="Q2" i="133"/>
  <c r="Q22" i="133"/>
  <c r="Q26" i="133"/>
  <c r="Q27" i="133"/>
  <c r="Q28" i="133"/>
  <c r="Q36" i="133"/>
  <c r="Q48" i="133"/>
  <c r="R2" i="133"/>
  <c r="R27" i="133"/>
  <c r="R36" i="133"/>
  <c r="R48" i="133"/>
  <c r="S2" i="133"/>
  <c r="S9" i="133"/>
  <c r="S22" i="133"/>
  <c r="S27" i="133"/>
  <c r="S28" i="133"/>
  <c r="S36" i="133"/>
  <c r="S48" i="133"/>
  <c r="T2" i="133"/>
  <c r="T9" i="133"/>
  <c r="T22" i="133"/>
  <c r="T26" i="133"/>
  <c r="T27" i="133"/>
  <c r="T28" i="133"/>
  <c r="T36" i="133"/>
  <c r="T48" i="133"/>
  <c r="U2" i="133"/>
  <c r="U9" i="133"/>
  <c r="U22" i="133"/>
  <c r="U26" i="133"/>
  <c r="U27" i="133"/>
  <c r="U28" i="133"/>
  <c r="U36" i="133"/>
  <c r="U48" i="133"/>
  <c r="V2" i="133"/>
  <c r="V9" i="133"/>
  <c r="V22" i="133"/>
  <c r="V26" i="133"/>
  <c r="V27" i="133"/>
  <c r="V28" i="133"/>
  <c r="V36" i="133"/>
  <c r="V48" i="133"/>
  <c r="C2" i="133"/>
  <c r="C9" i="133"/>
  <c r="C22" i="133"/>
  <c r="C26" i="133"/>
  <c r="C27" i="133"/>
  <c r="C28" i="133"/>
  <c r="C36" i="133"/>
  <c r="C48" i="133"/>
  <c r="D2" i="133"/>
  <c r="D9" i="133"/>
  <c r="D22" i="133"/>
  <c r="D26" i="133"/>
  <c r="D28" i="133"/>
  <c r="E2" i="133"/>
  <c r="E9" i="133"/>
  <c r="E22" i="133"/>
  <c r="E26" i="133"/>
  <c r="E36" i="133"/>
  <c r="E48" i="133"/>
  <c r="F9" i="133"/>
  <c r="F27" i="133"/>
  <c r="F36" i="133"/>
  <c r="F48" i="133"/>
  <c r="G2" i="133"/>
  <c r="G22" i="133"/>
  <c r="G26" i="133"/>
  <c r="G28" i="133"/>
  <c r="G36" i="133"/>
  <c r="K9" i="133"/>
  <c r="K22" i="133"/>
  <c r="K26" i="133"/>
  <c r="K28" i="133"/>
  <c r="K36" i="133"/>
  <c r="L2" i="133"/>
  <c r="L9" i="133"/>
  <c r="L22" i="133"/>
  <c r="L27" i="133"/>
  <c r="M9" i="133"/>
  <c r="M26" i="133"/>
  <c r="M36" i="133"/>
  <c r="M48" i="133"/>
  <c r="N2" i="133"/>
  <c r="N9" i="133"/>
  <c r="N26" i="133"/>
  <c r="N48" i="133"/>
  <c r="O22" i="133"/>
  <c r="O26" i="133"/>
  <c r="O28" i="133"/>
  <c r="Q9" i="133"/>
  <c r="R9" i="133"/>
  <c r="R22" i="133"/>
  <c r="R26" i="133"/>
  <c r="R28" i="133"/>
  <c r="S26" i="133"/>
  <c r="D36" i="133"/>
  <c r="D48" i="133"/>
  <c r="F2" i="133"/>
  <c r="F22" i="133"/>
  <c r="F26" i="133"/>
  <c r="F28" i="133"/>
  <c r="G9" i="133"/>
  <c r="G27" i="133"/>
  <c r="N27" i="133"/>
  <c r="D27" i="133"/>
  <c r="E27" i="133"/>
  <c r="E28" i="133"/>
  <c r="H26" i="133"/>
  <c r="I2" i="133"/>
  <c r="I26" i="133"/>
  <c r="G48" i="133"/>
  <c r="H48" i="133"/>
  <c r="I48" i="133"/>
  <c r="H9" i="133"/>
  <c r="H27" i="133"/>
  <c r="I9" i="133"/>
  <c r="I27" i="133"/>
  <c r="H28" i="133"/>
  <c r="H2" i="133"/>
  <c r="I28" i="133"/>
  <c r="I36" i="133"/>
  <c r="J2" i="133"/>
  <c r="H36" i="133"/>
  <c r="H22" i="133"/>
  <c r="I22" i="133"/>
  <c r="J25" i="133"/>
  <c r="K25" i="133"/>
  <c r="M25" i="133"/>
  <c r="O25" i="133"/>
  <c r="P25" i="133"/>
  <c r="Q25" i="133"/>
  <c r="R25" i="133"/>
  <c r="S25" i="133"/>
  <c r="T25" i="133"/>
  <c r="U25" i="133"/>
  <c r="V25" i="133"/>
  <c r="C25" i="133"/>
  <c r="E25" i="133"/>
  <c r="F25" i="133"/>
  <c r="L25" i="133"/>
  <c r="D25" i="133"/>
  <c r="G25" i="133"/>
  <c r="N25" i="133"/>
  <c r="H25" i="133"/>
  <c r="I25" i="133"/>
  <c r="J15" i="133"/>
  <c r="J16" i="133"/>
  <c r="J17" i="133"/>
  <c r="J18" i="133"/>
  <c r="J45" i="133"/>
  <c r="J46" i="133"/>
  <c r="J47" i="133"/>
  <c r="K16" i="133"/>
  <c r="K18" i="133"/>
  <c r="K46" i="133"/>
  <c r="L45" i="133"/>
  <c r="L46" i="133"/>
  <c r="L47" i="133"/>
  <c r="M15" i="133"/>
  <c r="M16" i="133"/>
  <c r="M17" i="133"/>
  <c r="M18" i="133"/>
  <c r="N15" i="133"/>
  <c r="N17" i="133"/>
  <c r="O15" i="133"/>
  <c r="O16" i="133"/>
  <c r="O17" i="133"/>
  <c r="O18" i="133"/>
  <c r="O45" i="133"/>
  <c r="O46" i="133"/>
  <c r="O47" i="133"/>
  <c r="P15" i="133"/>
  <c r="P16" i="133"/>
  <c r="P17" i="133"/>
  <c r="P18" i="133"/>
  <c r="P45" i="133"/>
  <c r="P46" i="133"/>
  <c r="P47" i="133"/>
  <c r="Q15" i="133"/>
  <c r="Q16" i="133"/>
  <c r="Q17" i="133"/>
  <c r="Q18" i="133"/>
  <c r="Q45" i="133"/>
  <c r="Q46" i="133"/>
  <c r="R18" i="133"/>
  <c r="R46" i="133"/>
  <c r="S15" i="133"/>
  <c r="S16" i="133"/>
  <c r="S17" i="133"/>
  <c r="S18" i="133"/>
  <c r="S45" i="133"/>
  <c r="S46" i="133"/>
  <c r="S47" i="133"/>
  <c r="T15" i="133"/>
  <c r="T16" i="133"/>
  <c r="T17" i="133"/>
  <c r="T18" i="133"/>
  <c r="T45" i="133"/>
  <c r="T46" i="133"/>
  <c r="T47" i="133"/>
  <c r="U15" i="133"/>
  <c r="U16" i="133"/>
  <c r="U17" i="133"/>
  <c r="U18" i="133"/>
  <c r="U45" i="133"/>
  <c r="U46" i="133"/>
  <c r="U47" i="133"/>
  <c r="V15" i="133"/>
  <c r="V16" i="133"/>
  <c r="V17" i="133"/>
  <c r="V18" i="133"/>
  <c r="V46" i="133"/>
  <c r="V47" i="133"/>
  <c r="C15" i="133"/>
  <c r="C16" i="133"/>
  <c r="C17" i="133"/>
  <c r="C18" i="133"/>
  <c r="C45" i="133"/>
  <c r="C47" i="133"/>
  <c r="D45" i="133"/>
  <c r="D47" i="133"/>
  <c r="E15" i="133"/>
  <c r="E16" i="133"/>
  <c r="E17" i="133"/>
  <c r="E18" i="133"/>
  <c r="E45" i="133"/>
  <c r="E46" i="133"/>
  <c r="E47" i="133"/>
  <c r="F15" i="133"/>
  <c r="F17" i="133"/>
  <c r="F18" i="133"/>
  <c r="F45" i="133"/>
  <c r="F46" i="133"/>
  <c r="K15" i="133"/>
  <c r="K17" i="133"/>
  <c r="K45" i="133"/>
  <c r="K47" i="133"/>
  <c r="L15" i="133"/>
  <c r="L16" i="133"/>
  <c r="L17" i="133"/>
  <c r="L18" i="133"/>
  <c r="M45" i="133"/>
  <c r="M46" i="133"/>
  <c r="M47" i="133"/>
  <c r="Q47" i="133"/>
  <c r="R15" i="133"/>
  <c r="R16" i="133"/>
  <c r="R17" i="133"/>
  <c r="R45" i="133"/>
  <c r="R47" i="133"/>
  <c r="C46" i="133"/>
  <c r="D15" i="133"/>
  <c r="D16" i="133"/>
  <c r="D17" i="133"/>
  <c r="D18" i="133"/>
  <c r="V45" i="133"/>
  <c r="F16" i="133"/>
  <c r="F47" i="133"/>
  <c r="G15" i="133"/>
  <c r="G16" i="133"/>
  <c r="G17" i="133"/>
  <c r="G18" i="133"/>
  <c r="N16" i="133"/>
  <c r="N18" i="133"/>
  <c r="N45" i="133"/>
  <c r="N46" i="133"/>
  <c r="N47" i="133"/>
  <c r="D46" i="133"/>
  <c r="I47" i="133"/>
  <c r="I17" i="133"/>
  <c r="H47" i="133"/>
  <c r="H15" i="133"/>
  <c r="I15" i="133"/>
  <c r="H16" i="133"/>
  <c r="I16" i="133"/>
  <c r="H17" i="133"/>
  <c r="H18" i="133"/>
  <c r="G45" i="133"/>
  <c r="I18" i="133"/>
  <c r="H45" i="133"/>
  <c r="I45" i="133"/>
  <c r="G46" i="133"/>
  <c r="H46" i="133"/>
  <c r="I46" i="133"/>
  <c r="G47" i="133"/>
  <c r="AJ28" i="158" l="1"/>
  <c r="AH28" i="158" s="1"/>
  <c r="AE28" i="158"/>
  <c r="AK28" i="158"/>
  <c r="AE55" i="162"/>
  <c r="AF91" i="129"/>
  <c r="AF147" i="129"/>
  <c r="AN32" i="129"/>
  <c r="AL26" i="129"/>
  <c r="AO25" i="129"/>
  <c r="AM25" i="129" s="1"/>
  <c r="AJ26" i="129"/>
  <c r="AP26" i="129" s="1"/>
  <c r="AF33" i="129"/>
  <c r="D95" i="163" a="1"/>
  <c r="D95" i="163" s="1"/>
  <c r="C105" i="163" s="1"/>
  <c r="D100" i="163" a="1"/>
  <c r="D100" i="163" s="1"/>
  <c r="D97" i="163" a="1"/>
  <c r="D97" i="163" s="1"/>
  <c r="C106" i="163" s="1"/>
  <c r="D94" i="163" a="1"/>
  <c r="D94" i="163" s="1"/>
  <c r="D99" i="163" a="1"/>
  <c r="D99" i="163" s="1"/>
  <c r="D101" i="163" a="1"/>
  <c r="D101" i="163" s="1"/>
  <c r="D98" i="163" a="1"/>
  <c r="D98" i="163" s="1"/>
  <c r="AK33" i="162"/>
  <c r="AN32" i="162"/>
  <c r="AL32" i="162" s="1"/>
  <c r="AI32" i="162"/>
  <c r="AO32" i="162" s="1"/>
  <c r="AM38" i="162"/>
  <c r="C29" i="133"/>
  <c r="B11" i="141"/>
  <c r="V5" i="133"/>
  <c r="V12" i="133"/>
  <c r="C37" i="133"/>
  <c r="C42" i="133"/>
  <c r="F5" i="133"/>
  <c r="F12" i="133"/>
  <c r="G42" i="133"/>
  <c r="G12" i="133"/>
  <c r="M37" i="133"/>
  <c r="M42" i="133"/>
  <c r="M12" i="133"/>
  <c r="Q37" i="133"/>
  <c r="R37" i="133"/>
  <c r="S37" i="133"/>
  <c r="S12" i="133"/>
  <c r="T37" i="133"/>
  <c r="U5" i="133"/>
  <c r="C5" i="133"/>
  <c r="C12" i="133"/>
  <c r="D37" i="133"/>
  <c r="D42" i="133"/>
  <c r="G37" i="133"/>
  <c r="L5" i="133"/>
  <c r="O5" i="133"/>
  <c r="Q5" i="133"/>
  <c r="D5" i="133"/>
  <c r="D12" i="133"/>
  <c r="E37" i="133"/>
  <c r="E42" i="133"/>
  <c r="H37" i="133"/>
  <c r="M5" i="133"/>
  <c r="N37" i="133"/>
  <c r="P37" i="133"/>
  <c r="T42" i="133"/>
  <c r="V37" i="133"/>
  <c r="E5" i="133"/>
  <c r="E12" i="133"/>
  <c r="F37" i="133"/>
  <c r="F42" i="133"/>
  <c r="G5" i="133"/>
  <c r="H42" i="133"/>
  <c r="K5" i="133"/>
  <c r="L37" i="133"/>
  <c r="N42" i="133"/>
  <c r="N5" i="133"/>
  <c r="Q12" i="133"/>
  <c r="R42" i="133"/>
  <c r="R5" i="133"/>
  <c r="S5" i="133"/>
  <c r="H5" i="133"/>
  <c r="H12" i="133"/>
  <c r="I37" i="133"/>
  <c r="I42" i="133"/>
  <c r="I5" i="133"/>
  <c r="I12" i="133"/>
  <c r="J37" i="133"/>
  <c r="J42" i="133"/>
  <c r="J5" i="133"/>
  <c r="J12" i="133"/>
  <c r="K37" i="133"/>
  <c r="K42" i="133"/>
  <c r="K12" i="133"/>
  <c r="L42" i="133"/>
  <c r="L12" i="133"/>
  <c r="N12" i="133"/>
  <c r="O37" i="133"/>
  <c r="O42" i="133"/>
  <c r="O12" i="133"/>
  <c r="P42" i="133"/>
  <c r="P5" i="133"/>
  <c r="P12" i="133"/>
  <c r="Q42" i="133"/>
  <c r="R12" i="133"/>
  <c r="S42" i="133"/>
  <c r="T5" i="133"/>
  <c r="T12" i="133"/>
  <c r="U37" i="133"/>
  <c r="U42" i="133"/>
  <c r="U12" i="133"/>
  <c r="V42" i="133"/>
  <c r="V29" i="133"/>
  <c r="F29" i="133"/>
  <c r="U29" i="133"/>
  <c r="A130" i="134"/>
  <c r="A134" i="134"/>
  <c r="A207" i="134"/>
  <c r="A208" i="134"/>
  <c r="A132" i="134"/>
  <c r="A210" i="134"/>
  <c r="A212" i="134"/>
  <c r="A214" i="134"/>
  <c r="S94" i="134"/>
  <c r="S15" i="134"/>
  <c r="S173" i="134"/>
  <c r="K25" i="134"/>
  <c r="K183" i="134"/>
  <c r="K104" i="134"/>
  <c r="E81" i="134"/>
  <c r="E2" i="134"/>
  <c r="E160" i="134"/>
  <c r="P26" i="134"/>
  <c r="P105" i="134"/>
  <c r="P184" i="134"/>
  <c r="I11" i="134"/>
  <c r="I169" i="134"/>
  <c r="I90" i="134"/>
  <c r="D11" i="134"/>
  <c r="D90" i="134"/>
  <c r="D169" i="134"/>
  <c r="V187" i="134"/>
  <c r="V29" i="134"/>
  <c r="V108" i="134"/>
  <c r="E45" i="134"/>
  <c r="E203" i="134"/>
  <c r="E124" i="134"/>
  <c r="J15" i="134"/>
  <c r="J94" i="134"/>
  <c r="J173" i="134"/>
  <c r="K115" i="134"/>
  <c r="K194" i="134"/>
  <c r="K36" i="134"/>
  <c r="S27" i="134"/>
  <c r="S106" i="134"/>
  <c r="S185" i="134"/>
  <c r="K27" i="134"/>
  <c r="K185" i="134"/>
  <c r="K106" i="134"/>
  <c r="P30" i="134"/>
  <c r="P109" i="134"/>
  <c r="P188" i="134"/>
  <c r="G47" i="134"/>
  <c r="G126" i="134"/>
  <c r="G205" i="134"/>
  <c r="E18" i="134"/>
  <c r="E176" i="134"/>
  <c r="E97" i="134"/>
  <c r="O15" i="134"/>
  <c r="O173" i="134"/>
  <c r="O94" i="134"/>
  <c r="I48" i="134"/>
  <c r="I127" i="134"/>
  <c r="I206" i="134"/>
  <c r="U48" i="134"/>
  <c r="U127" i="134"/>
  <c r="U206" i="134"/>
  <c r="P9" i="134"/>
  <c r="P88" i="134"/>
  <c r="P167" i="134"/>
  <c r="C100" i="134"/>
  <c r="C21" i="134"/>
  <c r="C179" i="134"/>
  <c r="I46" i="134"/>
  <c r="I204" i="134"/>
  <c r="I125" i="134"/>
  <c r="U97" i="134"/>
  <c r="U176" i="134"/>
  <c r="U18" i="134"/>
  <c r="H25" i="134"/>
  <c r="H104" i="134"/>
  <c r="H183" i="134"/>
  <c r="K184" i="134"/>
  <c r="K105" i="134"/>
  <c r="K26" i="134"/>
  <c r="J48" i="134"/>
  <c r="J206" i="134"/>
  <c r="J127" i="134"/>
  <c r="P11" i="134"/>
  <c r="P90" i="134"/>
  <c r="P169" i="134"/>
  <c r="H125" i="134"/>
  <c r="H204" i="134"/>
  <c r="H46" i="134"/>
  <c r="E174" i="134"/>
  <c r="E16" i="134"/>
  <c r="E95" i="134"/>
  <c r="N15" i="134"/>
  <c r="N94" i="134"/>
  <c r="N173" i="134"/>
  <c r="R88" i="134"/>
  <c r="R167" i="134"/>
  <c r="R9" i="134"/>
  <c r="O127" i="134"/>
  <c r="O206" i="134"/>
  <c r="O48" i="134"/>
  <c r="M45" i="134"/>
  <c r="M124" i="134"/>
  <c r="M203" i="134"/>
  <c r="Q18" i="134"/>
  <c r="Q176" i="134"/>
  <c r="Q97" i="134"/>
  <c r="I26" i="134"/>
  <c r="I105" i="134"/>
  <c r="I184" i="134"/>
  <c r="U27" i="134"/>
  <c r="U106" i="134"/>
  <c r="U185" i="134"/>
  <c r="O36" i="134"/>
  <c r="O194" i="134"/>
  <c r="O115" i="134"/>
  <c r="V100" i="134"/>
  <c r="V21" i="134"/>
  <c r="V179" i="134"/>
  <c r="M30" i="134"/>
  <c r="M188" i="134"/>
  <c r="M109" i="134"/>
  <c r="G175" i="134"/>
  <c r="G96" i="134"/>
  <c r="G17" i="134"/>
  <c r="Q17" i="134"/>
  <c r="Q175" i="134"/>
  <c r="Q96" i="134"/>
  <c r="I2" i="134"/>
  <c r="I81" i="134"/>
  <c r="I160" i="134"/>
  <c r="U26" i="134"/>
  <c r="U184" i="134"/>
  <c r="U105" i="134"/>
  <c r="V169" i="134"/>
  <c r="V11" i="134"/>
  <c r="V90" i="134"/>
  <c r="G16" i="134"/>
  <c r="G95" i="134"/>
  <c r="G174" i="134"/>
  <c r="D124" i="134"/>
  <c r="D203" i="134"/>
  <c r="D45" i="134"/>
  <c r="M16" i="134"/>
  <c r="M174" i="134"/>
  <c r="M95" i="134"/>
  <c r="G107" i="134"/>
  <c r="G186" i="134"/>
  <c r="G28" i="134"/>
  <c r="J26" i="134"/>
  <c r="J184" i="134"/>
  <c r="J105" i="134"/>
  <c r="L95" i="134"/>
  <c r="L16" i="134"/>
  <c r="L174" i="134"/>
  <c r="M15" i="134"/>
  <c r="M94" i="134"/>
  <c r="M173" i="134"/>
  <c r="U9" i="134"/>
  <c r="U167" i="134"/>
  <c r="U88" i="134"/>
  <c r="L94" i="134"/>
  <c r="L173" i="134"/>
  <c r="L15" i="134"/>
  <c r="P47" i="134"/>
  <c r="P205" i="134"/>
  <c r="P126" i="134"/>
  <c r="E185" i="134"/>
  <c r="E106" i="134"/>
  <c r="E27" i="134"/>
  <c r="U2" i="134"/>
  <c r="U81" i="134"/>
  <c r="U160" i="134"/>
  <c r="O11" i="134"/>
  <c r="O169" i="134"/>
  <c r="O90" i="134"/>
  <c r="F174" i="134"/>
  <c r="F95" i="134"/>
  <c r="F16" i="134"/>
  <c r="T18" i="134"/>
  <c r="T176" i="134"/>
  <c r="T97" i="134"/>
  <c r="D27" i="134"/>
  <c r="D106" i="134"/>
  <c r="D185" i="134"/>
  <c r="T48" i="134"/>
  <c r="T206" i="134"/>
  <c r="T127" i="134"/>
  <c r="H17" i="134"/>
  <c r="H175" i="134"/>
  <c r="H96" i="134"/>
  <c r="C17" i="134"/>
  <c r="C96" i="134"/>
  <c r="C175" i="134"/>
  <c r="V25" i="134"/>
  <c r="V104" i="134"/>
  <c r="V183" i="134"/>
  <c r="N9" i="134"/>
  <c r="N88" i="134"/>
  <c r="N167" i="134"/>
  <c r="T115" i="134"/>
  <c r="T36" i="134"/>
  <c r="T194" i="134"/>
  <c r="N11" i="134"/>
  <c r="N90" i="134"/>
  <c r="N169" i="134"/>
  <c r="I16" i="134"/>
  <c r="I95" i="134"/>
  <c r="I174" i="134"/>
  <c r="C16" i="134"/>
  <c r="C174" i="134"/>
  <c r="C95" i="134"/>
  <c r="U104" i="134"/>
  <c r="U183" i="134"/>
  <c r="U25" i="134"/>
  <c r="N2" i="134"/>
  <c r="N160" i="134"/>
  <c r="N81" i="134"/>
  <c r="T28" i="134"/>
  <c r="T186" i="134"/>
  <c r="T107" i="134"/>
  <c r="M186" i="134"/>
  <c r="M28" i="134"/>
  <c r="M107" i="134"/>
  <c r="J30" i="134"/>
  <c r="J109" i="134"/>
  <c r="J188" i="134"/>
  <c r="K94" i="134"/>
  <c r="K173" i="134"/>
  <c r="K15" i="134"/>
  <c r="K176" i="134"/>
  <c r="K18" i="134"/>
  <c r="K97" i="134"/>
  <c r="C2" i="134"/>
  <c r="C81" i="134"/>
  <c r="C160" i="134"/>
  <c r="I173" i="134"/>
  <c r="I94" i="134"/>
  <c r="I15" i="134"/>
  <c r="F46" i="134"/>
  <c r="F125" i="134"/>
  <c r="F204" i="134"/>
  <c r="K16" i="134"/>
  <c r="K95" i="134"/>
  <c r="K174" i="134"/>
  <c r="F28" i="134"/>
  <c r="F107" i="134"/>
  <c r="F186" i="134"/>
  <c r="V206" i="134"/>
  <c r="V127" i="134"/>
  <c r="V48" i="134"/>
  <c r="Q180" i="134"/>
  <c r="Q22" i="134"/>
  <c r="Q101" i="134"/>
  <c r="G30" i="134"/>
  <c r="G109" i="134"/>
  <c r="G188" i="134"/>
  <c r="J169" i="134"/>
  <c r="J11" i="134"/>
  <c r="J90" i="134"/>
  <c r="D187" i="134"/>
  <c r="D29" i="134"/>
  <c r="D108" i="134"/>
  <c r="P15" i="134"/>
  <c r="P94" i="134"/>
  <c r="P173" i="134"/>
  <c r="T22" i="134"/>
  <c r="T180" i="134"/>
  <c r="T101" i="134"/>
  <c r="H47" i="134"/>
  <c r="H205" i="134"/>
  <c r="H126" i="134"/>
  <c r="C46" i="134"/>
  <c r="C204" i="134"/>
  <c r="C125" i="134"/>
  <c r="F18" i="134"/>
  <c r="F176" i="134"/>
  <c r="F97" i="134"/>
  <c r="V18" i="134"/>
  <c r="V176" i="134"/>
  <c r="V97" i="134"/>
  <c r="S45" i="134"/>
  <c r="S203" i="134"/>
  <c r="S124" i="134"/>
  <c r="O47" i="134"/>
  <c r="O205" i="134"/>
  <c r="O126" i="134"/>
  <c r="J46" i="134"/>
  <c r="J204" i="134"/>
  <c r="J125" i="134"/>
  <c r="Q25" i="134"/>
  <c r="Q183" i="134"/>
  <c r="Q104" i="134"/>
  <c r="H2" i="134"/>
  <c r="H81" i="134"/>
  <c r="H160" i="134"/>
  <c r="F101" i="134"/>
  <c r="F22" i="134"/>
  <c r="F180" i="134"/>
  <c r="M9" i="134"/>
  <c r="M88" i="134"/>
  <c r="M167" i="134"/>
  <c r="E36" i="134"/>
  <c r="E115" i="134"/>
  <c r="E194" i="134"/>
  <c r="V28" i="134"/>
  <c r="V186" i="134"/>
  <c r="V107" i="134"/>
  <c r="T167" i="134"/>
  <c r="T88" i="134"/>
  <c r="T9" i="134"/>
  <c r="P127" i="134"/>
  <c r="P48" i="134"/>
  <c r="P206" i="134"/>
  <c r="L48" i="134"/>
  <c r="L127" i="134"/>
  <c r="L206" i="134"/>
  <c r="H21" i="134"/>
  <c r="H179" i="134"/>
  <c r="H100" i="134"/>
  <c r="F11" i="134"/>
  <c r="F90" i="134"/>
  <c r="F169" i="134"/>
  <c r="R179" i="134"/>
  <c r="R100" i="134"/>
  <c r="R21" i="134"/>
  <c r="M29" i="134"/>
  <c r="M108" i="134"/>
  <c r="M187" i="134"/>
  <c r="E46" i="134"/>
  <c r="E204" i="134"/>
  <c r="E125" i="134"/>
  <c r="S26" i="134"/>
  <c r="S184" i="134"/>
  <c r="S105" i="134"/>
  <c r="N46" i="134"/>
  <c r="N204" i="134"/>
  <c r="N125" i="134"/>
  <c r="R125" i="134"/>
  <c r="R204" i="134"/>
  <c r="R46" i="134"/>
  <c r="H9" i="134"/>
  <c r="H88" i="134"/>
  <c r="H167" i="134"/>
  <c r="V2" i="134"/>
  <c r="V160" i="134"/>
  <c r="V81" i="134"/>
  <c r="C30" i="134"/>
  <c r="C188" i="134"/>
  <c r="C109" i="134"/>
  <c r="U29" i="134"/>
  <c r="U108" i="134"/>
  <c r="U187" i="134"/>
  <c r="D26" i="134"/>
  <c r="D184" i="134"/>
  <c r="D105" i="134"/>
  <c r="K2" i="134"/>
  <c r="K160" i="134"/>
  <c r="K81" i="134"/>
  <c r="T187" i="134"/>
  <c r="T108" i="134"/>
  <c r="T29" i="134"/>
  <c r="N18" i="134"/>
  <c r="N176" i="134"/>
  <c r="N97" i="134"/>
  <c r="Q46" i="134"/>
  <c r="Q125" i="134"/>
  <c r="Q204" i="134"/>
  <c r="H48" i="134"/>
  <c r="H206" i="134"/>
  <c r="H127" i="134"/>
  <c r="U36" i="134"/>
  <c r="U115" i="134"/>
  <c r="U194" i="134"/>
  <c r="P2" i="134"/>
  <c r="P160" i="134"/>
  <c r="P81" i="134"/>
  <c r="C11" i="134"/>
  <c r="C169" i="134"/>
  <c r="C90" i="134"/>
  <c r="N16" i="134"/>
  <c r="N95" i="134"/>
  <c r="N174" i="134"/>
  <c r="U175" i="134"/>
  <c r="U17" i="134"/>
  <c r="U96" i="134"/>
  <c r="N25" i="134"/>
  <c r="N183" i="134"/>
  <c r="N104" i="134"/>
  <c r="K180" i="134"/>
  <c r="K101" i="134"/>
  <c r="K22" i="134"/>
  <c r="J36" i="134"/>
  <c r="J194" i="134"/>
  <c r="J115" i="134"/>
  <c r="G97" i="134"/>
  <c r="G18" i="134"/>
  <c r="G176" i="134"/>
  <c r="U16" i="134"/>
  <c r="U174" i="134"/>
  <c r="U95" i="134"/>
  <c r="G25" i="134"/>
  <c r="G104" i="134"/>
  <c r="G183" i="134"/>
  <c r="K9" i="134"/>
  <c r="K167" i="134"/>
  <c r="K88" i="134"/>
  <c r="J28" i="134"/>
  <c r="J107" i="134"/>
  <c r="J186" i="134"/>
  <c r="D126" i="134"/>
  <c r="D205" i="134"/>
  <c r="D47" i="134"/>
  <c r="D104" i="134"/>
  <c r="D183" i="134"/>
  <c r="D25" i="134"/>
  <c r="G36" i="134"/>
  <c r="G194" i="134"/>
  <c r="G115" i="134"/>
  <c r="O27" i="134"/>
  <c r="O106" i="134"/>
  <c r="O185" i="134"/>
  <c r="P29" i="134"/>
  <c r="P187" i="134"/>
  <c r="P108" i="134"/>
  <c r="H45" i="134"/>
  <c r="H124" i="134"/>
  <c r="H203" i="134"/>
  <c r="T47" i="134"/>
  <c r="T126" i="134"/>
  <c r="T205" i="134"/>
  <c r="H184" i="134"/>
  <c r="H26" i="134"/>
  <c r="H105" i="134"/>
  <c r="C47" i="134"/>
  <c r="C205" i="134"/>
  <c r="C126" i="134"/>
  <c r="Q94" i="134"/>
  <c r="Q173" i="134"/>
  <c r="Q15" i="134"/>
  <c r="E28" i="134"/>
  <c r="E107" i="134"/>
  <c r="E186" i="134"/>
  <c r="G26" i="134"/>
  <c r="G105" i="134"/>
  <c r="G184" i="134"/>
  <c r="O2" i="134"/>
  <c r="O81" i="134"/>
  <c r="O160" i="134"/>
  <c r="U179" i="134"/>
  <c r="U100" i="134"/>
  <c r="U21" i="134"/>
  <c r="G45" i="134"/>
  <c r="G124" i="134"/>
  <c r="G203" i="134"/>
  <c r="C45" i="134"/>
  <c r="C203" i="134"/>
  <c r="C124" i="134"/>
  <c r="L47" i="134"/>
  <c r="L126" i="134"/>
  <c r="L205" i="134"/>
  <c r="C27" i="134"/>
  <c r="C106" i="134"/>
  <c r="C185" i="134"/>
  <c r="L46" i="134"/>
  <c r="L125" i="134"/>
  <c r="L204" i="134"/>
  <c r="N179" i="134"/>
  <c r="N100" i="134"/>
  <c r="N21" i="134"/>
  <c r="I108" i="134"/>
  <c r="I29" i="134"/>
  <c r="I187" i="134"/>
  <c r="K45" i="134"/>
  <c r="K203" i="134"/>
  <c r="K124" i="134"/>
  <c r="L45" i="134"/>
  <c r="L124" i="134"/>
  <c r="L203" i="134"/>
  <c r="N27" i="134"/>
  <c r="N106" i="134"/>
  <c r="N185" i="134"/>
  <c r="C22" i="134"/>
  <c r="C180" i="134"/>
  <c r="C101" i="134"/>
  <c r="N22" i="134"/>
  <c r="N101" i="134"/>
  <c r="N180" i="134"/>
  <c r="K21" i="134"/>
  <c r="K100" i="134"/>
  <c r="K179" i="134"/>
  <c r="P18" i="134"/>
  <c r="P176" i="134"/>
  <c r="P97" i="134"/>
  <c r="T11" i="134"/>
  <c r="T169" i="134"/>
  <c r="T90" i="134"/>
  <c r="D96" i="134"/>
  <c r="D17" i="134"/>
  <c r="D175" i="134"/>
  <c r="P96" i="134"/>
  <c r="P17" i="134"/>
  <c r="P175" i="134"/>
  <c r="F106" i="134"/>
  <c r="F185" i="134"/>
  <c r="F27" i="134"/>
  <c r="V47" i="134"/>
  <c r="V126" i="134"/>
  <c r="V205" i="134"/>
  <c r="S183" i="134"/>
  <c r="S25" i="134"/>
  <c r="S104" i="134"/>
  <c r="M36" i="134"/>
  <c r="M194" i="134"/>
  <c r="M115" i="134"/>
  <c r="T184" i="134"/>
  <c r="T26" i="134"/>
  <c r="T105" i="134"/>
  <c r="S21" i="134"/>
  <c r="S179" i="134"/>
  <c r="S100" i="134"/>
  <c r="D94" i="134"/>
  <c r="D173" i="134"/>
  <c r="D15" i="134"/>
  <c r="S204" i="134"/>
  <c r="S125" i="134"/>
  <c r="S46" i="134"/>
  <c r="I186" i="134"/>
  <c r="I28" i="134"/>
  <c r="I107" i="134"/>
  <c r="E48" i="134"/>
  <c r="E127" i="134"/>
  <c r="E206" i="134"/>
  <c r="M2" i="134"/>
  <c r="M81" i="134"/>
  <c r="M160" i="134"/>
  <c r="I175" i="134"/>
  <c r="I17" i="134"/>
  <c r="I96" i="134"/>
  <c r="R47" i="134"/>
  <c r="R205" i="134"/>
  <c r="R126" i="134"/>
  <c r="F17" i="134"/>
  <c r="F175" i="134"/>
  <c r="F96" i="134"/>
  <c r="V17" i="134"/>
  <c r="V96" i="134"/>
  <c r="V175" i="134"/>
  <c r="S18" i="134"/>
  <c r="S176" i="134"/>
  <c r="S97" i="134"/>
  <c r="O46" i="134"/>
  <c r="O125" i="134"/>
  <c r="O204" i="134"/>
  <c r="J45" i="134"/>
  <c r="J203" i="134"/>
  <c r="J124" i="134"/>
  <c r="P25" i="134"/>
  <c r="P183" i="134"/>
  <c r="P104" i="134"/>
  <c r="H107" i="134"/>
  <c r="H186" i="134"/>
  <c r="H28" i="134"/>
  <c r="F2" i="134"/>
  <c r="F81" i="134"/>
  <c r="F160" i="134"/>
  <c r="L27" i="134"/>
  <c r="L106" i="134"/>
  <c r="L185" i="134"/>
  <c r="E184" i="134"/>
  <c r="E26" i="134"/>
  <c r="E105" i="134"/>
  <c r="V27" i="134"/>
  <c r="V185" i="134"/>
  <c r="V106" i="134"/>
  <c r="T2" i="134"/>
  <c r="T81" i="134"/>
  <c r="T160" i="134"/>
  <c r="P36" i="134"/>
  <c r="P115" i="134"/>
  <c r="P194" i="134"/>
  <c r="L36" i="134"/>
  <c r="L194" i="134"/>
  <c r="L115" i="134"/>
  <c r="I109" i="134"/>
  <c r="I188" i="134"/>
  <c r="I30" i="134"/>
  <c r="E21" i="134"/>
  <c r="E179" i="134"/>
  <c r="E100" i="134"/>
  <c r="R11" i="134"/>
  <c r="R90" i="134"/>
  <c r="R169" i="134"/>
  <c r="K108" i="134"/>
  <c r="K29" i="134"/>
  <c r="K187" i="134"/>
  <c r="N47" i="134"/>
  <c r="N205" i="134"/>
  <c r="N126" i="134"/>
  <c r="U47" i="134"/>
  <c r="U126" i="134"/>
  <c r="U205" i="134"/>
  <c r="J16" i="134"/>
  <c r="J95" i="134"/>
  <c r="J174" i="134"/>
  <c r="L2" i="134"/>
  <c r="L160" i="134"/>
  <c r="L81" i="134"/>
  <c r="V9" i="134"/>
  <c r="V167" i="134"/>
  <c r="V88" i="134"/>
  <c r="K48" i="134"/>
  <c r="K206" i="134"/>
  <c r="K127" i="134"/>
  <c r="Q11" i="134"/>
  <c r="Q169" i="134"/>
  <c r="Q90" i="134"/>
  <c r="R94" i="134"/>
  <c r="R173" i="134"/>
  <c r="R15" i="134"/>
  <c r="O174" i="134"/>
  <c r="O16" i="134"/>
  <c r="O95" i="134"/>
  <c r="R28" i="134"/>
  <c r="R107" i="134"/>
  <c r="R186" i="134"/>
  <c r="P22" i="134"/>
  <c r="P101" i="134"/>
  <c r="P180" i="134"/>
  <c r="Q47" i="134"/>
  <c r="Q205" i="134"/>
  <c r="Q126" i="134"/>
  <c r="R18" i="134"/>
  <c r="R176" i="134"/>
  <c r="R97" i="134"/>
  <c r="I25" i="134"/>
  <c r="I104" i="134"/>
  <c r="I183" i="134"/>
  <c r="K28" i="134"/>
  <c r="K186" i="134"/>
  <c r="K107" i="134"/>
  <c r="S180" i="134"/>
  <c r="S22" i="134"/>
  <c r="S101" i="134"/>
  <c r="N30" i="134"/>
  <c r="N109" i="134"/>
  <c r="N188" i="134"/>
  <c r="P21" i="134"/>
  <c r="P100" i="134"/>
  <c r="P179" i="134"/>
  <c r="M47" i="134"/>
  <c r="M126" i="134"/>
  <c r="M205" i="134"/>
  <c r="D22" i="134"/>
  <c r="D180" i="134"/>
  <c r="D101" i="134"/>
  <c r="G179" i="134"/>
  <c r="G100" i="134"/>
  <c r="G21" i="134"/>
  <c r="S29" i="134"/>
  <c r="S187" i="134"/>
  <c r="S108" i="134"/>
  <c r="U186" i="134"/>
  <c r="U28" i="134"/>
  <c r="U107" i="134"/>
  <c r="R29" i="134"/>
  <c r="R108" i="134"/>
  <c r="R187" i="134"/>
  <c r="D2" i="134"/>
  <c r="D81" i="134"/>
  <c r="D160" i="134"/>
  <c r="F188" i="134"/>
  <c r="F109" i="134"/>
  <c r="F30" i="134"/>
  <c r="I45" i="134"/>
  <c r="I203" i="134"/>
  <c r="I124" i="134"/>
  <c r="U94" i="134"/>
  <c r="U15" i="134"/>
  <c r="U173" i="134"/>
  <c r="M17" i="134"/>
  <c r="M96" i="134"/>
  <c r="M175" i="134"/>
  <c r="O28" i="134"/>
  <c r="O107" i="134"/>
  <c r="O186" i="134"/>
  <c r="R115" i="134"/>
  <c r="R36" i="134"/>
  <c r="R194" i="134"/>
  <c r="D21" i="134"/>
  <c r="D179" i="134"/>
  <c r="D100" i="134"/>
  <c r="L175" i="134"/>
  <c r="L17" i="134"/>
  <c r="L96" i="134"/>
  <c r="Q16" i="134"/>
  <c r="Q174" i="134"/>
  <c r="Q95" i="134"/>
  <c r="L25" i="134"/>
  <c r="L183" i="134"/>
  <c r="L104" i="134"/>
  <c r="O184" i="134"/>
  <c r="O26" i="134"/>
  <c r="O105" i="134"/>
  <c r="U22" i="134"/>
  <c r="U101" i="134"/>
  <c r="U180" i="134"/>
  <c r="O167" i="134"/>
  <c r="O88" i="134"/>
  <c r="O9" i="134"/>
  <c r="R30" i="134"/>
  <c r="R109" i="134"/>
  <c r="R188" i="134"/>
  <c r="M11" i="134"/>
  <c r="M90" i="134"/>
  <c r="M169" i="134"/>
  <c r="I18" i="134"/>
  <c r="I97" i="134"/>
  <c r="I176" i="134"/>
  <c r="T46" i="134"/>
  <c r="T204" i="134"/>
  <c r="T125" i="134"/>
  <c r="F183" i="134"/>
  <c r="F104" i="134"/>
  <c r="F25" i="134"/>
  <c r="O22" i="134"/>
  <c r="O101" i="134"/>
  <c r="O180" i="134"/>
  <c r="R2" i="134"/>
  <c r="R160" i="134"/>
  <c r="R81" i="134"/>
  <c r="J22" i="134"/>
  <c r="J180" i="134"/>
  <c r="J101" i="134"/>
  <c r="L30" i="134"/>
  <c r="L188" i="134"/>
  <c r="L109" i="134"/>
  <c r="F47" i="134"/>
  <c r="F126" i="134"/>
  <c r="F205" i="134"/>
  <c r="T124" i="134"/>
  <c r="T203" i="134"/>
  <c r="T45" i="134"/>
  <c r="E25" i="134"/>
  <c r="E183" i="134"/>
  <c r="E104" i="134"/>
  <c r="N48" i="134"/>
  <c r="N127" i="134"/>
  <c r="N206" i="134"/>
  <c r="Q48" i="134"/>
  <c r="Q127" i="134"/>
  <c r="Q206" i="134"/>
  <c r="N36" i="134"/>
  <c r="N194" i="134"/>
  <c r="N115" i="134"/>
  <c r="J9" i="134"/>
  <c r="J88" i="134"/>
  <c r="J167" i="134"/>
  <c r="U11" i="134"/>
  <c r="U90" i="134"/>
  <c r="U169" i="134"/>
  <c r="J29" i="134"/>
  <c r="J187" i="134"/>
  <c r="J108" i="134"/>
  <c r="H18" i="134"/>
  <c r="H97" i="134"/>
  <c r="H176" i="134"/>
  <c r="C176" i="134"/>
  <c r="C18" i="134"/>
  <c r="C97" i="134"/>
  <c r="C25" i="134"/>
  <c r="C183" i="134"/>
  <c r="C104" i="134"/>
  <c r="N26" i="134"/>
  <c r="N105" i="134"/>
  <c r="N184" i="134"/>
  <c r="C26" i="134"/>
  <c r="C184" i="134"/>
  <c r="C105" i="134"/>
  <c r="N28" i="134"/>
  <c r="N107" i="134"/>
  <c r="N186" i="134"/>
  <c r="K30" i="134"/>
  <c r="K188" i="134"/>
  <c r="K109" i="134"/>
  <c r="P203" i="134"/>
  <c r="P124" i="134"/>
  <c r="P45" i="134"/>
  <c r="T21" i="134"/>
  <c r="T100" i="134"/>
  <c r="T179" i="134"/>
  <c r="H29" i="134"/>
  <c r="H108" i="134"/>
  <c r="H187" i="134"/>
  <c r="K17" i="134"/>
  <c r="K96" i="134"/>
  <c r="K175" i="134"/>
  <c r="T16" i="134"/>
  <c r="T174" i="134"/>
  <c r="T95" i="134"/>
  <c r="H36" i="134"/>
  <c r="H194" i="134"/>
  <c r="H115" i="134"/>
  <c r="G185" i="134"/>
  <c r="G106" i="134"/>
  <c r="G27" i="134"/>
  <c r="C167" i="134"/>
  <c r="C9" i="134"/>
  <c r="C88" i="134"/>
  <c r="Q27" i="134"/>
  <c r="Q185" i="134"/>
  <c r="Q106" i="134"/>
  <c r="L21" i="134"/>
  <c r="L179" i="134"/>
  <c r="L100" i="134"/>
  <c r="H16" i="134"/>
  <c r="H174" i="134"/>
  <c r="H95" i="134"/>
  <c r="T15" i="134"/>
  <c r="T94" i="134"/>
  <c r="T173" i="134"/>
  <c r="J2" i="134"/>
  <c r="J160" i="134"/>
  <c r="J81" i="134"/>
  <c r="M48" i="134"/>
  <c r="M127" i="134"/>
  <c r="M206" i="134"/>
  <c r="T27" i="134"/>
  <c r="T106" i="134"/>
  <c r="T185" i="134"/>
  <c r="M27" i="134"/>
  <c r="M106" i="134"/>
  <c r="M185" i="134"/>
  <c r="S109" i="134"/>
  <c r="S188" i="134"/>
  <c r="S30" i="134"/>
  <c r="J21" i="134"/>
  <c r="J179" i="134"/>
  <c r="J100" i="134"/>
  <c r="G29" i="134"/>
  <c r="G187" i="134"/>
  <c r="G108" i="134"/>
  <c r="P16" i="134"/>
  <c r="P95" i="134"/>
  <c r="P174" i="134"/>
  <c r="F45" i="134"/>
  <c r="F124" i="134"/>
  <c r="F203" i="134"/>
  <c r="R104" i="134"/>
  <c r="R183" i="134"/>
  <c r="R25" i="134"/>
  <c r="M26" i="134"/>
  <c r="M105" i="134"/>
  <c r="M184" i="134"/>
  <c r="I179" i="134"/>
  <c r="I21" i="134"/>
  <c r="I100" i="134"/>
  <c r="I47" i="134"/>
  <c r="I126" i="134"/>
  <c r="I205" i="134"/>
  <c r="R45" i="134"/>
  <c r="R203" i="134"/>
  <c r="R124" i="134"/>
  <c r="F173" i="134"/>
  <c r="F94" i="134"/>
  <c r="F15" i="134"/>
  <c r="V16" i="134"/>
  <c r="V174" i="134"/>
  <c r="V95" i="134"/>
  <c r="S96" i="134"/>
  <c r="S175" i="134"/>
  <c r="S17" i="134"/>
  <c r="O45" i="134"/>
  <c r="O124" i="134"/>
  <c r="O203" i="134"/>
  <c r="J176" i="134"/>
  <c r="J97" i="134"/>
  <c r="J18" i="134"/>
  <c r="O183" i="134"/>
  <c r="O25" i="134"/>
  <c r="O104" i="134"/>
  <c r="I27" i="134"/>
  <c r="I106" i="134"/>
  <c r="I185" i="134"/>
  <c r="D48" i="134"/>
  <c r="D206" i="134"/>
  <c r="D127" i="134"/>
  <c r="L22" i="134"/>
  <c r="L101" i="134"/>
  <c r="L180" i="134"/>
  <c r="E22" i="134"/>
  <c r="E180" i="134"/>
  <c r="E101" i="134"/>
  <c r="V26" i="134"/>
  <c r="V184" i="134"/>
  <c r="V105" i="134"/>
  <c r="S48" i="134"/>
  <c r="S127" i="134"/>
  <c r="S206" i="134"/>
  <c r="P28" i="134"/>
  <c r="P107" i="134"/>
  <c r="P186" i="134"/>
  <c r="L28" i="134"/>
  <c r="L107" i="134"/>
  <c r="L186" i="134"/>
  <c r="H30" i="134"/>
  <c r="H109" i="134"/>
  <c r="H188" i="134"/>
  <c r="E169" i="134"/>
  <c r="E11" i="134"/>
  <c r="E90" i="134"/>
  <c r="Q30" i="134"/>
  <c r="Q109" i="134"/>
  <c r="Q188" i="134"/>
  <c r="F187" i="134"/>
  <c r="F29" i="134"/>
  <c r="F108" i="134"/>
  <c r="R16" i="134"/>
  <c r="R174" i="134"/>
  <c r="R95" i="134"/>
  <c r="O17" i="134"/>
  <c r="O175" i="134"/>
  <c r="O96" i="134"/>
  <c r="H185" i="134"/>
  <c r="H27" i="134"/>
  <c r="H106" i="134"/>
  <c r="S186" i="134"/>
  <c r="S107" i="134"/>
  <c r="S28" i="134"/>
  <c r="U46" i="134"/>
  <c r="U125" i="134"/>
  <c r="U204" i="134"/>
  <c r="J25" i="134"/>
  <c r="J183" i="134"/>
  <c r="J104" i="134"/>
  <c r="D107" i="134"/>
  <c r="D28" i="134"/>
  <c r="D186" i="134"/>
  <c r="E30" i="134"/>
  <c r="E109" i="134"/>
  <c r="E188" i="134"/>
  <c r="N45" i="134"/>
  <c r="N203" i="134"/>
  <c r="N124" i="134"/>
  <c r="U124" i="134"/>
  <c r="U203" i="134"/>
  <c r="U45" i="134"/>
  <c r="R26" i="134"/>
  <c r="R184" i="134"/>
  <c r="R105" i="134"/>
  <c r="E175" i="134"/>
  <c r="E17" i="134"/>
  <c r="E96" i="134"/>
  <c r="N17" i="134"/>
  <c r="N96" i="134"/>
  <c r="N175" i="134"/>
  <c r="R101" i="134"/>
  <c r="R22" i="134"/>
  <c r="R180" i="134"/>
  <c r="S88" i="134"/>
  <c r="S9" i="134"/>
  <c r="S167" i="134"/>
  <c r="M204" i="134"/>
  <c r="M46" i="134"/>
  <c r="M125" i="134"/>
  <c r="Q203" i="134"/>
  <c r="Q124" i="134"/>
  <c r="Q45" i="134"/>
  <c r="G48" i="134"/>
  <c r="G127" i="134"/>
  <c r="G206" i="134"/>
  <c r="D88" i="134"/>
  <c r="D9" i="134"/>
  <c r="D167" i="134"/>
  <c r="S2" i="134"/>
  <c r="S81" i="134"/>
  <c r="S160" i="134"/>
  <c r="G90" i="134"/>
  <c r="G169" i="134"/>
  <c r="G11" i="134"/>
  <c r="V188" i="134"/>
  <c r="V109" i="134"/>
  <c r="V30" i="134"/>
  <c r="O21" i="134"/>
  <c r="O179" i="134"/>
  <c r="O100" i="134"/>
  <c r="G46" i="134"/>
  <c r="G204" i="134"/>
  <c r="G125" i="134"/>
  <c r="E15" i="134"/>
  <c r="E173" i="134"/>
  <c r="E94" i="134"/>
  <c r="M18" i="134"/>
  <c r="M176" i="134"/>
  <c r="M97" i="134"/>
  <c r="Q9" i="134"/>
  <c r="Q88" i="134"/>
  <c r="Q167" i="134"/>
  <c r="R48" i="134"/>
  <c r="R206" i="134"/>
  <c r="R127" i="134"/>
  <c r="Q187" i="134"/>
  <c r="Q29" i="134"/>
  <c r="Q108" i="134"/>
  <c r="L18" i="134"/>
  <c r="L176" i="134"/>
  <c r="L97" i="134"/>
  <c r="C127" i="134"/>
  <c r="C206" i="134"/>
  <c r="C48" i="134"/>
  <c r="J106" i="134"/>
  <c r="J27" i="134"/>
  <c r="J185" i="134"/>
  <c r="M21" i="134"/>
  <c r="M179" i="134"/>
  <c r="M100" i="134"/>
  <c r="C115" i="134"/>
  <c r="C36" i="134"/>
  <c r="C194" i="134"/>
  <c r="R27" i="134"/>
  <c r="R106" i="134"/>
  <c r="R185" i="134"/>
  <c r="U30" i="134"/>
  <c r="U188" i="134"/>
  <c r="U109" i="134"/>
  <c r="O29" i="134"/>
  <c r="O108" i="134"/>
  <c r="O187" i="134"/>
  <c r="G15" i="134"/>
  <c r="G173" i="134"/>
  <c r="G94" i="134"/>
  <c r="C107" i="134"/>
  <c r="C186" i="134"/>
  <c r="C28" i="134"/>
  <c r="O30" i="134"/>
  <c r="O109" i="134"/>
  <c r="O188" i="134"/>
  <c r="L29" i="134"/>
  <c r="L187" i="134"/>
  <c r="L108" i="134"/>
  <c r="G180" i="134"/>
  <c r="G101" i="134"/>
  <c r="G22" i="134"/>
  <c r="L11" i="134"/>
  <c r="L90" i="134"/>
  <c r="L169" i="134"/>
  <c r="K47" i="134"/>
  <c r="K205" i="134"/>
  <c r="K126" i="134"/>
  <c r="P204" i="134"/>
  <c r="P125" i="134"/>
  <c r="P46" i="134"/>
  <c r="I22" i="134"/>
  <c r="I101" i="134"/>
  <c r="I180" i="134"/>
  <c r="G2" i="134"/>
  <c r="G81" i="134"/>
  <c r="G160" i="134"/>
  <c r="Q194" i="134"/>
  <c r="Q115" i="134"/>
  <c r="Q36" i="134"/>
  <c r="T30" i="134"/>
  <c r="T188" i="134"/>
  <c r="T109" i="134"/>
  <c r="V203" i="134"/>
  <c r="V45" i="134"/>
  <c r="V124" i="134"/>
  <c r="T96" i="134"/>
  <c r="T17" i="134"/>
  <c r="T175" i="134"/>
  <c r="H22" i="134"/>
  <c r="H180" i="134"/>
  <c r="H101" i="134"/>
  <c r="F48" i="134"/>
  <c r="F127" i="134"/>
  <c r="F206" i="134"/>
  <c r="Q28" i="134"/>
  <c r="Q107" i="134"/>
  <c r="Q186" i="134"/>
  <c r="D176" i="134"/>
  <c r="D97" i="134"/>
  <c r="D18" i="134"/>
  <c r="K46" i="134"/>
  <c r="K125" i="134"/>
  <c r="K204" i="134"/>
  <c r="F194" i="134"/>
  <c r="F36" i="134"/>
  <c r="F115" i="134"/>
  <c r="E29" i="134"/>
  <c r="E108" i="134"/>
  <c r="E187" i="134"/>
  <c r="C173" i="134"/>
  <c r="C15" i="134"/>
  <c r="C94" i="134"/>
  <c r="T183" i="134"/>
  <c r="T104" i="134"/>
  <c r="T25" i="134"/>
  <c r="G167" i="134"/>
  <c r="G9" i="134"/>
  <c r="G88" i="134"/>
  <c r="Q26" i="134"/>
  <c r="Q105" i="134"/>
  <c r="Q184" i="134"/>
  <c r="K11" i="134"/>
  <c r="K90" i="134"/>
  <c r="K169" i="134"/>
  <c r="D16" i="134"/>
  <c r="D95" i="134"/>
  <c r="D174" i="134"/>
  <c r="S47" i="134"/>
  <c r="S126" i="134"/>
  <c r="S205" i="134"/>
  <c r="I36" i="134"/>
  <c r="I115" i="134"/>
  <c r="I194" i="134"/>
  <c r="F88" i="134"/>
  <c r="F167" i="134"/>
  <c r="F9" i="134"/>
  <c r="M22" i="134"/>
  <c r="M101" i="134"/>
  <c r="M180" i="134"/>
  <c r="H173" i="134"/>
  <c r="H94" i="134"/>
  <c r="H15" i="134"/>
  <c r="V46" i="134"/>
  <c r="V125" i="134"/>
  <c r="V204" i="134"/>
  <c r="J126" i="134"/>
  <c r="J205" i="134"/>
  <c r="J47" i="134"/>
  <c r="F26" i="134"/>
  <c r="F184" i="134"/>
  <c r="F105" i="134"/>
  <c r="V36" i="134"/>
  <c r="V194" i="134"/>
  <c r="V115" i="134"/>
  <c r="Q2" i="134"/>
  <c r="Q81" i="134"/>
  <c r="Q160" i="134"/>
  <c r="F21" i="134"/>
  <c r="F179" i="134"/>
  <c r="F100" i="134"/>
  <c r="S11" i="134"/>
  <c r="S169" i="134"/>
  <c r="S90" i="134"/>
  <c r="N29" i="134"/>
  <c r="N108" i="134"/>
  <c r="N187" i="134"/>
  <c r="D125" i="134"/>
  <c r="D46" i="134"/>
  <c r="D204" i="134"/>
  <c r="R96" i="134"/>
  <c r="R17" i="134"/>
  <c r="R175" i="134"/>
  <c r="E205" i="134"/>
  <c r="E47" i="134"/>
  <c r="E126" i="134"/>
  <c r="V173" i="134"/>
  <c r="V94" i="134"/>
  <c r="V15" i="134"/>
  <c r="S16" i="134"/>
  <c r="S95" i="134"/>
  <c r="S174" i="134"/>
  <c r="O18" i="134"/>
  <c r="O176" i="134"/>
  <c r="O97" i="134"/>
  <c r="J175" i="134"/>
  <c r="J17" i="134"/>
  <c r="J96" i="134"/>
  <c r="M25" i="134"/>
  <c r="M183" i="134"/>
  <c r="M104" i="134"/>
  <c r="I9" i="134"/>
  <c r="I167" i="134"/>
  <c r="I88" i="134"/>
  <c r="D36" i="134"/>
  <c r="D194" i="134"/>
  <c r="D115" i="134"/>
  <c r="L9" i="134"/>
  <c r="L88" i="134"/>
  <c r="L167" i="134"/>
  <c r="E9" i="134"/>
  <c r="E167" i="134"/>
  <c r="E88" i="134"/>
  <c r="V101" i="134"/>
  <c r="V180" i="134"/>
  <c r="V22" i="134"/>
  <c r="S36" i="134"/>
  <c r="S194" i="134"/>
  <c r="S115" i="134"/>
  <c r="P27" i="134"/>
  <c r="P106" i="134"/>
  <c r="P185" i="134"/>
  <c r="L184" i="134"/>
  <c r="L105" i="134"/>
  <c r="L26" i="134"/>
  <c r="H11" i="134"/>
  <c r="H90" i="134"/>
  <c r="H169" i="134"/>
  <c r="D109" i="134"/>
  <c r="D188" i="134"/>
  <c r="D30" i="134"/>
  <c r="Q100" i="134"/>
  <c r="Q21" i="134"/>
  <c r="Q179" i="134"/>
  <c r="C29" i="134"/>
  <c r="C108" i="134"/>
  <c r="C187" i="134"/>
  <c r="B50" i="138"/>
  <c r="B51" i="138"/>
  <c r="B52" i="138"/>
  <c r="B53" i="138"/>
  <c r="B54" i="138"/>
  <c r="B55" i="138"/>
  <c r="B56" i="138"/>
  <c r="B49" i="138"/>
  <c r="C22" i="137"/>
  <c r="D2" i="136"/>
  <c r="E2" i="136"/>
  <c r="F2" i="136"/>
  <c r="G2" i="136"/>
  <c r="H2" i="136"/>
  <c r="I2" i="136"/>
  <c r="J2" i="136"/>
  <c r="K2" i="136"/>
  <c r="L2" i="136"/>
  <c r="M2" i="136"/>
  <c r="N2" i="136"/>
  <c r="O2" i="136"/>
  <c r="P2" i="136"/>
  <c r="Q2" i="136"/>
  <c r="R2" i="136"/>
  <c r="S2" i="136"/>
  <c r="T2" i="136"/>
  <c r="U2" i="136"/>
  <c r="V2" i="136"/>
  <c r="D3" i="136"/>
  <c r="E3" i="136"/>
  <c r="F3" i="136"/>
  <c r="G3" i="136"/>
  <c r="H3" i="136"/>
  <c r="I3" i="136"/>
  <c r="J3" i="136"/>
  <c r="K3" i="136"/>
  <c r="L3" i="136"/>
  <c r="M3" i="136"/>
  <c r="N3" i="136"/>
  <c r="O3" i="136"/>
  <c r="P3" i="136"/>
  <c r="Q3" i="136"/>
  <c r="R3" i="136"/>
  <c r="S3" i="136"/>
  <c r="T3" i="136"/>
  <c r="U3" i="136"/>
  <c r="V3" i="136"/>
  <c r="D4" i="136"/>
  <c r="E4" i="136"/>
  <c r="F4" i="136"/>
  <c r="G4" i="136"/>
  <c r="H4" i="136"/>
  <c r="I4" i="136"/>
  <c r="J4" i="136"/>
  <c r="K4" i="136"/>
  <c r="L4" i="136"/>
  <c r="M4" i="136"/>
  <c r="N4" i="136"/>
  <c r="O4" i="136"/>
  <c r="P4" i="136"/>
  <c r="Q4" i="136"/>
  <c r="R4" i="136"/>
  <c r="S4" i="136"/>
  <c r="T4" i="136"/>
  <c r="U4" i="136"/>
  <c r="V4" i="136"/>
  <c r="D5" i="136"/>
  <c r="E5" i="136"/>
  <c r="F5" i="136"/>
  <c r="G5" i="136"/>
  <c r="H5" i="136"/>
  <c r="I5" i="136"/>
  <c r="J5" i="136"/>
  <c r="K5" i="136"/>
  <c r="L5" i="136"/>
  <c r="M5" i="136"/>
  <c r="N5" i="136"/>
  <c r="O5" i="136"/>
  <c r="P5" i="136"/>
  <c r="Q5" i="136"/>
  <c r="R5" i="136"/>
  <c r="S5" i="136"/>
  <c r="T5" i="136"/>
  <c r="U5" i="136"/>
  <c r="V5" i="136"/>
  <c r="D6" i="136"/>
  <c r="E6" i="136"/>
  <c r="F6" i="136"/>
  <c r="G6" i="136"/>
  <c r="H6" i="136"/>
  <c r="I6" i="136"/>
  <c r="J6" i="136"/>
  <c r="K6" i="136"/>
  <c r="L6" i="136"/>
  <c r="M6" i="136"/>
  <c r="N6" i="136"/>
  <c r="O6" i="136"/>
  <c r="P6" i="136"/>
  <c r="Q6" i="136"/>
  <c r="R6" i="136"/>
  <c r="S6" i="136"/>
  <c r="T6" i="136"/>
  <c r="U6" i="136"/>
  <c r="V6" i="136"/>
  <c r="D7" i="136"/>
  <c r="E7" i="136"/>
  <c r="F7" i="136"/>
  <c r="G7" i="136"/>
  <c r="H7" i="136"/>
  <c r="I7" i="136"/>
  <c r="J7" i="136"/>
  <c r="K7" i="136"/>
  <c r="L7" i="136"/>
  <c r="M7" i="136"/>
  <c r="N7" i="136"/>
  <c r="O7" i="136"/>
  <c r="P7" i="136"/>
  <c r="Q7" i="136"/>
  <c r="R7" i="136"/>
  <c r="S7" i="136"/>
  <c r="T7" i="136"/>
  <c r="U7" i="136"/>
  <c r="V7" i="136"/>
  <c r="D8" i="136"/>
  <c r="E8" i="136"/>
  <c r="F8" i="136"/>
  <c r="G8" i="136"/>
  <c r="H8" i="136"/>
  <c r="I8" i="136"/>
  <c r="J8" i="136"/>
  <c r="K8" i="136"/>
  <c r="L8" i="136"/>
  <c r="M8" i="136"/>
  <c r="N8" i="136"/>
  <c r="O8" i="136"/>
  <c r="P8" i="136"/>
  <c r="Q8" i="136"/>
  <c r="R8" i="136"/>
  <c r="S8" i="136"/>
  <c r="T8" i="136"/>
  <c r="U8" i="136"/>
  <c r="V8" i="136"/>
  <c r="D9" i="136"/>
  <c r="E9" i="136"/>
  <c r="F9" i="136"/>
  <c r="G9" i="136"/>
  <c r="H9" i="136"/>
  <c r="I9" i="136"/>
  <c r="J9" i="136"/>
  <c r="K9" i="136"/>
  <c r="L9" i="136"/>
  <c r="M9" i="136"/>
  <c r="N9" i="136"/>
  <c r="O9" i="136"/>
  <c r="P9" i="136"/>
  <c r="Q9" i="136"/>
  <c r="R9" i="136"/>
  <c r="S9" i="136"/>
  <c r="T9" i="136"/>
  <c r="U9" i="136"/>
  <c r="V9" i="136"/>
  <c r="D10" i="136"/>
  <c r="E10" i="136"/>
  <c r="F10" i="136"/>
  <c r="G10" i="136"/>
  <c r="H10" i="136"/>
  <c r="I10" i="136"/>
  <c r="J10" i="136"/>
  <c r="K10" i="136"/>
  <c r="L10" i="136"/>
  <c r="M10" i="136"/>
  <c r="N10" i="136"/>
  <c r="O10" i="136"/>
  <c r="P10" i="136"/>
  <c r="Q10" i="136"/>
  <c r="R10" i="136"/>
  <c r="S10" i="136"/>
  <c r="T10" i="136"/>
  <c r="U10" i="136"/>
  <c r="V10" i="136"/>
  <c r="D11" i="136"/>
  <c r="E11" i="136"/>
  <c r="F11" i="136"/>
  <c r="G11" i="136"/>
  <c r="H11" i="136"/>
  <c r="I11" i="136"/>
  <c r="J11" i="136"/>
  <c r="K11" i="136"/>
  <c r="L11" i="136"/>
  <c r="M11" i="136"/>
  <c r="N11" i="136"/>
  <c r="O11" i="136"/>
  <c r="P11" i="136"/>
  <c r="Q11" i="136"/>
  <c r="R11" i="136"/>
  <c r="S11" i="136"/>
  <c r="T11" i="136"/>
  <c r="U11" i="136"/>
  <c r="V11" i="136"/>
  <c r="D12" i="136"/>
  <c r="E12" i="136"/>
  <c r="F12" i="136"/>
  <c r="G12" i="136"/>
  <c r="H12" i="136"/>
  <c r="I12" i="136"/>
  <c r="J12" i="136"/>
  <c r="K12" i="136"/>
  <c r="L12" i="136"/>
  <c r="M12" i="136"/>
  <c r="N12" i="136"/>
  <c r="O12" i="136"/>
  <c r="P12" i="136"/>
  <c r="Q12" i="136"/>
  <c r="R12" i="136"/>
  <c r="S12" i="136"/>
  <c r="T12" i="136"/>
  <c r="U12" i="136"/>
  <c r="V12" i="136"/>
  <c r="D13" i="136"/>
  <c r="E13" i="136"/>
  <c r="F13" i="136"/>
  <c r="G13" i="136"/>
  <c r="H13" i="136"/>
  <c r="I13" i="136"/>
  <c r="J13" i="136"/>
  <c r="K13" i="136"/>
  <c r="L13" i="136"/>
  <c r="M13" i="136"/>
  <c r="N13" i="136"/>
  <c r="O13" i="136"/>
  <c r="P13" i="136"/>
  <c r="Q13" i="136"/>
  <c r="R13" i="136"/>
  <c r="S13" i="136"/>
  <c r="T13" i="136"/>
  <c r="U13" i="136"/>
  <c r="V13" i="136"/>
  <c r="D14" i="136"/>
  <c r="E14" i="136"/>
  <c r="F14" i="136"/>
  <c r="G14" i="136"/>
  <c r="H14" i="136"/>
  <c r="I14" i="136"/>
  <c r="J14" i="136"/>
  <c r="K14" i="136"/>
  <c r="L14" i="136"/>
  <c r="M14" i="136"/>
  <c r="N14" i="136"/>
  <c r="O14" i="136"/>
  <c r="P14" i="136"/>
  <c r="Q14" i="136"/>
  <c r="R14" i="136"/>
  <c r="S14" i="136"/>
  <c r="T14" i="136"/>
  <c r="U14" i="136"/>
  <c r="V14" i="136"/>
  <c r="D15" i="136"/>
  <c r="E15" i="136"/>
  <c r="F15" i="136"/>
  <c r="G15" i="136"/>
  <c r="H15" i="136"/>
  <c r="I15" i="136"/>
  <c r="J15" i="136"/>
  <c r="K15" i="136"/>
  <c r="L15" i="136"/>
  <c r="M15" i="136"/>
  <c r="N15" i="136"/>
  <c r="O15" i="136"/>
  <c r="P15" i="136"/>
  <c r="Q15" i="136"/>
  <c r="R15" i="136"/>
  <c r="S15" i="136"/>
  <c r="T15" i="136"/>
  <c r="U15" i="136"/>
  <c r="V15" i="136"/>
  <c r="D16" i="136"/>
  <c r="E16" i="136"/>
  <c r="F16" i="136"/>
  <c r="G16" i="136"/>
  <c r="H16" i="136"/>
  <c r="I16" i="136"/>
  <c r="J16" i="136"/>
  <c r="K16" i="136"/>
  <c r="L16" i="136"/>
  <c r="M16" i="136"/>
  <c r="N16" i="136"/>
  <c r="O16" i="136"/>
  <c r="P16" i="136"/>
  <c r="Q16" i="136"/>
  <c r="R16" i="136"/>
  <c r="S16" i="136"/>
  <c r="T16" i="136"/>
  <c r="U16" i="136"/>
  <c r="V16" i="136"/>
  <c r="D17" i="136"/>
  <c r="E17" i="136"/>
  <c r="F17" i="136"/>
  <c r="G17" i="136"/>
  <c r="H17" i="136"/>
  <c r="I17" i="136"/>
  <c r="J17" i="136"/>
  <c r="K17" i="136"/>
  <c r="L17" i="136"/>
  <c r="M17" i="136"/>
  <c r="N17" i="136"/>
  <c r="O17" i="136"/>
  <c r="P17" i="136"/>
  <c r="Q17" i="136"/>
  <c r="R17" i="136"/>
  <c r="S17" i="136"/>
  <c r="T17" i="136"/>
  <c r="U17" i="136"/>
  <c r="V17" i="136"/>
  <c r="D18" i="136"/>
  <c r="E18" i="136"/>
  <c r="F18" i="136"/>
  <c r="G18" i="136"/>
  <c r="H18" i="136"/>
  <c r="I18" i="136"/>
  <c r="J18" i="136"/>
  <c r="K18" i="136"/>
  <c r="L18" i="136"/>
  <c r="M18" i="136"/>
  <c r="N18" i="136"/>
  <c r="O18" i="136"/>
  <c r="P18" i="136"/>
  <c r="Q18" i="136"/>
  <c r="R18" i="136"/>
  <c r="S18" i="136"/>
  <c r="T18" i="136"/>
  <c r="U18" i="136"/>
  <c r="V18" i="136"/>
  <c r="D19" i="136"/>
  <c r="E19" i="136"/>
  <c r="F19" i="136"/>
  <c r="G19" i="136"/>
  <c r="H19" i="136"/>
  <c r="I19" i="136"/>
  <c r="J19" i="136"/>
  <c r="K19" i="136"/>
  <c r="L19" i="136"/>
  <c r="M19" i="136"/>
  <c r="N19" i="136"/>
  <c r="O19" i="136"/>
  <c r="P19" i="136"/>
  <c r="Q19" i="136"/>
  <c r="R19" i="136"/>
  <c r="S19" i="136"/>
  <c r="T19" i="136"/>
  <c r="U19" i="136"/>
  <c r="V19" i="136"/>
  <c r="D20" i="136"/>
  <c r="E20" i="136"/>
  <c r="F20" i="136"/>
  <c r="G20" i="136"/>
  <c r="H20" i="136"/>
  <c r="I20" i="136"/>
  <c r="J20" i="136"/>
  <c r="K20" i="136"/>
  <c r="L20" i="136"/>
  <c r="M20" i="136"/>
  <c r="N20" i="136"/>
  <c r="O20" i="136"/>
  <c r="P20" i="136"/>
  <c r="Q20" i="136"/>
  <c r="R20" i="136"/>
  <c r="S20" i="136"/>
  <c r="T20" i="136"/>
  <c r="U20" i="136"/>
  <c r="V20" i="136"/>
  <c r="D21" i="136"/>
  <c r="E21" i="136"/>
  <c r="F21" i="136"/>
  <c r="G21" i="136"/>
  <c r="H21" i="136"/>
  <c r="I21" i="136"/>
  <c r="J21" i="136"/>
  <c r="K21" i="136"/>
  <c r="L21" i="136"/>
  <c r="M21" i="136"/>
  <c r="N21" i="136"/>
  <c r="O21" i="136"/>
  <c r="P21" i="136"/>
  <c r="Q21" i="136"/>
  <c r="R21" i="136"/>
  <c r="S21" i="136"/>
  <c r="T21" i="136"/>
  <c r="U21" i="136"/>
  <c r="V21" i="136"/>
  <c r="D22" i="136"/>
  <c r="E22" i="136"/>
  <c r="F22" i="136"/>
  <c r="G22" i="136"/>
  <c r="H22" i="136"/>
  <c r="I22" i="136"/>
  <c r="J22" i="136"/>
  <c r="K22" i="136"/>
  <c r="L22" i="136"/>
  <c r="M22" i="136"/>
  <c r="N22" i="136"/>
  <c r="O22" i="136"/>
  <c r="P22" i="136"/>
  <c r="Q22" i="136"/>
  <c r="R22" i="136"/>
  <c r="S22" i="136"/>
  <c r="T22" i="136"/>
  <c r="U22" i="136"/>
  <c r="V22" i="136"/>
  <c r="D23" i="136"/>
  <c r="E23" i="136"/>
  <c r="F23" i="136"/>
  <c r="G23" i="136"/>
  <c r="H23" i="136"/>
  <c r="I23" i="136"/>
  <c r="J23" i="136"/>
  <c r="K23" i="136"/>
  <c r="L23" i="136"/>
  <c r="M23" i="136"/>
  <c r="N23" i="136"/>
  <c r="O23" i="136"/>
  <c r="P23" i="136"/>
  <c r="Q23" i="136"/>
  <c r="R23" i="136"/>
  <c r="S23" i="136"/>
  <c r="T23" i="136"/>
  <c r="U23" i="136"/>
  <c r="V23" i="136"/>
  <c r="D24" i="136"/>
  <c r="E24" i="136"/>
  <c r="F24" i="136"/>
  <c r="G24" i="136"/>
  <c r="H24" i="136"/>
  <c r="I24" i="136"/>
  <c r="J24" i="136"/>
  <c r="K24" i="136"/>
  <c r="L24" i="136"/>
  <c r="M24" i="136"/>
  <c r="N24" i="136"/>
  <c r="O24" i="136"/>
  <c r="P24" i="136"/>
  <c r="Q24" i="136"/>
  <c r="R24" i="136"/>
  <c r="S24" i="136"/>
  <c r="T24" i="136"/>
  <c r="U24" i="136"/>
  <c r="V24" i="136"/>
  <c r="D25" i="136"/>
  <c r="E25" i="136"/>
  <c r="F25" i="136"/>
  <c r="G25" i="136"/>
  <c r="H25" i="136"/>
  <c r="I25" i="136"/>
  <c r="J25" i="136"/>
  <c r="K25" i="136"/>
  <c r="L25" i="136"/>
  <c r="M25" i="136"/>
  <c r="N25" i="136"/>
  <c r="O25" i="136"/>
  <c r="P25" i="136"/>
  <c r="Q25" i="136"/>
  <c r="R25" i="136"/>
  <c r="S25" i="136"/>
  <c r="T25" i="136"/>
  <c r="U25" i="136"/>
  <c r="V25" i="136"/>
  <c r="D26" i="136"/>
  <c r="E26" i="136"/>
  <c r="F26" i="136"/>
  <c r="G26" i="136"/>
  <c r="H26" i="136"/>
  <c r="I26" i="136"/>
  <c r="J26" i="136"/>
  <c r="K26" i="136"/>
  <c r="L26" i="136"/>
  <c r="M26" i="136"/>
  <c r="N26" i="136"/>
  <c r="O26" i="136"/>
  <c r="P26" i="136"/>
  <c r="Q26" i="136"/>
  <c r="R26" i="136"/>
  <c r="S26" i="136"/>
  <c r="T26" i="136"/>
  <c r="U26" i="136"/>
  <c r="V26" i="136"/>
  <c r="D27" i="136"/>
  <c r="E27" i="136"/>
  <c r="F27" i="136"/>
  <c r="G27" i="136"/>
  <c r="H27" i="136"/>
  <c r="I27" i="136"/>
  <c r="J27" i="136"/>
  <c r="K27" i="136"/>
  <c r="L27" i="136"/>
  <c r="M27" i="136"/>
  <c r="N27" i="136"/>
  <c r="O27" i="136"/>
  <c r="P27" i="136"/>
  <c r="Q27" i="136"/>
  <c r="R27" i="136"/>
  <c r="S27" i="136"/>
  <c r="T27" i="136"/>
  <c r="U27" i="136"/>
  <c r="V27" i="136"/>
  <c r="D28" i="136"/>
  <c r="E28" i="136"/>
  <c r="F28" i="136"/>
  <c r="G28" i="136"/>
  <c r="H28" i="136"/>
  <c r="I28" i="136"/>
  <c r="J28" i="136"/>
  <c r="K28" i="136"/>
  <c r="L28" i="136"/>
  <c r="M28" i="136"/>
  <c r="N28" i="136"/>
  <c r="O28" i="136"/>
  <c r="P28" i="136"/>
  <c r="Q28" i="136"/>
  <c r="R28" i="136"/>
  <c r="S28" i="136"/>
  <c r="T28" i="136"/>
  <c r="U28" i="136"/>
  <c r="V28" i="136"/>
  <c r="D29" i="136"/>
  <c r="E29" i="136"/>
  <c r="F29" i="136"/>
  <c r="G29" i="136"/>
  <c r="H29" i="136"/>
  <c r="I29" i="136"/>
  <c r="J29" i="136"/>
  <c r="K29" i="136"/>
  <c r="L29" i="136"/>
  <c r="M29" i="136"/>
  <c r="N29" i="136"/>
  <c r="O29" i="136"/>
  <c r="P29" i="136"/>
  <c r="Q29" i="136"/>
  <c r="R29" i="136"/>
  <c r="S29" i="136"/>
  <c r="T29" i="136"/>
  <c r="U29" i="136"/>
  <c r="V29" i="136"/>
  <c r="D30" i="136"/>
  <c r="E30" i="136"/>
  <c r="F30" i="136"/>
  <c r="G30" i="136"/>
  <c r="H30" i="136"/>
  <c r="I30" i="136"/>
  <c r="J30" i="136"/>
  <c r="K30" i="136"/>
  <c r="L30" i="136"/>
  <c r="M30" i="136"/>
  <c r="N30" i="136"/>
  <c r="O30" i="136"/>
  <c r="P30" i="136"/>
  <c r="Q30" i="136"/>
  <c r="R30" i="136"/>
  <c r="S30" i="136"/>
  <c r="T30" i="136"/>
  <c r="U30" i="136"/>
  <c r="V30" i="136"/>
  <c r="D31" i="136"/>
  <c r="E31" i="136"/>
  <c r="F31" i="136"/>
  <c r="G31" i="136"/>
  <c r="H31" i="136"/>
  <c r="I31" i="136"/>
  <c r="J31" i="136"/>
  <c r="K31" i="136"/>
  <c r="L31" i="136"/>
  <c r="M31" i="136"/>
  <c r="N31" i="136"/>
  <c r="O31" i="136"/>
  <c r="P31" i="136"/>
  <c r="Q31" i="136"/>
  <c r="R31" i="136"/>
  <c r="S31" i="136"/>
  <c r="T31" i="136"/>
  <c r="U31" i="136"/>
  <c r="V31" i="136"/>
  <c r="D32" i="136"/>
  <c r="E32" i="136"/>
  <c r="F32" i="136"/>
  <c r="G32" i="136"/>
  <c r="H32" i="136"/>
  <c r="I32" i="136"/>
  <c r="J32" i="136"/>
  <c r="K32" i="136"/>
  <c r="L32" i="136"/>
  <c r="M32" i="136"/>
  <c r="N32" i="136"/>
  <c r="O32" i="136"/>
  <c r="P32" i="136"/>
  <c r="Q32" i="136"/>
  <c r="R32" i="136"/>
  <c r="S32" i="136"/>
  <c r="T32" i="136"/>
  <c r="U32" i="136"/>
  <c r="V32" i="136"/>
  <c r="D33" i="136"/>
  <c r="E33" i="136"/>
  <c r="F33" i="136"/>
  <c r="G33" i="136"/>
  <c r="H33" i="136"/>
  <c r="I33" i="136"/>
  <c r="J33" i="136"/>
  <c r="K33" i="136"/>
  <c r="L33" i="136"/>
  <c r="M33" i="136"/>
  <c r="N33" i="136"/>
  <c r="O33" i="136"/>
  <c r="P33" i="136"/>
  <c r="Q33" i="136"/>
  <c r="R33" i="136"/>
  <c r="S33" i="136"/>
  <c r="T33" i="136"/>
  <c r="U33" i="136"/>
  <c r="V33" i="136"/>
  <c r="D34" i="136"/>
  <c r="E34" i="136"/>
  <c r="F34" i="136"/>
  <c r="G34" i="136"/>
  <c r="H34" i="136"/>
  <c r="I34" i="136"/>
  <c r="J34" i="136"/>
  <c r="K34" i="136"/>
  <c r="L34" i="136"/>
  <c r="M34" i="136"/>
  <c r="N34" i="136"/>
  <c r="O34" i="136"/>
  <c r="P34" i="136"/>
  <c r="Q34" i="136"/>
  <c r="R34" i="136"/>
  <c r="S34" i="136"/>
  <c r="T34" i="136"/>
  <c r="U34" i="136"/>
  <c r="V34" i="136"/>
  <c r="D35" i="136"/>
  <c r="E35" i="136"/>
  <c r="F35" i="136"/>
  <c r="G35" i="136"/>
  <c r="H35" i="136"/>
  <c r="I35" i="136"/>
  <c r="J35" i="136"/>
  <c r="K35" i="136"/>
  <c r="L35" i="136"/>
  <c r="M35" i="136"/>
  <c r="N35" i="136"/>
  <c r="O35" i="136"/>
  <c r="P35" i="136"/>
  <c r="Q35" i="136"/>
  <c r="R35" i="136"/>
  <c r="S35" i="136"/>
  <c r="T35" i="136"/>
  <c r="U35" i="136"/>
  <c r="V35" i="136"/>
  <c r="D36" i="136"/>
  <c r="E36" i="136"/>
  <c r="F36" i="136"/>
  <c r="G36" i="136"/>
  <c r="H36" i="136"/>
  <c r="I36" i="136"/>
  <c r="J36" i="136"/>
  <c r="K36" i="136"/>
  <c r="L36" i="136"/>
  <c r="M36" i="136"/>
  <c r="N36" i="136"/>
  <c r="O36" i="136"/>
  <c r="P36" i="136"/>
  <c r="Q36" i="136"/>
  <c r="R36" i="136"/>
  <c r="S36" i="136"/>
  <c r="T36" i="136"/>
  <c r="U36" i="136"/>
  <c r="V36" i="136"/>
  <c r="D37" i="136"/>
  <c r="E37" i="136"/>
  <c r="F37" i="136"/>
  <c r="G37" i="136"/>
  <c r="H37" i="136"/>
  <c r="I37" i="136"/>
  <c r="J37" i="136"/>
  <c r="K37" i="136"/>
  <c r="L37" i="136"/>
  <c r="M37" i="136"/>
  <c r="N37" i="136"/>
  <c r="O37" i="136"/>
  <c r="P37" i="136"/>
  <c r="Q37" i="136"/>
  <c r="R37" i="136"/>
  <c r="S37" i="136"/>
  <c r="T37" i="136"/>
  <c r="U37" i="136"/>
  <c r="V37" i="136"/>
  <c r="D38" i="136"/>
  <c r="E38" i="136"/>
  <c r="F38" i="136"/>
  <c r="G38" i="136"/>
  <c r="H38" i="136"/>
  <c r="I38" i="136"/>
  <c r="J38" i="136"/>
  <c r="K38" i="136"/>
  <c r="L38" i="136"/>
  <c r="M38" i="136"/>
  <c r="N38" i="136"/>
  <c r="O38" i="136"/>
  <c r="P38" i="136"/>
  <c r="Q38" i="136"/>
  <c r="R38" i="136"/>
  <c r="S38" i="136"/>
  <c r="T38" i="136"/>
  <c r="U38" i="136"/>
  <c r="V38" i="136"/>
  <c r="D39" i="136"/>
  <c r="E39" i="136"/>
  <c r="F39" i="136"/>
  <c r="G39" i="136"/>
  <c r="H39" i="136"/>
  <c r="I39" i="136"/>
  <c r="J39" i="136"/>
  <c r="K39" i="136"/>
  <c r="L39" i="136"/>
  <c r="M39" i="136"/>
  <c r="N39" i="136"/>
  <c r="O39" i="136"/>
  <c r="P39" i="136"/>
  <c r="Q39" i="136"/>
  <c r="R39" i="136"/>
  <c r="S39" i="136"/>
  <c r="T39" i="136"/>
  <c r="U39" i="136"/>
  <c r="V39" i="136"/>
  <c r="D40" i="136"/>
  <c r="E40" i="136"/>
  <c r="F40" i="136"/>
  <c r="G40" i="136"/>
  <c r="H40" i="136"/>
  <c r="I40" i="136"/>
  <c r="J40" i="136"/>
  <c r="K40" i="136"/>
  <c r="L40" i="136"/>
  <c r="M40" i="136"/>
  <c r="N40" i="136"/>
  <c r="O40" i="136"/>
  <c r="P40" i="136"/>
  <c r="Q40" i="136"/>
  <c r="R40" i="136"/>
  <c r="S40" i="136"/>
  <c r="T40" i="136"/>
  <c r="U40" i="136"/>
  <c r="V40" i="136"/>
  <c r="D41" i="136"/>
  <c r="E41" i="136"/>
  <c r="F41" i="136"/>
  <c r="G41" i="136"/>
  <c r="H41" i="136"/>
  <c r="I41" i="136"/>
  <c r="J41" i="136"/>
  <c r="K41" i="136"/>
  <c r="L41" i="136"/>
  <c r="M41" i="136"/>
  <c r="N41" i="136"/>
  <c r="O41" i="136"/>
  <c r="P41" i="136"/>
  <c r="Q41" i="136"/>
  <c r="R41" i="136"/>
  <c r="S41" i="136"/>
  <c r="T41" i="136"/>
  <c r="U41" i="136"/>
  <c r="V41" i="136"/>
  <c r="D42" i="136"/>
  <c r="E42" i="136"/>
  <c r="F42" i="136"/>
  <c r="G42" i="136"/>
  <c r="H42" i="136"/>
  <c r="I42" i="136"/>
  <c r="J42" i="136"/>
  <c r="K42" i="136"/>
  <c r="L42" i="136"/>
  <c r="M42" i="136"/>
  <c r="N42" i="136"/>
  <c r="O42" i="136"/>
  <c r="P42" i="136"/>
  <c r="Q42" i="136"/>
  <c r="R42" i="136"/>
  <c r="S42" i="136"/>
  <c r="T42" i="136"/>
  <c r="U42" i="136"/>
  <c r="V42" i="136"/>
  <c r="D43" i="136"/>
  <c r="E43" i="136"/>
  <c r="F43" i="136"/>
  <c r="G43" i="136"/>
  <c r="H43" i="136"/>
  <c r="I43" i="136"/>
  <c r="J43" i="136"/>
  <c r="K43" i="136"/>
  <c r="L43" i="136"/>
  <c r="M43" i="136"/>
  <c r="N43" i="136"/>
  <c r="O43" i="136"/>
  <c r="P43" i="136"/>
  <c r="Q43" i="136"/>
  <c r="R43" i="136"/>
  <c r="S43" i="136"/>
  <c r="T43" i="136"/>
  <c r="U43" i="136"/>
  <c r="V43" i="136"/>
  <c r="D44" i="136"/>
  <c r="E44" i="136"/>
  <c r="F44" i="136"/>
  <c r="G44" i="136"/>
  <c r="H44" i="136"/>
  <c r="I44" i="136"/>
  <c r="J44" i="136"/>
  <c r="K44" i="136"/>
  <c r="L44" i="136"/>
  <c r="M44" i="136"/>
  <c r="N44" i="136"/>
  <c r="O44" i="136"/>
  <c r="P44" i="136"/>
  <c r="Q44" i="136"/>
  <c r="R44" i="136"/>
  <c r="S44" i="136"/>
  <c r="T44" i="136"/>
  <c r="U44" i="136"/>
  <c r="V44" i="136"/>
  <c r="D45" i="136"/>
  <c r="E45" i="136"/>
  <c r="F45" i="136"/>
  <c r="G45" i="136"/>
  <c r="H45" i="136"/>
  <c r="I45" i="136"/>
  <c r="J45" i="136"/>
  <c r="K45" i="136"/>
  <c r="L45" i="136"/>
  <c r="M45" i="136"/>
  <c r="N45" i="136"/>
  <c r="O45" i="136"/>
  <c r="P45" i="136"/>
  <c r="Q45" i="136"/>
  <c r="R45" i="136"/>
  <c r="S45" i="136"/>
  <c r="T45" i="136"/>
  <c r="U45" i="136"/>
  <c r="V45" i="136"/>
  <c r="D46" i="136"/>
  <c r="E46" i="136"/>
  <c r="F46" i="136"/>
  <c r="G46" i="136"/>
  <c r="H46" i="136"/>
  <c r="I46" i="136"/>
  <c r="J46" i="136"/>
  <c r="K46" i="136"/>
  <c r="L46" i="136"/>
  <c r="M46" i="136"/>
  <c r="N46" i="136"/>
  <c r="O46" i="136"/>
  <c r="P46" i="136"/>
  <c r="Q46" i="136"/>
  <c r="R46" i="136"/>
  <c r="S46" i="136"/>
  <c r="T46" i="136"/>
  <c r="U46" i="136"/>
  <c r="V46" i="136"/>
  <c r="D47" i="136"/>
  <c r="E47" i="136"/>
  <c r="F47" i="136"/>
  <c r="G47" i="136"/>
  <c r="H47" i="136"/>
  <c r="I47" i="136"/>
  <c r="J47" i="136"/>
  <c r="K47" i="136"/>
  <c r="L47" i="136"/>
  <c r="M47" i="136"/>
  <c r="N47" i="136"/>
  <c r="O47" i="136"/>
  <c r="P47" i="136"/>
  <c r="Q47" i="136"/>
  <c r="R47" i="136"/>
  <c r="S47" i="136"/>
  <c r="T47" i="136"/>
  <c r="U47" i="136"/>
  <c r="V47" i="136"/>
  <c r="D48" i="136"/>
  <c r="E48" i="136"/>
  <c r="F48" i="136"/>
  <c r="G48" i="136"/>
  <c r="H48" i="136"/>
  <c r="I48" i="136"/>
  <c r="J48" i="136"/>
  <c r="K48" i="136"/>
  <c r="L48" i="136"/>
  <c r="M48" i="136"/>
  <c r="N48" i="136"/>
  <c r="O48" i="136"/>
  <c r="P48" i="136"/>
  <c r="Q48" i="136"/>
  <c r="R48" i="136"/>
  <c r="S48" i="136"/>
  <c r="T48" i="136"/>
  <c r="U48" i="136"/>
  <c r="V48" i="136"/>
  <c r="C3" i="136"/>
  <c r="C4" i="136"/>
  <c r="C4" i="137" s="1"/>
  <c r="C5" i="136"/>
  <c r="C6" i="136"/>
  <c r="C7" i="136"/>
  <c r="C8" i="136"/>
  <c r="C9" i="136"/>
  <c r="C10" i="136"/>
  <c r="C11" i="136"/>
  <c r="C12" i="136"/>
  <c r="C13" i="136"/>
  <c r="C14" i="136"/>
  <c r="C15" i="136"/>
  <c r="C16" i="136"/>
  <c r="C17" i="136"/>
  <c r="C18" i="136"/>
  <c r="C19" i="136"/>
  <c r="C20" i="136"/>
  <c r="C21" i="136"/>
  <c r="C22" i="136"/>
  <c r="C23" i="136"/>
  <c r="C24" i="136"/>
  <c r="C25" i="136"/>
  <c r="C26" i="136"/>
  <c r="C27" i="136"/>
  <c r="C28" i="136"/>
  <c r="C29" i="136"/>
  <c r="C30" i="136"/>
  <c r="C31" i="136"/>
  <c r="C32" i="136"/>
  <c r="C33" i="136"/>
  <c r="C34" i="136"/>
  <c r="C35" i="136"/>
  <c r="C36" i="136"/>
  <c r="C37" i="136"/>
  <c r="C38" i="136"/>
  <c r="C39" i="136"/>
  <c r="C40" i="136"/>
  <c r="C41" i="136"/>
  <c r="C42" i="136"/>
  <c r="C43" i="136"/>
  <c r="C44" i="136"/>
  <c r="C45" i="136"/>
  <c r="C46" i="136"/>
  <c r="C47" i="136"/>
  <c r="C48" i="136"/>
  <c r="C2" i="136"/>
  <c r="AE56" i="162" l="1"/>
  <c r="AF92" i="129"/>
  <c r="AF148" i="129"/>
  <c r="AN33" i="129"/>
  <c r="AL27" i="129"/>
  <c r="AO26" i="129"/>
  <c r="AM26" i="129" s="1"/>
  <c r="AJ27" i="129"/>
  <c r="AP27" i="129" s="1"/>
  <c r="AF34" i="129"/>
  <c r="B12" i="155"/>
  <c r="C109" i="163"/>
  <c r="B13" i="155" s="1"/>
  <c r="C108" i="163"/>
  <c r="C107" i="163"/>
  <c r="AM39" i="162"/>
  <c r="AN33" i="162"/>
  <c r="AL33" i="162" s="1"/>
  <c r="AI33" i="162"/>
  <c r="AO33" i="162" s="1"/>
  <c r="AK34" i="162"/>
  <c r="J5" i="134"/>
  <c r="J163" i="134"/>
  <c r="J84" i="134"/>
  <c r="J37" i="134"/>
  <c r="J116" i="134"/>
  <c r="J195" i="134"/>
  <c r="I5" i="134"/>
  <c r="I84" i="134"/>
  <c r="I163" i="134"/>
  <c r="R12" i="134"/>
  <c r="R91" i="134"/>
  <c r="R170" i="134"/>
  <c r="N37" i="134"/>
  <c r="N195" i="134"/>
  <c r="N116" i="134"/>
  <c r="H37" i="134"/>
  <c r="H116" i="134"/>
  <c r="H195" i="134"/>
  <c r="H233" i="134" s="1"/>
  <c r="O12" i="134"/>
  <c r="O91" i="134"/>
  <c r="O154" i="134" s="1"/>
  <c r="O170" i="134"/>
  <c r="O42" i="134"/>
  <c r="O121" i="134"/>
  <c r="O200" i="134"/>
  <c r="Q12" i="134"/>
  <c r="Q91" i="134"/>
  <c r="Q170" i="134"/>
  <c r="Q5" i="134"/>
  <c r="Q84" i="134"/>
  <c r="Q163" i="134"/>
  <c r="L42" i="134"/>
  <c r="L121" i="134"/>
  <c r="L200" i="134"/>
  <c r="L37" i="134"/>
  <c r="L195" i="134"/>
  <c r="L116" i="134"/>
  <c r="L5" i="134"/>
  <c r="L75" i="134" s="1"/>
  <c r="L163" i="134"/>
  <c r="L233" i="134" s="1"/>
  <c r="L84" i="134"/>
  <c r="L154" i="134" s="1"/>
  <c r="C37" i="134"/>
  <c r="C195" i="134"/>
  <c r="C116" i="134"/>
  <c r="U121" i="134"/>
  <c r="U42" i="134"/>
  <c r="U200" i="134"/>
  <c r="E84" i="134"/>
  <c r="E5" i="134"/>
  <c r="E163" i="134"/>
  <c r="S200" i="134"/>
  <c r="S42" i="134"/>
  <c r="S121" i="134"/>
  <c r="P37" i="134"/>
  <c r="P195" i="134"/>
  <c r="P116" i="134"/>
  <c r="H12" i="134"/>
  <c r="H91" i="134"/>
  <c r="H170" i="134"/>
  <c r="P84" i="134"/>
  <c r="P5" i="134"/>
  <c r="P75" i="134" s="1"/>
  <c r="P163" i="134"/>
  <c r="P233" i="134" s="1"/>
  <c r="E42" i="134"/>
  <c r="E121" i="134"/>
  <c r="E200" i="134"/>
  <c r="R42" i="134"/>
  <c r="R200" i="134"/>
  <c r="R121" i="134"/>
  <c r="D5" i="134"/>
  <c r="D163" i="134"/>
  <c r="D84" i="134"/>
  <c r="L12" i="134"/>
  <c r="L91" i="134"/>
  <c r="L170" i="134"/>
  <c r="K12" i="134"/>
  <c r="K91" i="134"/>
  <c r="K170" i="134"/>
  <c r="K5" i="134"/>
  <c r="K75" i="134" s="1"/>
  <c r="K163" i="134"/>
  <c r="K233" i="134" s="1"/>
  <c r="K84" i="134"/>
  <c r="K154" i="134" s="1"/>
  <c r="G37" i="134"/>
  <c r="G195" i="134"/>
  <c r="G233" i="134" s="1"/>
  <c r="G116" i="134"/>
  <c r="V12" i="134"/>
  <c r="V91" i="134"/>
  <c r="V170" i="134"/>
  <c r="T42" i="134"/>
  <c r="T200" i="134"/>
  <c r="T121" i="134"/>
  <c r="I37" i="134"/>
  <c r="I195" i="134"/>
  <c r="I116" i="134"/>
  <c r="M5" i="134"/>
  <c r="M163" i="134"/>
  <c r="M84" i="134"/>
  <c r="M154" i="134" s="1"/>
  <c r="S84" i="134"/>
  <c r="S5" i="134"/>
  <c r="S163" i="134"/>
  <c r="E37" i="134"/>
  <c r="E75" i="134" s="1"/>
  <c r="E195" i="134"/>
  <c r="E116" i="134"/>
  <c r="E154" i="134" s="1"/>
  <c r="O37" i="134"/>
  <c r="O195" i="134"/>
  <c r="O116" i="134"/>
  <c r="N5" i="134"/>
  <c r="N163" i="134"/>
  <c r="N84" i="134"/>
  <c r="O5" i="134"/>
  <c r="O163" i="134"/>
  <c r="O84" i="134"/>
  <c r="K42" i="134"/>
  <c r="K200" i="134"/>
  <c r="K121" i="134"/>
  <c r="H42" i="134"/>
  <c r="H200" i="134"/>
  <c r="H121" i="134"/>
  <c r="D200" i="134"/>
  <c r="D121" i="134"/>
  <c r="D154" i="134" s="1"/>
  <c r="D42" i="134"/>
  <c r="D75" i="134" s="1"/>
  <c r="V5" i="134"/>
  <c r="V84" i="134"/>
  <c r="V163" i="134"/>
  <c r="V233" i="134" s="1"/>
  <c r="F37" i="134"/>
  <c r="F116" i="134"/>
  <c r="F195" i="134"/>
  <c r="E170" i="134"/>
  <c r="E12" i="134"/>
  <c r="E91" i="134"/>
  <c r="T84" i="134"/>
  <c r="T163" i="134"/>
  <c r="T5" i="134"/>
  <c r="I42" i="134"/>
  <c r="I121" i="134"/>
  <c r="I200" i="134"/>
  <c r="I233" i="134" s="1"/>
  <c r="Q121" i="134"/>
  <c r="Q154" i="134" s="1"/>
  <c r="Q200" i="134"/>
  <c r="Q42" i="134"/>
  <c r="P12" i="134"/>
  <c r="P170" i="134"/>
  <c r="P91" i="134"/>
  <c r="H84" i="134"/>
  <c r="H154" i="134" s="1"/>
  <c r="H5" i="134"/>
  <c r="H75" i="134" s="1"/>
  <c r="H163" i="134"/>
  <c r="P42" i="134"/>
  <c r="P200" i="134"/>
  <c r="P121" i="134"/>
  <c r="R5" i="134"/>
  <c r="R163" i="134"/>
  <c r="R84" i="134"/>
  <c r="D12" i="134"/>
  <c r="D91" i="134"/>
  <c r="D170" i="134"/>
  <c r="N12" i="134"/>
  <c r="N91" i="134"/>
  <c r="N170" i="134"/>
  <c r="N42" i="134"/>
  <c r="N121" i="134"/>
  <c r="N200" i="134"/>
  <c r="V200" i="134"/>
  <c r="V42" i="134"/>
  <c r="V121" i="134"/>
  <c r="K37" i="134"/>
  <c r="K116" i="134"/>
  <c r="K195" i="134"/>
  <c r="G5" i="134"/>
  <c r="G84" i="134"/>
  <c r="G163" i="134"/>
  <c r="D37" i="134"/>
  <c r="D116" i="134"/>
  <c r="D195" i="134"/>
  <c r="C5" i="134"/>
  <c r="C163" i="134"/>
  <c r="C84" i="134"/>
  <c r="U37" i="134"/>
  <c r="U195" i="134"/>
  <c r="U116" i="134"/>
  <c r="J200" i="134"/>
  <c r="J121" i="134"/>
  <c r="J42" i="134"/>
  <c r="J75" i="134" s="1"/>
  <c r="U5" i="134"/>
  <c r="U75" i="134" s="1"/>
  <c r="U84" i="134"/>
  <c r="U154" i="134" s="1"/>
  <c r="U163" i="134"/>
  <c r="U233" i="134" s="1"/>
  <c r="T12" i="134"/>
  <c r="T91" i="134"/>
  <c r="T170" i="134"/>
  <c r="T116" i="134"/>
  <c r="T195" i="134"/>
  <c r="T37" i="134"/>
  <c r="I170" i="134"/>
  <c r="I12" i="134"/>
  <c r="I91" i="134"/>
  <c r="V37" i="134"/>
  <c r="V195" i="134"/>
  <c r="V116" i="134"/>
  <c r="S91" i="134"/>
  <c r="S170" i="134"/>
  <c r="S12" i="134"/>
  <c r="S116" i="134"/>
  <c r="S195" i="134"/>
  <c r="S37" i="134"/>
  <c r="R37" i="134"/>
  <c r="R75" i="134" s="1"/>
  <c r="R116" i="134"/>
  <c r="R195" i="134"/>
  <c r="Q116" i="134"/>
  <c r="Q37" i="134"/>
  <c r="Q195" i="134"/>
  <c r="M12" i="134"/>
  <c r="M91" i="134"/>
  <c r="M170" i="134"/>
  <c r="M42" i="134"/>
  <c r="M200" i="134"/>
  <c r="M121" i="134"/>
  <c r="M37" i="134"/>
  <c r="M195" i="134"/>
  <c r="M116" i="134"/>
  <c r="G91" i="134"/>
  <c r="G12" i="134"/>
  <c r="G170" i="134"/>
  <c r="G121" i="134"/>
  <c r="G42" i="134"/>
  <c r="G200" i="134"/>
  <c r="F91" i="134"/>
  <c r="F154" i="134" s="1"/>
  <c r="F12" i="134"/>
  <c r="F170" i="134"/>
  <c r="F5" i="134"/>
  <c r="F163" i="134"/>
  <c r="F233" i="134" s="1"/>
  <c r="F84" i="134"/>
  <c r="C42" i="134"/>
  <c r="C121" i="134"/>
  <c r="C200" i="134"/>
  <c r="U91" i="134"/>
  <c r="U170" i="134"/>
  <c r="U12" i="134"/>
  <c r="J91" i="134"/>
  <c r="J170" i="134"/>
  <c r="J12" i="134"/>
  <c r="F42" i="134"/>
  <c r="F75" i="134" s="1"/>
  <c r="F121" i="134"/>
  <c r="F200" i="134"/>
  <c r="C12" i="134"/>
  <c r="C170" i="134"/>
  <c r="C91" i="134"/>
  <c r="C154" i="134" s="1"/>
  <c r="R8" i="137"/>
  <c r="P9" i="137"/>
  <c r="N9" i="137"/>
  <c r="D8" i="137"/>
  <c r="V7" i="137"/>
  <c r="C3" i="137"/>
  <c r="O9" i="137"/>
  <c r="I4" i="137"/>
  <c r="F4" i="137"/>
  <c r="F16" i="137" s="1"/>
  <c r="C9" i="137"/>
  <c r="Q21" i="137" s="1"/>
  <c r="E8" i="137"/>
  <c r="S7" i="137"/>
  <c r="R7" i="137"/>
  <c r="Q7" i="137"/>
  <c r="P4" i="137"/>
  <c r="O4" i="137"/>
  <c r="O16" i="137" s="1"/>
  <c r="N7" i="137"/>
  <c r="M9" i="137"/>
  <c r="L9" i="137"/>
  <c r="K7" i="137"/>
  <c r="J7" i="137"/>
  <c r="I3" i="137"/>
  <c r="H6" i="137"/>
  <c r="U7" i="137"/>
  <c r="L3" i="137"/>
  <c r="G3" i="137"/>
  <c r="T7" i="137"/>
  <c r="Q9" i="137"/>
  <c r="M6" i="137"/>
  <c r="K8" i="137"/>
  <c r="J8" i="137"/>
  <c r="H4" i="137"/>
  <c r="H16" i="137" s="1"/>
  <c r="G4" i="137"/>
  <c r="G16" i="137" s="1"/>
  <c r="E5" i="137"/>
  <c r="C5" i="137"/>
  <c r="I17" i="137" s="1"/>
  <c r="F7" i="137"/>
  <c r="E2" i="137"/>
  <c r="V5" i="137"/>
  <c r="U9" i="137"/>
  <c r="U21" i="137" s="1"/>
  <c r="T6" i="137"/>
  <c r="S4" i="137"/>
  <c r="E4" i="137"/>
  <c r="L6" i="137"/>
  <c r="R4" i="137"/>
  <c r="K3" i="137"/>
  <c r="I7" i="137"/>
  <c r="K6" i="137"/>
  <c r="Q4" i="137"/>
  <c r="J3" i="137"/>
  <c r="H7" i="137"/>
  <c r="K9" i="137"/>
  <c r="K21" i="137" s="1"/>
  <c r="J6" i="137"/>
  <c r="V2" i="137"/>
  <c r="V14" i="137" s="1"/>
  <c r="D9" i="137"/>
  <c r="D21" i="137" s="1"/>
  <c r="G7" i="137"/>
  <c r="J9" i="137"/>
  <c r="J21" i="137" s="1"/>
  <c r="P7" i="137"/>
  <c r="U2" i="137"/>
  <c r="V8" i="137"/>
  <c r="V20" i="137" s="1"/>
  <c r="O7" i="137"/>
  <c r="O19" i="137" s="1"/>
  <c r="U5" i="137"/>
  <c r="N4" i="137"/>
  <c r="T2" i="137"/>
  <c r="E7" i="137"/>
  <c r="U8" i="137"/>
  <c r="T5" i="137"/>
  <c r="M4" i="137"/>
  <c r="S2" i="137"/>
  <c r="D6" i="137"/>
  <c r="I6" i="137"/>
  <c r="I2" i="137"/>
  <c r="T8" i="137"/>
  <c r="M7" i="137"/>
  <c r="S5" i="137"/>
  <c r="L4" i="137"/>
  <c r="R2" i="137"/>
  <c r="H2" i="137"/>
  <c r="S8" i="137"/>
  <c r="S20" i="137" s="1"/>
  <c r="L7" i="137"/>
  <c r="R5" i="137"/>
  <c r="R17" i="137" s="1"/>
  <c r="K4" i="137"/>
  <c r="K16" i="137" s="1"/>
  <c r="Q2" i="137"/>
  <c r="D2" i="137"/>
  <c r="G6" i="137"/>
  <c r="G2" i="137"/>
  <c r="J4" i="137"/>
  <c r="J16" i="137" s="1"/>
  <c r="P2" i="137"/>
  <c r="D3" i="137"/>
  <c r="D15" i="137" s="1"/>
  <c r="F6" i="137"/>
  <c r="F2" i="137"/>
  <c r="Q8" i="137"/>
  <c r="O2" i="137"/>
  <c r="O14" i="137" s="1"/>
  <c r="D4" i="137"/>
  <c r="D16" i="137" s="1"/>
  <c r="E6" i="137"/>
  <c r="P8" i="137"/>
  <c r="U3" i="137"/>
  <c r="U15" i="137" s="1"/>
  <c r="N2" i="137"/>
  <c r="N14" i="137" s="1"/>
  <c r="I9" i="137"/>
  <c r="I21" i="137" s="1"/>
  <c r="O8" i="137"/>
  <c r="O20" i="137" s="1"/>
  <c r="U6" i="137"/>
  <c r="N5" i="137"/>
  <c r="T3" i="137"/>
  <c r="H9" i="137"/>
  <c r="H5" i="137"/>
  <c r="N8" i="137"/>
  <c r="M5" i="137"/>
  <c r="S3" i="137"/>
  <c r="L2" i="137"/>
  <c r="G9" i="137"/>
  <c r="G5" i="137"/>
  <c r="T9" i="137"/>
  <c r="T21" i="137" s="1"/>
  <c r="M8" i="137"/>
  <c r="M20" i="137" s="1"/>
  <c r="S6" i="137"/>
  <c r="L5" i="137"/>
  <c r="R3" i="137"/>
  <c r="R15" i="137" s="1"/>
  <c r="K2" i="137"/>
  <c r="H3" i="137"/>
  <c r="H15" i="137" s="1"/>
  <c r="F3" i="137"/>
  <c r="F15" i="137" s="1"/>
  <c r="E3" i="137"/>
  <c r="E10" i="137" s="1"/>
  <c r="Q5" i="137"/>
  <c r="Q17" i="137" s="1"/>
  <c r="V3" i="137"/>
  <c r="I5" i="137"/>
  <c r="F9" i="137"/>
  <c r="F5" i="137"/>
  <c r="S9" i="137"/>
  <c r="L8" i="137"/>
  <c r="R6" i="137"/>
  <c r="K5" i="137"/>
  <c r="Q3" i="137"/>
  <c r="J2" i="137"/>
  <c r="D7" i="137"/>
  <c r="D5" i="137"/>
  <c r="V6" i="137"/>
  <c r="V9" i="137"/>
  <c r="V21" i="137" s="1"/>
  <c r="E9" i="137"/>
  <c r="E21" i="137" s="1"/>
  <c r="R9" i="137"/>
  <c r="R21" i="137" s="1"/>
  <c r="Q6" i="137"/>
  <c r="J5" i="137"/>
  <c r="J17" i="137" s="1"/>
  <c r="P3" i="137"/>
  <c r="P15" i="137" s="1"/>
  <c r="I8" i="137"/>
  <c r="I20" i="137" s="1"/>
  <c r="P6" i="137"/>
  <c r="V4" i="137"/>
  <c r="O3" i="137"/>
  <c r="P5" i="137"/>
  <c r="O5" i="137"/>
  <c r="M2" i="137"/>
  <c r="C2" i="137"/>
  <c r="G14" i="137" s="1"/>
  <c r="C8" i="137"/>
  <c r="U20" i="137" s="1"/>
  <c r="H8" i="137"/>
  <c r="H20" i="137" s="1"/>
  <c r="O6" i="137"/>
  <c r="U4" i="137"/>
  <c r="U16" i="137" s="1"/>
  <c r="N3" i="137"/>
  <c r="N15" i="137" s="1"/>
  <c r="C7" i="137"/>
  <c r="H19" i="137" s="1"/>
  <c r="G8" i="137"/>
  <c r="G20" i="137" s="1"/>
  <c r="N6" i="137"/>
  <c r="T4" i="137"/>
  <c r="M3" i="137"/>
  <c r="C6" i="137"/>
  <c r="J18" i="137" s="1"/>
  <c r="F8" i="137"/>
  <c r="F20" i="137" s="1"/>
  <c r="I75" i="134"/>
  <c r="T154" i="134"/>
  <c r="M75" i="134"/>
  <c r="N154" i="134"/>
  <c r="J233" i="134"/>
  <c r="R233" i="134"/>
  <c r="T233" i="134"/>
  <c r="B205" i="138"/>
  <c r="B127" i="138"/>
  <c r="B56" i="133"/>
  <c r="B212" i="138"/>
  <c r="B134" i="138"/>
  <c r="B55" i="133"/>
  <c r="B133" i="138"/>
  <c r="B211" i="138"/>
  <c r="B54" i="133"/>
  <c r="B210" i="138"/>
  <c r="B132" i="138"/>
  <c r="B53" i="133"/>
  <c r="B131" i="138"/>
  <c r="B209" i="138"/>
  <c r="B51" i="133"/>
  <c r="B207" i="138"/>
  <c r="B129" i="138"/>
  <c r="B52" i="133"/>
  <c r="B208" i="138"/>
  <c r="B130" i="138"/>
  <c r="B50" i="133"/>
  <c r="B206" i="138"/>
  <c r="B128" i="138"/>
  <c r="G15" i="137"/>
  <c r="L20" i="137"/>
  <c r="Q20" i="137"/>
  <c r="B49" i="133"/>
  <c r="N20" i="137"/>
  <c r="E17" i="137"/>
  <c r="K20" i="137"/>
  <c r="V16" i="137"/>
  <c r="S16" i="137"/>
  <c r="I16" i="137"/>
  <c r="E16" i="137"/>
  <c r="T15" i="137"/>
  <c r="Q15" i="137"/>
  <c r="D20" i="137"/>
  <c r="H21" i="137"/>
  <c r="G21" i="137"/>
  <c r="E20" i="137"/>
  <c r="Q16" i="137"/>
  <c r="F21" i="137"/>
  <c r="P16" i="137"/>
  <c r="N16" i="137"/>
  <c r="I15" i="137"/>
  <c r="S15" i="137"/>
  <c r="R16" i="137"/>
  <c r="K15" i="137"/>
  <c r="R20" i="137"/>
  <c r="M16" i="137"/>
  <c r="I14" i="137"/>
  <c r="T20" i="137"/>
  <c r="J15" i="137"/>
  <c r="B16" i="1"/>
  <c r="E57" i="155" l="1"/>
  <c r="E91" i="155"/>
  <c r="E88" i="155"/>
  <c r="E89" i="155"/>
  <c r="E60" i="155"/>
  <c r="E86" i="155"/>
  <c r="E58" i="155"/>
  <c r="E56" i="155"/>
  <c r="E85" i="155"/>
  <c r="E55" i="155"/>
  <c r="E87" i="155"/>
  <c r="E54" i="155"/>
  <c r="E90" i="155"/>
  <c r="E59" i="155"/>
  <c r="AE57" i="162"/>
  <c r="AF93" i="129"/>
  <c r="AF149" i="129"/>
  <c r="AN34" i="129"/>
  <c r="AL28" i="129"/>
  <c r="AO27" i="129"/>
  <c r="AM27" i="129" s="1"/>
  <c r="AJ28" i="129"/>
  <c r="AP28" i="129" s="1"/>
  <c r="AF35" i="129"/>
  <c r="E66" i="155"/>
  <c r="E79" i="155"/>
  <c r="E102" i="155"/>
  <c r="E70" i="155"/>
  <c r="E99" i="155"/>
  <c r="E98" i="155"/>
  <c r="E78" i="155"/>
  <c r="E71" i="155"/>
  <c r="E69" i="155"/>
  <c r="E72" i="155"/>
  <c r="E100" i="155"/>
  <c r="E67" i="155"/>
  <c r="E68" i="155"/>
  <c r="E103" i="155"/>
  <c r="E101" i="155"/>
  <c r="E97" i="155"/>
  <c r="AK35" i="162"/>
  <c r="AN34" i="162"/>
  <c r="AL34" i="162" s="1"/>
  <c r="AI34" i="162"/>
  <c r="AO34" i="162" s="1"/>
  <c r="AM40" i="162"/>
  <c r="V154" i="134"/>
  <c r="O75" i="134"/>
  <c r="V75" i="134"/>
  <c r="S233" i="134"/>
  <c r="G75" i="134"/>
  <c r="S75" i="134"/>
  <c r="S154" i="134"/>
  <c r="N233" i="134"/>
  <c r="J154" i="134"/>
  <c r="M233" i="134"/>
  <c r="C233" i="134"/>
  <c r="Q233" i="134"/>
  <c r="T75" i="134"/>
  <c r="D233" i="134"/>
  <c r="E233" i="134"/>
  <c r="Q75" i="134"/>
  <c r="I154" i="134"/>
  <c r="O233" i="134"/>
  <c r="P154" i="134"/>
  <c r="N75" i="134"/>
  <c r="G154" i="134"/>
  <c r="C75" i="134"/>
  <c r="R154" i="134"/>
  <c r="T10" i="137"/>
  <c r="H10" i="137"/>
  <c r="P20" i="137"/>
  <c r="N19" i="137"/>
  <c r="D10" i="137"/>
  <c r="M19" i="137"/>
  <c r="M10" i="137"/>
  <c r="M15" i="137"/>
  <c r="L15" i="137"/>
  <c r="N21" i="137"/>
  <c r="O15" i="137"/>
  <c r="D17" i="137"/>
  <c r="O21" i="137"/>
  <c r="L14" i="137"/>
  <c r="P21" i="137"/>
  <c r="U18" i="137"/>
  <c r="M17" i="137"/>
  <c r="R19" i="137"/>
  <c r="Q19" i="137"/>
  <c r="F17" i="137"/>
  <c r="O17" i="137"/>
  <c r="V17" i="137"/>
  <c r="J20" i="137"/>
  <c r="U10" i="137"/>
  <c r="K10" i="137"/>
  <c r="S17" i="137"/>
  <c r="D19" i="137"/>
  <c r="H17" i="137"/>
  <c r="J10" i="137"/>
  <c r="M21" i="137"/>
  <c r="U14" i="137"/>
  <c r="K18" i="137"/>
  <c r="T17" i="137"/>
  <c r="I10" i="137"/>
  <c r="F10" i="137"/>
  <c r="S10" i="137"/>
  <c r="K17" i="137"/>
  <c r="L21" i="137"/>
  <c r="S21" i="137"/>
  <c r="R10" i="137"/>
  <c r="K19" i="137"/>
  <c r="G10" i="137"/>
  <c r="L17" i="137"/>
  <c r="T16" i="137"/>
  <c r="L10" i="137"/>
  <c r="V10" i="137"/>
  <c r="J14" i="137"/>
  <c r="G17" i="137"/>
  <c r="S19" i="137"/>
  <c r="P17" i="137"/>
  <c r="F19" i="137"/>
  <c r="K14" i="137"/>
  <c r="N18" i="137"/>
  <c r="P19" i="137"/>
  <c r="U19" i="137"/>
  <c r="V15" i="137"/>
  <c r="N17" i="137"/>
  <c r="U17" i="137"/>
  <c r="O10" i="137"/>
  <c r="G18" i="137"/>
  <c r="P10" i="137"/>
  <c r="S18" i="137"/>
  <c r="H18" i="137"/>
  <c r="H14" i="137"/>
  <c r="V18" i="137"/>
  <c r="P18" i="137"/>
  <c r="L16" i="137"/>
  <c r="Q10" i="137"/>
  <c r="I19" i="137"/>
  <c r="N10" i="137"/>
  <c r="P14" i="137"/>
  <c r="L19" i="137"/>
  <c r="E14" i="137"/>
  <c r="T18" i="137"/>
  <c r="D14" i="137"/>
  <c r="D22" i="137" s="1"/>
  <c r="E18" i="137"/>
  <c r="R18" i="137"/>
  <c r="O18" i="137"/>
  <c r="G19" i="137"/>
  <c r="M18" i="137"/>
  <c r="Q14" i="137"/>
  <c r="V19" i="137"/>
  <c r="E15" i="137"/>
  <c r="C10" i="137"/>
  <c r="M14" i="137"/>
  <c r="S14" i="137"/>
  <c r="L18" i="137"/>
  <c r="Q18" i="137"/>
  <c r="E19" i="137"/>
  <c r="T19" i="137"/>
  <c r="J19" i="137"/>
  <c r="J22" i="137" s="1"/>
  <c r="F18" i="137"/>
  <c r="R14" i="137"/>
  <c r="D18" i="137"/>
  <c r="F14" i="137"/>
  <c r="I18" i="137"/>
  <c r="T14" i="137"/>
  <c r="H51" i="133"/>
  <c r="B56" i="134"/>
  <c r="B214" i="134" s="1"/>
  <c r="T53" i="133"/>
  <c r="B50" i="134"/>
  <c r="B129" i="134" s="1"/>
  <c r="J51" i="133"/>
  <c r="C54" i="133"/>
  <c r="J55" i="133"/>
  <c r="P52" i="133"/>
  <c r="J56" i="133"/>
  <c r="D51" i="133"/>
  <c r="T54" i="133"/>
  <c r="M55" i="133"/>
  <c r="C51" i="133"/>
  <c r="L51" i="133"/>
  <c r="L54" i="133"/>
  <c r="E55" i="133"/>
  <c r="G51" i="133"/>
  <c r="E51" i="133"/>
  <c r="K51" i="133"/>
  <c r="L55" i="133"/>
  <c r="S55" i="133"/>
  <c r="R56" i="133"/>
  <c r="F56" i="133"/>
  <c r="K55" i="133"/>
  <c r="K53" i="133"/>
  <c r="P56" i="133"/>
  <c r="U54" i="133"/>
  <c r="N56" i="133"/>
  <c r="Q53" i="133"/>
  <c r="V53" i="133"/>
  <c r="L53" i="133"/>
  <c r="O52" i="133"/>
  <c r="S53" i="133"/>
  <c r="M52" i="133"/>
  <c r="F53" i="133"/>
  <c r="D55" i="133"/>
  <c r="K56" i="133"/>
  <c r="F51" i="133"/>
  <c r="H53" i="133"/>
  <c r="U53" i="133"/>
  <c r="G55" i="133"/>
  <c r="O56" i="133"/>
  <c r="D53" i="133"/>
  <c r="N52" i="133"/>
  <c r="F52" i="133"/>
  <c r="I54" i="133"/>
  <c r="U52" i="133"/>
  <c r="V55" i="133"/>
  <c r="V51" i="133"/>
  <c r="C56" i="133"/>
  <c r="I53" i="133"/>
  <c r="B54" i="134"/>
  <c r="B212" i="134" s="1"/>
  <c r="M53" i="133"/>
  <c r="G53" i="133"/>
  <c r="J53" i="133"/>
  <c r="B53" i="134"/>
  <c r="B132" i="134" s="1"/>
  <c r="H52" i="133"/>
  <c r="V56" i="133"/>
  <c r="R53" i="133"/>
  <c r="F55" i="133"/>
  <c r="R51" i="133"/>
  <c r="N53" i="133"/>
  <c r="O55" i="133"/>
  <c r="S56" i="133"/>
  <c r="E53" i="133"/>
  <c r="C53" i="133"/>
  <c r="S54" i="133"/>
  <c r="E52" i="133"/>
  <c r="S52" i="133"/>
  <c r="P53" i="133"/>
  <c r="Q55" i="133"/>
  <c r="O53" i="133"/>
  <c r="N51" i="133"/>
  <c r="B55" i="134"/>
  <c r="B213" i="134" s="1"/>
  <c r="Q56" i="133"/>
  <c r="D54" i="133"/>
  <c r="R54" i="133"/>
  <c r="S51" i="133"/>
  <c r="L52" i="133"/>
  <c r="M56" i="133"/>
  <c r="I52" i="133"/>
  <c r="H54" i="133"/>
  <c r="P51" i="133"/>
  <c r="C52" i="133"/>
  <c r="Q54" i="133"/>
  <c r="E54" i="133"/>
  <c r="T55" i="133"/>
  <c r="E56" i="133"/>
  <c r="T52" i="133"/>
  <c r="O54" i="133"/>
  <c r="K54" i="133"/>
  <c r="P55" i="133"/>
  <c r="R55" i="133"/>
  <c r="D56" i="133"/>
  <c r="O51" i="133"/>
  <c r="V52" i="133"/>
  <c r="P54" i="133"/>
  <c r="H55" i="133"/>
  <c r="U56" i="133"/>
  <c r="M51" i="133"/>
  <c r="G52" i="133"/>
  <c r="H56" i="133"/>
  <c r="J54" i="133"/>
  <c r="C55" i="133"/>
  <c r="U51" i="133"/>
  <c r="Q52" i="133"/>
  <c r="V54" i="133"/>
  <c r="I55" i="133"/>
  <c r="L56" i="133"/>
  <c r="N54" i="133"/>
  <c r="U55" i="133"/>
  <c r="I56" i="133"/>
  <c r="F54" i="133"/>
  <c r="N55" i="133"/>
  <c r="T56" i="133"/>
  <c r="G54" i="133"/>
  <c r="M54" i="133"/>
  <c r="R52" i="133"/>
  <c r="B51" i="134"/>
  <c r="D52" i="133"/>
  <c r="I51" i="133"/>
  <c r="K52" i="133"/>
  <c r="Q51" i="133"/>
  <c r="T51" i="133"/>
  <c r="B52" i="134"/>
  <c r="J52" i="133"/>
  <c r="G56" i="133"/>
  <c r="T49" i="133"/>
  <c r="Q49" i="133"/>
  <c r="D49" i="133"/>
  <c r="L49" i="133"/>
  <c r="G49" i="133"/>
  <c r="I49" i="133"/>
  <c r="U49" i="133"/>
  <c r="E49" i="133"/>
  <c r="J49" i="133"/>
  <c r="B49" i="134"/>
  <c r="F49" i="133"/>
  <c r="V49" i="133"/>
  <c r="K49" i="133"/>
  <c r="R49" i="133"/>
  <c r="M49" i="133"/>
  <c r="C49" i="133"/>
  <c r="P49" i="133"/>
  <c r="H49" i="133"/>
  <c r="O49" i="133"/>
  <c r="S49" i="133"/>
  <c r="N49" i="133"/>
  <c r="E61" i="155" l="1"/>
  <c r="C34" i="155" s="1"/>
  <c r="E92" i="155"/>
  <c r="C37" i="155" s="1"/>
  <c r="AE58" i="162"/>
  <c r="E80" i="155"/>
  <c r="C36" i="155" s="1"/>
  <c r="AL29" i="129"/>
  <c r="AO28" i="129"/>
  <c r="AM28" i="129" s="1"/>
  <c r="AF94" i="129"/>
  <c r="AF150" i="129"/>
  <c r="AN35" i="129"/>
  <c r="AJ29" i="129"/>
  <c r="AP29" i="129" s="1"/>
  <c r="AF36" i="129"/>
  <c r="E104" i="155"/>
  <c r="C38" i="155" s="1"/>
  <c r="E73" i="155"/>
  <c r="C35" i="155" s="1"/>
  <c r="AM41" i="162"/>
  <c r="AN35" i="162"/>
  <c r="AL35" i="162" s="1"/>
  <c r="AK36" i="162"/>
  <c r="AI35" i="162"/>
  <c r="AO35" i="162" s="1"/>
  <c r="X12" i="135"/>
  <c r="G22" i="137"/>
  <c r="M22" i="137"/>
  <c r="V22" i="137"/>
  <c r="N22" i="137"/>
  <c r="L22" i="137"/>
  <c r="P22" i="137"/>
  <c r="S22" i="137"/>
  <c r="F22" i="137"/>
  <c r="B208" i="134"/>
  <c r="K22" i="137"/>
  <c r="U22" i="137"/>
  <c r="E22" i="137"/>
  <c r="Q22" i="137"/>
  <c r="H22" i="137"/>
  <c r="O22" i="137"/>
  <c r="T22" i="137"/>
  <c r="R22" i="137"/>
  <c r="I22" i="137"/>
  <c r="B135" i="134"/>
  <c r="C44" i="137"/>
  <c r="B133" i="134"/>
  <c r="B134" i="134"/>
  <c r="B211" i="134"/>
  <c r="B210" i="134"/>
  <c r="B131" i="134"/>
  <c r="B207" i="134"/>
  <c r="B128" i="134"/>
  <c r="B130" i="134"/>
  <c r="B209" i="134"/>
  <c r="AE59" i="162" l="1"/>
  <c r="AF95" i="129"/>
  <c r="AF151" i="129"/>
  <c r="AN36" i="129"/>
  <c r="AL30" i="129"/>
  <c r="AO29" i="129"/>
  <c r="AM29" i="129" s="1"/>
  <c r="C39" i="155"/>
  <c r="AJ30" i="129"/>
  <c r="AP30" i="129" s="1"/>
  <c r="AF37" i="129"/>
  <c r="AK37" i="162"/>
  <c r="AN36" i="162"/>
  <c r="AL36" i="162" s="1"/>
  <c r="AI36" i="162"/>
  <c r="AO36" i="162" s="1"/>
  <c r="AM42" i="162"/>
  <c r="C45" i="137"/>
  <c r="D45" i="137" s="1"/>
  <c r="C41" i="137"/>
  <c r="C77" i="137" s="1"/>
  <c r="C40" i="137"/>
  <c r="D40" i="137" s="1"/>
  <c r="C33" i="137"/>
  <c r="D33" i="137" s="1"/>
  <c r="C39" i="137"/>
  <c r="C128" i="138" s="1"/>
  <c r="C42" i="137"/>
  <c r="C131" i="138" s="1"/>
  <c r="C43" i="137"/>
  <c r="C132" i="138" s="1"/>
  <c r="C133" i="134" s="1"/>
  <c r="C146" i="134" s="1"/>
  <c r="C50" i="137"/>
  <c r="C56" i="137"/>
  <c r="C92" i="137" s="1"/>
  <c r="C26" i="137"/>
  <c r="D26" i="137" s="1"/>
  <c r="D49" i="138" s="1"/>
  <c r="C32" i="137"/>
  <c r="D32" i="137" s="1"/>
  <c r="C27" i="137"/>
  <c r="C63" i="137" s="1"/>
  <c r="C38" i="137"/>
  <c r="C80" i="137"/>
  <c r="C133" i="138"/>
  <c r="D44" i="137"/>
  <c r="AE60" i="162" l="1"/>
  <c r="AF96" i="129"/>
  <c r="AF152" i="129"/>
  <c r="AN37" i="129"/>
  <c r="AL31" i="129"/>
  <c r="AO30" i="129"/>
  <c r="AM30" i="129" s="1"/>
  <c r="AJ31" i="129"/>
  <c r="AP31" i="129" s="1"/>
  <c r="AF38" i="129"/>
  <c r="AM43" i="162"/>
  <c r="AN37" i="162"/>
  <c r="AL37" i="162" s="1"/>
  <c r="AK38" i="162"/>
  <c r="AI37" i="162"/>
  <c r="AO37" i="162" s="1"/>
  <c r="D41" i="137"/>
  <c r="D77" i="137" s="1"/>
  <c r="C130" i="138"/>
  <c r="C120" i="147" s="1"/>
  <c r="C81" i="137"/>
  <c r="D43" i="137"/>
  <c r="D132" i="138" s="1"/>
  <c r="D133" i="134" s="1"/>
  <c r="C79" i="137"/>
  <c r="C134" i="138"/>
  <c r="C135" i="134" s="1"/>
  <c r="C56" i="138"/>
  <c r="C56" i="134" s="1"/>
  <c r="C69" i="137"/>
  <c r="C122" i="147"/>
  <c r="C134" i="147" s="1"/>
  <c r="C144" i="138"/>
  <c r="C78" i="137"/>
  <c r="D42" i="137"/>
  <c r="D131" i="138" s="1"/>
  <c r="C129" i="138"/>
  <c r="C119" i="147" s="1"/>
  <c r="C28" i="137"/>
  <c r="D28" i="137" s="1"/>
  <c r="E28" i="137" s="1"/>
  <c r="C76" i="137"/>
  <c r="C29" i="137"/>
  <c r="C65" i="137" s="1"/>
  <c r="C54" i="137"/>
  <c r="C90" i="137" s="1"/>
  <c r="C75" i="137"/>
  <c r="D39" i="137"/>
  <c r="E39" i="137" s="1"/>
  <c r="C53" i="137"/>
  <c r="D53" i="137" s="1"/>
  <c r="D89" i="137" s="1"/>
  <c r="C30" i="137"/>
  <c r="C53" i="138" s="1"/>
  <c r="C48" i="147" s="1"/>
  <c r="C51" i="137"/>
  <c r="C206" i="138" s="1"/>
  <c r="C191" i="147" s="1"/>
  <c r="C57" i="137"/>
  <c r="C93" i="137" s="1"/>
  <c r="C52" i="137"/>
  <c r="C207" i="138" s="1"/>
  <c r="C219" i="138" s="1"/>
  <c r="C31" i="137"/>
  <c r="C67" i="137" s="1"/>
  <c r="C55" i="137"/>
  <c r="C210" i="138" s="1"/>
  <c r="C195" i="147" s="1"/>
  <c r="D56" i="137"/>
  <c r="E56" i="137" s="1"/>
  <c r="C211" i="138"/>
  <c r="C223" i="138" s="1"/>
  <c r="C55" i="138"/>
  <c r="C55" i="134" s="1"/>
  <c r="C68" i="137"/>
  <c r="C49" i="138"/>
  <c r="C61" i="138" s="1"/>
  <c r="C62" i="137"/>
  <c r="D27" i="137"/>
  <c r="C50" i="138"/>
  <c r="C194" i="144"/>
  <c r="C138" i="144"/>
  <c r="C26" i="144"/>
  <c r="C82" i="144"/>
  <c r="E26" i="137"/>
  <c r="E62" i="137" s="1"/>
  <c r="D62" i="137"/>
  <c r="D80" i="137"/>
  <c r="E44" i="137"/>
  <c r="D133" i="138"/>
  <c r="C123" i="147"/>
  <c r="C145" i="138"/>
  <c r="C134" i="134"/>
  <c r="D134" i="138"/>
  <c r="D81" i="137"/>
  <c r="E45" i="137"/>
  <c r="C121" i="147"/>
  <c r="C143" i="138"/>
  <c r="C132" i="134"/>
  <c r="D76" i="137"/>
  <c r="D129" i="138"/>
  <c r="E40" i="137"/>
  <c r="C118" i="147"/>
  <c r="C129" i="134"/>
  <c r="C140" i="138"/>
  <c r="D68" i="137"/>
  <c r="D55" i="138"/>
  <c r="E32" i="137"/>
  <c r="C127" i="138"/>
  <c r="D38" i="137"/>
  <c r="C74" i="137"/>
  <c r="C86" i="137"/>
  <c r="D50" i="137"/>
  <c r="C205" i="138"/>
  <c r="E33" i="137"/>
  <c r="D56" i="138"/>
  <c r="D69" i="137"/>
  <c r="D44" i="147"/>
  <c r="D61" i="138"/>
  <c r="D49" i="134"/>
  <c r="AE61" i="162" l="1"/>
  <c r="AL32" i="129"/>
  <c r="AO31" i="129"/>
  <c r="AM31" i="129" s="1"/>
  <c r="AF97" i="129"/>
  <c r="AF153" i="129"/>
  <c r="AN38" i="129"/>
  <c r="AJ32" i="129"/>
  <c r="AP32" i="129" s="1"/>
  <c r="AF39" i="129"/>
  <c r="AN38" i="162"/>
  <c r="AL38" i="162" s="1"/>
  <c r="AK39" i="162"/>
  <c r="AI38" i="162"/>
  <c r="AO38" i="162" s="1"/>
  <c r="AM44" i="162"/>
  <c r="C68" i="138"/>
  <c r="C51" i="147"/>
  <c r="C63" i="147" s="1"/>
  <c r="D55" i="137"/>
  <c r="D210" i="138" s="1"/>
  <c r="D195" i="147" s="1"/>
  <c r="C131" i="134"/>
  <c r="C144" i="134" s="1"/>
  <c r="C142" i="138"/>
  <c r="C146" i="138"/>
  <c r="E41" i="137"/>
  <c r="E130" i="138" s="1"/>
  <c r="D130" i="138"/>
  <c r="D131" i="134" s="1"/>
  <c r="D122" i="147"/>
  <c r="D134" i="147" s="1"/>
  <c r="D144" i="138"/>
  <c r="C124" i="147"/>
  <c r="C136" i="147" s="1"/>
  <c r="D79" i="137"/>
  <c r="E43" i="137"/>
  <c r="F43" i="137" s="1"/>
  <c r="F132" i="138" s="1"/>
  <c r="D31" i="137"/>
  <c r="E31" i="137" s="1"/>
  <c r="F31" i="137" s="1"/>
  <c r="C212" i="134"/>
  <c r="C225" i="134" s="1"/>
  <c r="C91" i="137"/>
  <c r="D29" i="137"/>
  <c r="D65" i="137" s="1"/>
  <c r="C89" i="137"/>
  <c r="C141" i="138"/>
  <c r="C130" i="134"/>
  <c r="C143" i="134" s="1"/>
  <c r="C54" i="138"/>
  <c r="C66" i="138" s="1"/>
  <c r="E42" i="137"/>
  <c r="E131" i="138" s="1"/>
  <c r="D78" i="137"/>
  <c r="C64" i="137"/>
  <c r="C51" i="138"/>
  <c r="C63" i="138" s="1"/>
  <c r="C52" i="138"/>
  <c r="C64" i="138" s="1"/>
  <c r="C65" i="138"/>
  <c r="D128" i="138"/>
  <c r="D118" i="147" s="1"/>
  <c r="C34" i="137"/>
  <c r="C218" i="138"/>
  <c r="C209" i="138"/>
  <c r="C194" i="147" s="1"/>
  <c r="C206" i="147" s="1"/>
  <c r="D75" i="137"/>
  <c r="D64" i="137"/>
  <c r="C208" i="138"/>
  <c r="C193" i="147" s="1"/>
  <c r="C205" i="147" s="1"/>
  <c r="C98" i="152" s="1"/>
  <c r="C222" i="138"/>
  <c r="D51" i="138"/>
  <c r="D63" i="138" s="1"/>
  <c r="C53" i="134"/>
  <c r="C66" i="134" s="1"/>
  <c r="C208" i="134"/>
  <c r="C221" i="134" s="1"/>
  <c r="C212" i="138"/>
  <c r="C197" i="147" s="1"/>
  <c r="C209" i="147" s="1"/>
  <c r="D51" i="137"/>
  <c r="D206" i="138" s="1"/>
  <c r="D191" i="147" s="1"/>
  <c r="C209" i="134"/>
  <c r="C222" i="134" s="1"/>
  <c r="C88" i="137"/>
  <c r="D52" i="137"/>
  <c r="D207" i="138" s="1"/>
  <c r="D192" i="147" s="1"/>
  <c r="C192" i="147"/>
  <c r="C204" i="147" s="1"/>
  <c r="C66" i="137"/>
  <c r="D54" i="137"/>
  <c r="E54" i="137" s="1"/>
  <c r="E90" i="137" s="1"/>
  <c r="D57" i="137"/>
  <c r="C58" i="137"/>
  <c r="E53" i="137"/>
  <c r="E89" i="137" s="1"/>
  <c r="C82" i="137"/>
  <c r="C87" i="137"/>
  <c r="D30" i="137"/>
  <c r="E30" i="137" s="1"/>
  <c r="E53" i="138" s="1"/>
  <c r="D208" i="138"/>
  <c r="D193" i="147" s="1"/>
  <c r="D205" i="147" s="1"/>
  <c r="D92" i="137"/>
  <c r="D211" i="138"/>
  <c r="D223" i="138" s="1"/>
  <c r="C213" i="134"/>
  <c r="C226" i="134" s="1"/>
  <c r="C196" i="147"/>
  <c r="C208" i="147" s="1"/>
  <c r="C49" i="134"/>
  <c r="C62" i="134" s="1"/>
  <c r="C67" i="138"/>
  <c r="C50" i="147"/>
  <c r="C62" i="147" s="1"/>
  <c r="C44" i="147"/>
  <c r="C45" i="147"/>
  <c r="C57" i="147" s="1"/>
  <c r="C62" i="138"/>
  <c r="C50" i="134"/>
  <c r="C63" i="134" s="1"/>
  <c r="E27" i="137"/>
  <c r="D63" i="137"/>
  <c r="D50" i="138"/>
  <c r="F26" i="137"/>
  <c r="F62" i="137" s="1"/>
  <c r="E49" i="138"/>
  <c r="E49" i="134" s="1"/>
  <c r="C194" i="152"/>
  <c r="C26" i="152"/>
  <c r="C138" i="152"/>
  <c r="C82" i="152"/>
  <c r="E64" i="137"/>
  <c r="E51" i="138"/>
  <c r="F28" i="137"/>
  <c r="C148" i="134"/>
  <c r="D123" i="147"/>
  <c r="D145" i="138"/>
  <c r="D134" i="134"/>
  <c r="D121" i="147"/>
  <c r="D143" i="138"/>
  <c r="D132" i="134"/>
  <c r="E80" i="137"/>
  <c r="E133" i="138"/>
  <c r="F44" i="137"/>
  <c r="D51" i="147"/>
  <c r="D68" i="138"/>
  <c r="D56" i="134"/>
  <c r="C207" i="147"/>
  <c r="E68" i="137"/>
  <c r="E55" i="138"/>
  <c r="F32" i="137"/>
  <c r="E81" i="137"/>
  <c r="F45" i="137"/>
  <c r="E134" i="138"/>
  <c r="D50" i="147"/>
  <c r="D67" i="138"/>
  <c r="D55" i="134"/>
  <c r="C68" i="134"/>
  <c r="C132" i="147"/>
  <c r="F33" i="137"/>
  <c r="E69" i="137"/>
  <c r="E56" i="138"/>
  <c r="C190" i="147"/>
  <c r="C207" i="134"/>
  <c r="C217" i="138"/>
  <c r="C133" i="147"/>
  <c r="E38" i="137"/>
  <c r="D74" i="137"/>
  <c r="D127" i="138"/>
  <c r="C69" i="134"/>
  <c r="D146" i="134"/>
  <c r="D124" i="147"/>
  <c r="D146" i="138"/>
  <c r="D135" i="134"/>
  <c r="C60" i="147"/>
  <c r="C147" i="134"/>
  <c r="F40" i="137"/>
  <c r="E76" i="137"/>
  <c r="E129" i="138"/>
  <c r="C145" i="134"/>
  <c r="D205" i="138"/>
  <c r="D86" i="137"/>
  <c r="E50" i="137"/>
  <c r="C142" i="134"/>
  <c r="C203" i="147"/>
  <c r="C117" i="147"/>
  <c r="C139" i="138"/>
  <c r="C153" i="138"/>
  <c r="C128" i="134"/>
  <c r="C136" i="138"/>
  <c r="E75" i="137"/>
  <c r="E128" i="138"/>
  <c r="F39" i="137"/>
  <c r="C131" i="147"/>
  <c r="C135" i="147"/>
  <c r="D119" i="147"/>
  <c r="D141" i="138"/>
  <c r="D130" i="134"/>
  <c r="E92" i="137"/>
  <c r="F56" i="137"/>
  <c r="E211" i="138"/>
  <c r="C130" i="147"/>
  <c r="D56" i="147"/>
  <c r="D62" i="134"/>
  <c r="AE62" i="162" l="1"/>
  <c r="AF98" i="129"/>
  <c r="AF154" i="129"/>
  <c r="AN39" i="129"/>
  <c r="AL33" i="129"/>
  <c r="AO32" i="129"/>
  <c r="AM32" i="129" s="1"/>
  <c r="AJ33" i="129"/>
  <c r="AP33" i="129" s="1"/>
  <c r="AF40" i="129"/>
  <c r="AM45" i="162"/>
  <c r="AN39" i="162"/>
  <c r="AL39" i="162" s="1"/>
  <c r="AK40" i="162"/>
  <c r="AI39" i="162"/>
  <c r="AO39" i="162" s="1"/>
  <c r="E55" i="137"/>
  <c r="E91" i="137" s="1"/>
  <c r="F79" i="137"/>
  <c r="G43" i="137"/>
  <c r="G79" i="137" s="1"/>
  <c r="E77" i="137"/>
  <c r="D91" i="137"/>
  <c r="D212" i="134"/>
  <c r="D225" i="134" s="1"/>
  <c r="D222" i="138"/>
  <c r="D142" i="138"/>
  <c r="D120" i="147"/>
  <c r="D132" i="147" s="1"/>
  <c r="C54" i="134"/>
  <c r="C67" i="134" s="1"/>
  <c r="C176" i="144" s="1"/>
  <c r="F41" i="137"/>
  <c r="F77" i="137" s="1"/>
  <c r="C70" i="137"/>
  <c r="E79" i="137"/>
  <c r="E132" i="138"/>
  <c r="E144" i="138" s="1"/>
  <c r="C46" i="147"/>
  <c r="C58" i="147" s="1"/>
  <c r="C173" i="152" s="1"/>
  <c r="F42" i="137"/>
  <c r="G42" i="137" s="1"/>
  <c r="E54" i="138"/>
  <c r="E49" i="147" s="1"/>
  <c r="E67" i="137"/>
  <c r="D67" i="137"/>
  <c r="D54" i="138"/>
  <c r="D49" i="147" s="1"/>
  <c r="D61" i="147" s="1"/>
  <c r="C47" i="147"/>
  <c r="C59" i="147" s="1"/>
  <c r="C174" i="152" s="1"/>
  <c r="D52" i="138"/>
  <c r="D64" i="138" s="1"/>
  <c r="E29" i="137"/>
  <c r="E52" i="138" s="1"/>
  <c r="E47" i="147" s="1"/>
  <c r="C75" i="138"/>
  <c r="C148" i="138"/>
  <c r="C49" i="147"/>
  <c r="C61" i="147" s="1"/>
  <c r="C8" i="152" s="1"/>
  <c r="C51" i="134"/>
  <c r="C64" i="134" s="1"/>
  <c r="C173" i="144" s="1"/>
  <c r="C211" i="134"/>
  <c r="C224" i="134" s="1"/>
  <c r="C211" i="144" s="1"/>
  <c r="C210" i="152"/>
  <c r="D51" i="134"/>
  <c r="D64" i="134" s="1"/>
  <c r="D46" i="147"/>
  <c r="D58" i="147" s="1"/>
  <c r="E78" i="137"/>
  <c r="C42" i="152"/>
  <c r="C154" i="152"/>
  <c r="C52" i="134"/>
  <c r="C221" i="138"/>
  <c r="C224" i="138"/>
  <c r="C220" i="138"/>
  <c r="D140" i="138"/>
  <c r="D129" i="134"/>
  <c r="D142" i="134" s="1"/>
  <c r="C58" i="138"/>
  <c r="D82" i="137"/>
  <c r="C231" i="138"/>
  <c r="C214" i="134"/>
  <c r="C227" i="134" s="1"/>
  <c r="C102" i="144" s="1"/>
  <c r="C210" i="134"/>
  <c r="C223" i="134" s="1"/>
  <c r="C210" i="144" s="1"/>
  <c r="C214" i="138"/>
  <c r="D87" i="137"/>
  <c r="D219" i="138"/>
  <c r="D208" i="134"/>
  <c r="D221" i="134" s="1"/>
  <c r="C94" i="137"/>
  <c r="E51" i="137"/>
  <c r="E87" i="137" s="1"/>
  <c r="D218" i="138"/>
  <c r="E209" i="138"/>
  <c r="E221" i="138" s="1"/>
  <c r="D209" i="138"/>
  <c r="D194" i="147" s="1"/>
  <c r="D206" i="147" s="1"/>
  <c r="F54" i="137"/>
  <c r="G54" i="137" s="1"/>
  <c r="D209" i="134"/>
  <c r="D222" i="134" s="1"/>
  <c r="D210" i="134"/>
  <c r="D223" i="134" s="1"/>
  <c r="D42" i="144" s="1"/>
  <c r="D34" i="137"/>
  <c r="E66" i="137"/>
  <c r="D88" i="137"/>
  <c r="F53" i="137"/>
  <c r="F208" i="138" s="1"/>
  <c r="F193" i="147" s="1"/>
  <c r="D58" i="137"/>
  <c r="F30" i="137"/>
  <c r="F66" i="137" s="1"/>
  <c r="E52" i="137"/>
  <c r="F52" i="137" s="1"/>
  <c r="F88" i="137" s="1"/>
  <c r="D212" i="138"/>
  <c r="D93" i="137"/>
  <c r="E57" i="137"/>
  <c r="D220" i="138"/>
  <c r="D90" i="137"/>
  <c r="D66" i="137"/>
  <c r="E208" i="138"/>
  <c r="E220" i="138" s="1"/>
  <c r="D53" i="138"/>
  <c r="D196" i="147"/>
  <c r="D208" i="147" s="1"/>
  <c r="D213" i="134"/>
  <c r="D226" i="134" s="1"/>
  <c r="E61" i="138"/>
  <c r="E44" i="147"/>
  <c r="E56" i="147" s="1"/>
  <c r="C70" i="138"/>
  <c r="C56" i="147"/>
  <c r="E50" i="138"/>
  <c r="E45" i="147" s="1"/>
  <c r="E63" i="137"/>
  <c r="F27" i="137"/>
  <c r="D50" i="134"/>
  <c r="D62" i="138"/>
  <c r="D45" i="147"/>
  <c r="F49" i="138"/>
  <c r="F44" i="147" s="1"/>
  <c r="G26" i="137"/>
  <c r="G62" i="137" s="1"/>
  <c r="C192" i="152"/>
  <c r="C24" i="152"/>
  <c r="C136" i="152"/>
  <c r="C80" i="152"/>
  <c r="C209" i="144"/>
  <c r="C153" i="144"/>
  <c r="C97" i="144"/>
  <c r="C41" i="144"/>
  <c r="C122" i="144"/>
  <c r="C10" i="144"/>
  <c r="C66" i="144"/>
  <c r="C178" i="144"/>
  <c r="C190" i="144"/>
  <c r="C134" i="144"/>
  <c r="C78" i="144"/>
  <c r="C22" i="144"/>
  <c r="C192" i="144"/>
  <c r="C136" i="144"/>
  <c r="C80" i="144"/>
  <c r="C24" i="144"/>
  <c r="C84" i="152"/>
  <c r="C196" i="152"/>
  <c r="C140" i="152"/>
  <c r="C28" i="152"/>
  <c r="C191" i="152"/>
  <c r="C135" i="152"/>
  <c r="C23" i="152"/>
  <c r="C79" i="152"/>
  <c r="C157" i="152"/>
  <c r="C101" i="152"/>
  <c r="C213" i="152"/>
  <c r="C45" i="152"/>
  <c r="D82" i="152"/>
  <c r="D26" i="152"/>
  <c r="D194" i="152"/>
  <c r="D138" i="152"/>
  <c r="D59" i="144"/>
  <c r="D3" i="144"/>
  <c r="D171" i="144"/>
  <c r="D115" i="144"/>
  <c r="C212" i="144"/>
  <c r="C44" i="144"/>
  <c r="C156" i="144"/>
  <c r="C100" i="144"/>
  <c r="C63" i="144"/>
  <c r="C119" i="144"/>
  <c r="C7" i="144"/>
  <c r="C175" i="144"/>
  <c r="C213" i="144"/>
  <c r="C45" i="144"/>
  <c r="C101" i="144"/>
  <c r="C157" i="144"/>
  <c r="C177" i="152"/>
  <c r="C121" i="152"/>
  <c r="C65" i="152"/>
  <c r="C9" i="152"/>
  <c r="C97" i="152"/>
  <c r="C153" i="152"/>
  <c r="C209" i="152"/>
  <c r="C41" i="152"/>
  <c r="C122" i="152"/>
  <c r="C66" i="152"/>
  <c r="C10" i="152"/>
  <c r="C178" i="152"/>
  <c r="D194" i="144"/>
  <c r="D26" i="144"/>
  <c r="D138" i="144"/>
  <c r="D82" i="144"/>
  <c r="C99" i="152"/>
  <c r="C155" i="152"/>
  <c r="C211" i="152"/>
  <c r="C43" i="152"/>
  <c r="C96" i="152"/>
  <c r="C40" i="152"/>
  <c r="C152" i="152"/>
  <c r="C208" i="152"/>
  <c r="C195" i="152"/>
  <c r="C139" i="152"/>
  <c r="C83" i="152"/>
  <c r="C27" i="152"/>
  <c r="C116" i="152"/>
  <c r="C172" i="152"/>
  <c r="C60" i="152"/>
  <c r="C4" i="152"/>
  <c r="C63" i="152"/>
  <c r="C7" i="152"/>
  <c r="C119" i="152"/>
  <c r="C175" i="152"/>
  <c r="C193" i="144"/>
  <c r="C137" i="144"/>
  <c r="C81" i="144"/>
  <c r="C25" i="144"/>
  <c r="C172" i="144"/>
  <c r="C4" i="144"/>
  <c r="C116" i="144"/>
  <c r="C60" i="144"/>
  <c r="C196" i="144"/>
  <c r="C84" i="144"/>
  <c r="C28" i="144"/>
  <c r="C140" i="144"/>
  <c r="C193" i="152"/>
  <c r="C25" i="152"/>
  <c r="C137" i="152"/>
  <c r="C81" i="152"/>
  <c r="C44" i="152"/>
  <c r="C100" i="152"/>
  <c r="C156" i="152"/>
  <c r="C212" i="152"/>
  <c r="C59" i="144"/>
  <c r="C3" i="144"/>
  <c r="C171" i="144"/>
  <c r="C115" i="144"/>
  <c r="C65" i="144"/>
  <c r="C121" i="144"/>
  <c r="C9" i="144"/>
  <c r="C177" i="144"/>
  <c r="C195" i="144"/>
  <c r="C83" i="144"/>
  <c r="C27" i="144"/>
  <c r="C139" i="144"/>
  <c r="C214" i="152"/>
  <c r="C158" i="152"/>
  <c r="C102" i="152"/>
  <c r="C46" i="152"/>
  <c r="C135" i="144"/>
  <c r="C191" i="144"/>
  <c r="C79" i="144"/>
  <c r="C23" i="144"/>
  <c r="D3" i="152"/>
  <c r="D171" i="152"/>
  <c r="D59" i="152"/>
  <c r="D115" i="152"/>
  <c r="D98" i="152"/>
  <c r="D210" i="152"/>
  <c r="D42" i="152"/>
  <c r="D154" i="152"/>
  <c r="C208" i="144"/>
  <c r="C152" i="144"/>
  <c r="C96" i="144"/>
  <c r="C40" i="144"/>
  <c r="C190" i="152"/>
  <c r="C134" i="152"/>
  <c r="C22" i="152"/>
  <c r="C78" i="152"/>
  <c r="F81" i="137"/>
  <c r="F134" i="138"/>
  <c r="G45" i="137"/>
  <c r="E119" i="147"/>
  <c r="E141" i="138"/>
  <c r="E130" i="134"/>
  <c r="D69" i="134"/>
  <c r="D207" i="147"/>
  <c r="E121" i="147"/>
  <c r="E143" i="138"/>
  <c r="E132" i="134"/>
  <c r="G44" i="137"/>
  <c r="F80" i="137"/>
  <c r="F133" i="138"/>
  <c r="F50" i="137"/>
  <c r="E205" i="138"/>
  <c r="E86" i="137"/>
  <c r="E120" i="147"/>
  <c r="E142" i="138"/>
  <c r="E131" i="134"/>
  <c r="F38" i="137"/>
  <c r="E127" i="138"/>
  <c r="E74" i="137"/>
  <c r="E123" i="147"/>
  <c r="E145" i="138"/>
  <c r="E134" i="134"/>
  <c r="D204" i="147"/>
  <c r="F92" i="137"/>
  <c r="F211" i="138"/>
  <c r="G56" i="137"/>
  <c r="D207" i="134"/>
  <c r="D190" i="147"/>
  <c r="D217" i="138"/>
  <c r="D68" i="134"/>
  <c r="D143" i="134"/>
  <c r="D203" i="147"/>
  <c r="D145" i="134"/>
  <c r="D148" i="134"/>
  <c r="F55" i="138"/>
  <c r="F68" i="137"/>
  <c r="G32" i="137"/>
  <c r="F122" i="147"/>
  <c r="F144" i="138"/>
  <c r="F133" i="134"/>
  <c r="E196" i="147"/>
  <c r="E223" i="138"/>
  <c r="E213" i="134"/>
  <c r="E118" i="147"/>
  <c r="E129" i="134"/>
  <c r="E140" i="138"/>
  <c r="C137" i="134"/>
  <c r="C141" i="134"/>
  <c r="C155" i="134"/>
  <c r="C157" i="134" s="1"/>
  <c r="D62" i="147"/>
  <c r="G28" i="137"/>
  <c r="F64" i="137"/>
  <c r="F51" i="138"/>
  <c r="C126" i="147"/>
  <c r="C129" i="147"/>
  <c r="C143" i="147"/>
  <c r="C145" i="147" s="1"/>
  <c r="E48" i="147"/>
  <c r="E65" i="138"/>
  <c r="E53" i="134"/>
  <c r="D144" i="134"/>
  <c r="G40" i="137"/>
  <c r="F129" i="138"/>
  <c r="F76" i="137"/>
  <c r="D63" i="147"/>
  <c r="C220" i="134"/>
  <c r="C199" i="147"/>
  <c r="C216" i="147"/>
  <c r="C218" i="147" s="1"/>
  <c r="C202" i="147"/>
  <c r="D128" i="134"/>
  <c r="D153" i="138"/>
  <c r="D117" i="147"/>
  <c r="D136" i="138"/>
  <c r="D139" i="138"/>
  <c r="F56" i="138"/>
  <c r="F69" i="137"/>
  <c r="G33" i="137"/>
  <c r="F75" i="137"/>
  <c r="F128" i="138"/>
  <c r="G39" i="137"/>
  <c r="D131" i="147"/>
  <c r="D133" i="147"/>
  <c r="E46" i="147"/>
  <c r="E63" i="138"/>
  <c r="E51" i="134"/>
  <c r="D135" i="147"/>
  <c r="D136" i="147"/>
  <c r="E124" i="147"/>
  <c r="E146" i="138"/>
  <c r="E135" i="134"/>
  <c r="E50" i="147"/>
  <c r="E67" i="138"/>
  <c r="E55" i="134"/>
  <c r="E51" i="147"/>
  <c r="E68" i="138"/>
  <c r="E56" i="134"/>
  <c r="F54" i="138"/>
  <c r="F67" i="137"/>
  <c r="G31" i="137"/>
  <c r="D130" i="147"/>
  <c r="D147" i="134"/>
  <c r="E62" i="134"/>
  <c r="AE63" i="162" l="1"/>
  <c r="AF99" i="129"/>
  <c r="AF155" i="129"/>
  <c r="AN40" i="129"/>
  <c r="AL34" i="129"/>
  <c r="AO33" i="129"/>
  <c r="AM33" i="129" s="1"/>
  <c r="AJ34" i="129"/>
  <c r="AP34" i="129" s="1"/>
  <c r="AF41" i="129"/>
  <c r="AN40" i="162"/>
  <c r="AL40" i="162" s="1"/>
  <c r="AK41" i="162"/>
  <c r="AI40" i="162"/>
  <c r="AO40" i="162" s="1"/>
  <c r="AM46" i="162"/>
  <c r="F130" i="138"/>
  <c r="F120" i="147" s="1"/>
  <c r="G132" i="138"/>
  <c r="G133" i="134" s="1"/>
  <c r="F55" i="137"/>
  <c r="F91" i="137" s="1"/>
  <c r="E210" i="138"/>
  <c r="E195" i="147" s="1"/>
  <c r="E207" i="147" s="1"/>
  <c r="G41" i="137"/>
  <c r="H41" i="137" s="1"/>
  <c r="H43" i="137"/>
  <c r="I43" i="137" s="1"/>
  <c r="C64" i="144"/>
  <c r="C8" i="144"/>
  <c r="C120" i="144"/>
  <c r="F78" i="137"/>
  <c r="F131" i="138"/>
  <c r="F121" i="147" s="1"/>
  <c r="E122" i="147"/>
  <c r="E134" i="147" s="1"/>
  <c r="E26" i="152" s="1"/>
  <c r="E66" i="138"/>
  <c r="E54" i="134"/>
  <c r="E67" i="134" s="1"/>
  <c r="C118" i="152"/>
  <c r="D52" i="134"/>
  <c r="D65" i="134" s="1"/>
  <c r="D118" i="144" s="1"/>
  <c r="C6" i="152"/>
  <c r="C62" i="152"/>
  <c r="D70" i="137"/>
  <c r="D66" i="138"/>
  <c r="D75" i="138"/>
  <c r="E133" i="134"/>
  <c r="E146" i="134" s="1"/>
  <c r="E82" i="144" s="1"/>
  <c r="C176" i="152"/>
  <c r="C117" i="152"/>
  <c r="C5" i="152"/>
  <c r="C61" i="152"/>
  <c r="C120" i="152"/>
  <c r="C64" i="152"/>
  <c r="D54" i="134"/>
  <c r="D67" i="134" s="1"/>
  <c r="D8" i="144" s="1"/>
  <c r="E52" i="134"/>
  <c r="E65" i="134" s="1"/>
  <c r="E64" i="138"/>
  <c r="E65" i="137"/>
  <c r="E70" i="137" s="1"/>
  <c r="E34" i="137"/>
  <c r="C76" i="134"/>
  <c r="C78" i="134" s="1"/>
  <c r="D47" i="147"/>
  <c r="D59" i="147" s="1"/>
  <c r="D118" i="152" s="1"/>
  <c r="F29" i="137"/>
  <c r="F52" i="138" s="1"/>
  <c r="F64" i="138" s="1"/>
  <c r="C5" i="144"/>
  <c r="C61" i="144"/>
  <c r="C70" i="147"/>
  <c r="C72" i="147" s="1"/>
  <c r="C53" i="147"/>
  <c r="C155" i="144"/>
  <c r="C65" i="147"/>
  <c r="C99" i="144"/>
  <c r="C117" i="144"/>
  <c r="E82" i="137"/>
  <c r="C43" i="144"/>
  <c r="C65" i="134"/>
  <c r="C71" i="134" s="1"/>
  <c r="D148" i="138"/>
  <c r="C226" i="138"/>
  <c r="C58" i="134"/>
  <c r="C234" i="134"/>
  <c r="C236" i="134" s="1"/>
  <c r="C98" i="144"/>
  <c r="C42" i="144"/>
  <c r="C154" i="144"/>
  <c r="C158" i="144"/>
  <c r="C46" i="144"/>
  <c r="F51" i="137"/>
  <c r="F206" i="138" s="1"/>
  <c r="F191" i="147" s="1"/>
  <c r="C216" i="134"/>
  <c r="C214" i="144"/>
  <c r="E206" i="138"/>
  <c r="E191" i="147" s="1"/>
  <c r="E203" i="147" s="1"/>
  <c r="D94" i="137"/>
  <c r="D53" i="134"/>
  <c r="D66" i="134" s="1"/>
  <c r="D7" i="144" s="1"/>
  <c r="F90" i="137"/>
  <c r="F209" i="138"/>
  <c r="F194" i="147" s="1"/>
  <c r="E194" i="147"/>
  <c r="E206" i="147" s="1"/>
  <c r="D154" i="144"/>
  <c r="E211" i="134"/>
  <c r="E224" i="134" s="1"/>
  <c r="D214" i="138"/>
  <c r="D210" i="144"/>
  <c r="D221" i="138"/>
  <c r="D226" i="138" s="1"/>
  <c r="F210" i="134"/>
  <c r="F223" i="134" s="1"/>
  <c r="F53" i="138"/>
  <c r="F48" i="147" s="1"/>
  <c r="G30" i="137"/>
  <c r="H30" i="137" s="1"/>
  <c r="E58" i="137"/>
  <c r="E207" i="138"/>
  <c r="E192" i="147" s="1"/>
  <c r="E204" i="147" s="1"/>
  <c r="E88" i="137"/>
  <c r="E94" i="137" s="1"/>
  <c r="F89" i="137"/>
  <c r="D211" i="134"/>
  <c r="D224" i="134" s="1"/>
  <c r="D43" i="144" s="1"/>
  <c r="G53" i="137"/>
  <c r="G89" i="137" s="1"/>
  <c r="F220" i="138"/>
  <c r="D98" i="144"/>
  <c r="E210" i="134"/>
  <c r="E223" i="134" s="1"/>
  <c r="E42" i="144" s="1"/>
  <c r="D231" i="138"/>
  <c r="G52" i="137"/>
  <c r="G207" i="138" s="1"/>
  <c r="F207" i="138"/>
  <c r="F219" i="138" s="1"/>
  <c r="D197" i="147"/>
  <c r="D209" i="147" s="1"/>
  <c r="D214" i="152" s="1"/>
  <c r="D214" i="134"/>
  <c r="D227" i="134" s="1"/>
  <c r="D46" i="144" s="1"/>
  <c r="D224" i="138"/>
  <c r="E93" i="137"/>
  <c r="F57" i="137"/>
  <c r="E212" i="138"/>
  <c r="D65" i="138"/>
  <c r="D48" i="147"/>
  <c r="D60" i="147" s="1"/>
  <c r="D175" i="152" s="1"/>
  <c r="D58" i="138"/>
  <c r="E193" i="147"/>
  <c r="E205" i="147" s="1"/>
  <c r="E210" i="152" s="1"/>
  <c r="C59" i="152"/>
  <c r="C3" i="152"/>
  <c r="C171" i="152"/>
  <c r="C115" i="152"/>
  <c r="D63" i="134"/>
  <c r="E50" i="134"/>
  <c r="F63" i="137"/>
  <c r="G27" i="137"/>
  <c r="F50" i="138"/>
  <c r="E62" i="138"/>
  <c r="E58" i="138"/>
  <c r="E75" i="138"/>
  <c r="F49" i="134"/>
  <c r="F62" i="134" s="1"/>
  <c r="D57" i="147"/>
  <c r="D60" i="152" s="1"/>
  <c r="F61" i="138"/>
  <c r="H26" i="137"/>
  <c r="I26" i="137" s="1"/>
  <c r="G49" i="138"/>
  <c r="G44" i="147" s="1"/>
  <c r="D208" i="144"/>
  <c r="D40" i="144"/>
  <c r="D152" i="144"/>
  <c r="D96" i="144"/>
  <c r="D212" i="152"/>
  <c r="D44" i="152"/>
  <c r="D156" i="152"/>
  <c r="D100" i="152"/>
  <c r="D196" i="152"/>
  <c r="D84" i="152"/>
  <c r="D140" i="152"/>
  <c r="D28" i="152"/>
  <c r="D209" i="144"/>
  <c r="D97" i="144"/>
  <c r="D153" i="144"/>
  <c r="D41" i="144"/>
  <c r="D27" i="152"/>
  <c r="D139" i="152"/>
  <c r="D83" i="152"/>
  <c r="D195" i="152"/>
  <c r="D66" i="144"/>
  <c r="D122" i="144"/>
  <c r="D178" i="144"/>
  <c r="D10" i="144"/>
  <c r="D43" i="152"/>
  <c r="D155" i="152"/>
  <c r="D211" i="152"/>
  <c r="D99" i="152"/>
  <c r="D192" i="144"/>
  <c r="D136" i="144"/>
  <c r="D80" i="144"/>
  <c r="D24" i="144"/>
  <c r="D9" i="152"/>
  <c r="D65" i="152"/>
  <c r="D177" i="152"/>
  <c r="D121" i="152"/>
  <c r="E59" i="144"/>
  <c r="E115" i="144"/>
  <c r="E171" i="144"/>
  <c r="E3" i="144"/>
  <c r="C189" i="144"/>
  <c r="C197" i="144" s="1"/>
  <c r="C77" i="144"/>
  <c r="C85" i="144" s="1"/>
  <c r="C133" i="144"/>
  <c r="C141" i="144" s="1"/>
  <c r="C21" i="144"/>
  <c r="C29" i="144" s="1"/>
  <c r="D65" i="144"/>
  <c r="D177" i="144"/>
  <c r="D121" i="144"/>
  <c r="D9" i="144"/>
  <c r="D196" i="144"/>
  <c r="D140" i="144"/>
  <c r="D84" i="144"/>
  <c r="D28" i="144"/>
  <c r="D61" i="152"/>
  <c r="D173" i="152"/>
  <c r="D5" i="152"/>
  <c r="D117" i="152"/>
  <c r="C138" i="147"/>
  <c r="C133" i="152"/>
  <c r="C141" i="152" s="1"/>
  <c r="C189" i="152"/>
  <c r="C197" i="152" s="1"/>
  <c r="C77" i="152"/>
  <c r="C85" i="152" s="1"/>
  <c r="C21" i="152"/>
  <c r="C29" i="152" s="1"/>
  <c r="D209" i="152"/>
  <c r="D153" i="152"/>
  <c r="D97" i="152"/>
  <c r="D41" i="152"/>
  <c r="D61" i="144"/>
  <c r="D5" i="144"/>
  <c r="D173" i="144"/>
  <c r="D117" i="144"/>
  <c r="D135" i="144"/>
  <c r="D79" i="144"/>
  <c r="D191" i="144"/>
  <c r="D23" i="144"/>
  <c r="E3" i="152"/>
  <c r="E115" i="152"/>
  <c r="E59" i="152"/>
  <c r="E171" i="152"/>
  <c r="D212" i="144"/>
  <c r="D156" i="144"/>
  <c r="D100" i="144"/>
  <c r="D44" i="144"/>
  <c r="D195" i="144"/>
  <c r="D139" i="144"/>
  <c r="D83" i="144"/>
  <c r="D27" i="144"/>
  <c r="D213" i="152"/>
  <c r="D45" i="152"/>
  <c r="D101" i="152"/>
  <c r="D157" i="152"/>
  <c r="C229" i="134"/>
  <c r="C151" i="144"/>
  <c r="C207" i="144"/>
  <c r="C39" i="144"/>
  <c r="C95" i="144"/>
  <c r="D193" i="152"/>
  <c r="D137" i="152"/>
  <c r="D81" i="152"/>
  <c r="D25" i="152"/>
  <c r="D134" i="144"/>
  <c r="D22" i="144"/>
  <c r="D190" i="144"/>
  <c r="D78" i="144"/>
  <c r="D193" i="144"/>
  <c r="D81" i="144"/>
  <c r="D25" i="144"/>
  <c r="D137" i="144"/>
  <c r="D40" i="152"/>
  <c r="D152" i="152"/>
  <c r="D96" i="152"/>
  <c r="D208" i="152"/>
  <c r="D8" i="152"/>
  <c r="D176" i="152"/>
  <c r="D120" i="152"/>
  <c r="D64" i="152"/>
  <c r="C211" i="147"/>
  <c r="C39" i="152"/>
  <c r="C47" i="152" s="1"/>
  <c r="C151" i="152"/>
  <c r="C159" i="152" s="1"/>
  <c r="C95" i="152"/>
  <c r="C103" i="152" s="1"/>
  <c r="C207" i="152"/>
  <c r="C215" i="152" s="1"/>
  <c r="D134" i="152"/>
  <c r="D22" i="152"/>
  <c r="D190" i="152"/>
  <c r="D78" i="152"/>
  <c r="D192" i="152"/>
  <c r="D136" i="152"/>
  <c r="D80" i="152"/>
  <c r="D24" i="152"/>
  <c r="D10" i="152"/>
  <c r="D66" i="152"/>
  <c r="D178" i="152"/>
  <c r="D122" i="152"/>
  <c r="D191" i="152"/>
  <c r="D79" i="152"/>
  <c r="D135" i="152"/>
  <c r="D23" i="152"/>
  <c r="D101" i="144"/>
  <c r="D157" i="144"/>
  <c r="D45" i="144"/>
  <c r="D213" i="144"/>
  <c r="C150" i="134"/>
  <c r="E70" i="147"/>
  <c r="E72" i="147" s="1"/>
  <c r="F123" i="147"/>
  <c r="F145" i="138"/>
  <c r="F134" i="134"/>
  <c r="G51" i="138"/>
  <c r="G64" i="137"/>
  <c r="H28" i="137"/>
  <c r="E53" i="147"/>
  <c r="E57" i="147"/>
  <c r="E226" i="134"/>
  <c r="E58" i="147"/>
  <c r="E61" i="147"/>
  <c r="F51" i="147"/>
  <c r="F68" i="138"/>
  <c r="F56" i="134"/>
  <c r="F146" i="134"/>
  <c r="E68" i="134"/>
  <c r="F124" i="147"/>
  <c r="F146" i="138"/>
  <c r="F135" i="134"/>
  <c r="E117" i="147"/>
  <c r="E139" i="138"/>
  <c r="E148" i="138" s="1"/>
  <c r="E136" i="138"/>
  <c r="E153" i="138"/>
  <c r="E128" i="134"/>
  <c r="E133" i="147"/>
  <c r="E144" i="134"/>
  <c r="E132" i="147"/>
  <c r="D126" i="147"/>
  <c r="D143" i="147"/>
  <c r="D145" i="147" s="1"/>
  <c r="D129" i="147"/>
  <c r="F49" i="147"/>
  <c r="F66" i="138"/>
  <c r="F54" i="134"/>
  <c r="F129" i="134"/>
  <c r="F118" i="147"/>
  <c r="F140" i="138"/>
  <c r="F119" i="147"/>
  <c r="F141" i="138"/>
  <c r="F130" i="134"/>
  <c r="E143" i="134"/>
  <c r="E131" i="147"/>
  <c r="F134" i="147"/>
  <c r="E135" i="147"/>
  <c r="E60" i="147"/>
  <c r="E145" i="134"/>
  <c r="D202" i="147"/>
  <c r="D141" i="134"/>
  <c r="D137" i="134"/>
  <c r="D155" i="134"/>
  <c r="D157" i="134" s="1"/>
  <c r="G92" i="137"/>
  <c r="G211" i="138"/>
  <c r="H56" i="137"/>
  <c r="E69" i="134"/>
  <c r="F196" i="147"/>
  <c r="F223" i="138"/>
  <c r="F213" i="134"/>
  <c r="E63" i="147"/>
  <c r="E59" i="147"/>
  <c r="G129" i="138"/>
  <c r="G76" i="137"/>
  <c r="H40" i="137"/>
  <c r="F46" i="147"/>
  <c r="F63" i="138"/>
  <c r="F51" i="134"/>
  <c r="E142" i="134"/>
  <c r="F50" i="147"/>
  <c r="F67" i="138"/>
  <c r="F55" i="134"/>
  <c r="E190" i="147"/>
  <c r="E217" i="138"/>
  <c r="E207" i="134"/>
  <c r="E208" i="147"/>
  <c r="G133" i="138"/>
  <c r="G80" i="137"/>
  <c r="H44" i="137"/>
  <c r="G131" i="138"/>
  <c r="H42" i="137"/>
  <c r="G78" i="137"/>
  <c r="E147" i="134"/>
  <c r="G209" i="138"/>
  <c r="G90" i="137"/>
  <c r="H54" i="137"/>
  <c r="E66" i="134"/>
  <c r="H45" i="137"/>
  <c r="G81" i="137"/>
  <c r="G134" i="138"/>
  <c r="E62" i="147"/>
  <c r="E148" i="134"/>
  <c r="F74" i="137"/>
  <c r="F127" i="138"/>
  <c r="G38" i="137"/>
  <c r="E136" i="147"/>
  <c r="G54" i="138"/>
  <c r="G67" i="137"/>
  <c r="H31" i="137"/>
  <c r="F205" i="147"/>
  <c r="D220" i="134"/>
  <c r="G128" i="138"/>
  <c r="H39" i="137"/>
  <c r="G75" i="137"/>
  <c r="H32" i="137"/>
  <c r="G55" i="138"/>
  <c r="G68" i="137"/>
  <c r="E64" i="134"/>
  <c r="G69" i="137"/>
  <c r="G56" i="138"/>
  <c r="H33" i="137"/>
  <c r="E130" i="147"/>
  <c r="G50" i="137"/>
  <c r="F86" i="137"/>
  <c r="F205" i="138"/>
  <c r="F56" i="147"/>
  <c r="AE64" i="162" l="1"/>
  <c r="AL35" i="129"/>
  <c r="AO34" i="129"/>
  <c r="AM34" i="129" s="1"/>
  <c r="AF100" i="129"/>
  <c r="AF156" i="129"/>
  <c r="AN41" i="129"/>
  <c r="AJ35" i="129"/>
  <c r="AP35" i="129" s="1"/>
  <c r="AF42" i="129"/>
  <c r="AM47" i="162"/>
  <c r="AN41" i="162"/>
  <c r="AL41" i="162" s="1"/>
  <c r="AK42" i="162"/>
  <c r="AI41" i="162"/>
  <c r="AO41" i="162" s="1"/>
  <c r="E222" i="138"/>
  <c r="E212" i="134"/>
  <c r="E225" i="134" s="1"/>
  <c r="E156" i="144" s="1"/>
  <c r="F142" i="138"/>
  <c r="F131" i="134"/>
  <c r="F144" i="134" s="1"/>
  <c r="G77" i="137"/>
  <c r="F210" i="138"/>
  <c r="F212" i="134" s="1"/>
  <c r="F225" i="134" s="1"/>
  <c r="G144" i="138"/>
  <c r="G122" i="147"/>
  <c r="G134" i="147" s="1"/>
  <c r="G130" i="138"/>
  <c r="G120" i="147" s="1"/>
  <c r="G55" i="137"/>
  <c r="G91" i="137" s="1"/>
  <c r="H132" i="138"/>
  <c r="H144" i="138" s="1"/>
  <c r="H79" i="137"/>
  <c r="F82" i="137"/>
  <c r="E194" i="152"/>
  <c r="E82" i="152"/>
  <c r="E138" i="152"/>
  <c r="F132" i="134"/>
  <c r="F145" i="134" s="1"/>
  <c r="F143" i="138"/>
  <c r="D62" i="144"/>
  <c r="D6" i="144"/>
  <c r="D174" i="144"/>
  <c r="E138" i="144"/>
  <c r="E26" i="144"/>
  <c r="E194" i="144"/>
  <c r="D70" i="138"/>
  <c r="C179" i="152"/>
  <c r="F34" i="137"/>
  <c r="C11" i="152"/>
  <c r="C67" i="152"/>
  <c r="E70" i="138"/>
  <c r="C123" i="152"/>
  <c r="D64" i="144"/>
  <c r="D176" i="144"/>
  <c r="D120" i="144"/>
  <c r="E58" i="134"/>
  <c r="F47" i="147"/>
  <c r="F59" i="147" s="1"/>
  <c r="F65" i="137"/>
  <c r="F70" i="137" s="1"/>
  <c r="F52" i="134"/>
  <c r="F65" i="134" s="1"/>
  <c r="D174" i="152"/>
  <c r="G29" i="137"/>
  <c r="H29" i="137" s="1"/>
  <c r="I29" i="137" s="1"/>
  <c r="D6" i="152"/>
  <c r="D62" i="152"/>
  <c r="C118" i="144"/>
  <c r="C123" i="144" s="1"/>
  <c r="C6" i="144"/>
  <c r="C11" i="144" s="1"/>
  <c r="C174" i="144"/>
  <c r="C179" i="144" s="1"/>
  <c r="F58" i="137"/>
  <c r="F87" i="137"/>
  <c r="F94" i="137" s="1"/>
  <c r="C62" i="144"/>
  <c r="C67" i="144" s="1"/>
  <c r="C103" i="144"/>
  <c r="G51" i="137"/>
  <c r="G87" i="137" s="1"/>
  <c r="E208" i="134"/>
  <c r="E221" i="134" s="1"/>
  <c r="E208" i="144" s="1"/>
  <c r="D76" i="134"/>
  <c r="D78" i="134" s="1"/>
  <c r="C47" i="144"/>
  <c r="C159" i="144"/>
  <c r="F218" i="138"/>
  <c r="E218" i="138"/>
  <c r="F208" i="134"/>
  <c r="F221" i="134" s="1"/>
  <c r="E214" i="138"/>
  <c r="C215" i="144"/>
  <c r="D71" i="134"/>
  <c r="D58" i="134"/>
  <c r="G53" i="138"/>
  <c r="G48" i="147" s="1"/>
  <c r="G66" i="137"/>
  <c r="D119" i="144"/>
  <c r="F58" i="138"/>
  <c r="D175" i="144"/>
  <c r="D211" i="144"/>
  <c r="D63" i="144"/>
  <c r="F211" i="134"/>
  <c r="F224" i="134" s="1"/>
  <c r="F53" i="134"/>
  <c r="F66" i="134" s="1"/>
  <c r="D155" i="144"/>
  <c r="F209" i="134"/>
  <c r="F222" i="134" s="1"/>
  <c r="F192" i="147"/>
  <c r="F204" i="147" s="1"/>
  <c r="F65" i="138"/>
  <c r="D99" i="144"/>
  <c r="F221" i="138"/>
  <c r="G208" i="138"/>
  <c r="G220" i="138" s="1"/>
  <c r="H53" i="137"/>
  <c r="H208" i="138" s="1"/>
  <c r="H193" i="147" s="1"/>
  <c r="E209" i="134"/>
  <c r="E222" i="134" s="1"/>
  <c r="E209" i="144" s="1"/>
  <c r="E231" i="138"/>
  <c r="E219" i="138"/>
  <c r="D102" i="144"/>
  <c r="D158" i="144"/>
  <c r="H52" i="137"/>
  <c r="I52" i="137" s="1"/>
  <c r="G88" i="137"/>
  <c r="D46" i="152"/>
  <c r="D158" i="152"/>
  <c r="D216" i="147"/>
  <c r="D218" i="147" s="1"/>
  <c r="D199" i="147"/>
  <c r="E210" i="144"/>
  <c r="E154" i="144"/>
  <c r="E98" i="144"/>
  <c r="D102" i="152"/>
  <c r="D214" i="144"/>
  <c r="D7" i="152"/>
  <c r="D70" i="147"/>
  <c r="D72" i="147" s="1"/>
  <c r="E42" i="152"/>
  <c r="E98" i="152"/>
  <c r="D63" i="152"/>
  <c r="D234" i="134"/>
  <c r="D236" i="134" s="1"/>
  <c r="E154" i="152"/>
  <c r="D53" i="147"/>
  <c r="D216" i="134"/>
  <c r="E214" i="134"/>
  <c r="E227" i="134" s="1"/>
  <c r="E46" i="144" s="1"/>
  <c r="E197" i="147"/>
  <c r="E209" i="147" s="1"/>
  <c r="E214" i="152" s="1"/>
  <c r="E224" i="138"/>
  <c r="G57" i="137"/>
  <c r="F212" i="138"/>
  <c r="F93" i="137"/>
  <c r="D119" i="152"/>
  <c r="G63" i="137"/>
  <c r="D172" i="144"/>
  <c r="D116" i="144"/>
  <c r="E63" i="134"/>
  <c r="E71" i="134" s="1"/>
  <c r="E76" i="134"/>
  <c r="E78" i="134" s="1"/>
  <c r="D4" i="144"/>
  <c r="H27" i="137"/>
  <c r="G50" i="138"/>
  <c r="G45" i="147" s="1"/>
  <c r="D60" i="144"/>
  <c r="F62" i="138"/>
  <c r="F50" i="134"/>
  <c r="F45" i="147"/>
  <c r="F75" i="138"/>
  <c r="D65" i="147"/>
  <c r="G49" i="134"/>
  <c r="G62" i="134" s="1"/>
  <c r="H62" i="137"/>
  <c r="G61" i="138"/>
  <c r="D116" i="152"/>
  <c r="H49" i="138"/>
  <c r="H44" i="147" s="1"/>
  <c r="D172" i="152"/>
  <c r="D4" i="152"/>
  <c r="E191" i="144"/>
  <c r="E135" i="144"/>
  <c r="E79" i="144"/>
  <c r="E23" i="144"/>
  <c r="E155" i="152"/>
  <c r="E43" i="152"/>
  <c r="E211" i="152"/>
  <c r="E99" i="152"/>
  <c r="F194" i="144"/>
  <c r="F26" i="144"/>
  <c r="F138" i="144"/>
  <c r="F82" i="144"/>
  <c r="E99" i="144"/>
  <c r="E155" i="144"/>
  <c r="E211" i="144"/>
  <c r="E43" i="144"/>
  <c r="E45" i="152"/>
  <c r="E101" i="152"/>
  <c r="E157" i="152"/>
  <c r="E213" i="152"/>
  <c r="E193" i="152"/>
  <c r="E137" i="152"/>
  <c r="E81" i="152"/>
  <c r="E25" i="152"/>
  <c r="F98" i="152"/>
  <c r="F210" i="152"/>
  <c r="F42" i="152"/>
  <c r="F154" i="152"/>
  <c r="E175" i="144"/>
  <c r="E7" i="144"/>
  <c r="E63" i="144"/>
  <c r="E119" i="144"/>
  <c r="E139" i="144"/>
  <c r="E195" i="144"/>
  <c r="E83" i="144"/>
  <c r="E27" i="144"/>
  <c r="F210" i="144"/>
  <c r="F98" i="144"/>
  <c r="F154" i="144"/>
  <c r="F42" i="144"/>
  <c r="E175" i="152"/>
  <c r="E119" i="152"/>
  <c r="E63" i="152"/>
  <c r="E7" i="152"/>
  <c r="E27" i="152"/>
  <c r="E83" i="152"/>
  <c r="E195" i="152"/>
  <c r="E139" i="152"/>
  <c r="E44" i="152"/>
  <c r="E212" i="152"/>
  <c r="E100" i="152"/>
  <c r="E156" i="152"/>
  <c r="E28" i="152"/>
  <c r="E140" i="152"/>
  <c r="E196" i="152"/>
  <c r="E84" i="152"/>
  <c r="E118" i="152"/>
  <c r="E6" i="152"/>
  <c r="E174" i="152"/>
  <c r="E62" i="152"/>
  <c r="E10" i="152"/>
  <c r="E66" i="152"/>
  <c r="E122" i="152"/>
  <c r="E178" i="152"/>
  <c r="E61" i="152"/>
  <c r="E173" i="152"/>
  <c r="E5" i="152"/>
  <c r="E117" i="152"/>
  <c r="E213" i="144"/>
  <c r="E101" i="144"/>
  <c r="E157" i="144"/>
  <c r="E45" i="144"/>
  <c r="D138" i="147"/>
  <c r="D77" i="152"/>
  <c r="D85" i="152" s="1"/>
  <c r="D21" i="152"/>
  <c r="D29" i="152" s="1"/>
  <c r="D133" i="152"/>
  <c r="D141" i="152" s="1"/>
  <c r="D189" i="152"/>
  <c r="D197" i="152" s="1"/>
  <c r="F59" i="144"/>
  <c r="F3" i="144"/>
  <c r="F115" i="144"/>
  <c r="F171" i="144"/>
  <c r="E174" i="144"/>
  <c r="E6" i="144"/>
  <c r="E62" i="144"/>
  <c r="E118" i="144"/>
  <c r="E190" i="144"/>
  <c r="E134" i="144"/>
  <c r="E78" i="144"/>
  <c r="E22" i="144"/>
  <c r="F194" i="152"/>
  <c r="F138" i="152"/>
  <c r="F82" i="152"/>
  <c r="F26" i="152"/>
  <c r="D229" i="134"/>
  <c r="D39" i="144"/>
  <c r="D47" i="144" s="1"/>
  <c r="D95" i="144"/>
  <c r="D207" i="144"/>
  <c r="D151" i="144"/>
  <c r="E9" i="152"/>
  <c r="E121" i="152"/>
  <c r="E177" i="152"/>
  <c r="E65" i="152"/>
  <c r="E134" i="152"/>
  <c r="E190" i="152"/>
  <c r="E22" i="152"/>
  <c r="E78" i="152"/>
  <c r="D211" i="147"/>
  <c r="D207" i="152"/>
  <c r="D215" i="152" s="1"/>
  <c r="D39" i="152"/>
  <c r="D95" i="152"/>
  <c r="D151" i="152"/>
  <c r="E8" i="152"/>
  <c r="E176" i="152"/>
  <c r="E120" i="152"/>
  <c r="E64" i="152"/>
  <c r="E61" i="144"/>
  <c r="E173" i="144"/>
  <c r="E117" i="144"/>
  <c r="E5" i="144"/>
  <c r="E116" i="152"/>
  <c r="E60" i="152"/>
  <c r="E4" i="152"/>
  <c r="E172" i="152"/>
  <c r="E25" i="144"/>
  <c r="E81" i="144"/>
  <c r="E193" i="144"/>
  <c r="E137" i="144"/>
  <c r="F171" i="152"/>
  <c r="F115" i="152"/>
  <c r="F59" i="152"/>
  <c r="F3" i="152"/>
  <c r="D133" i="144"/>
  <c r="D141" i="144" s="1"/>
  <c r="D189" i="144"/>
  <c r="D197" i="144" s="1"/>
  <c r="D77" i="144"/>
  <c r="D85" i="144" s="1"/>
  <c r="D21" i="144"/>
  <c r="D29" i="144" s="1"/>
  <c r="E191" i="152"/>
  <c r="E79" i="152"/>
  <c r="E135" i="152"/>
  <c r="E23" i="152"/>
  <c r="E24" i="152"/>
  <c r="E192" i="152"/>
  <c r="E136" i="152"/>
  <c r="E80" i="152"/>
  <c r="E65" i="144"/>
  <c r="E9" i="144"/>
  <c r="E177" i="144"/>
  <c r="E121" i="144"/>
  <c r="E192" i="144"/>
  <c r="E24" i="144"/>
  <c r="E136" i="144"/>
  <c r="E80" i="144"/>
  <c r="E66" i="144"/>
  <c r="E10" i="144"/>
  <c r="E178" i="144"/>
  <c r="E122" i="144"/>
  <c r="E8" i="144"/>
  <c r="E64" i="144"/>
  <c r="E120" i="144"/>
  <c r="E176" i="144"/>
  <c r="E153" i="152"/>
  <c r="E97" i="152"/>
  <c r="E209" i="152"/>
  <c r="E41" i="152"/>
  <c r="E196" i="144"/>
  <c r="E140" i="144"/>
  <c r="E28" i="144"/>
  <c r="E84" i="144"/>
  <c r="E152" i="152"/>
  <c r="E208" i="152"/>
  <c r="E96" i="152"/>
  <c r="E40" i="152"/>
  <c r="D150" i="134"/>
  <c r="E65" i="147"/>
  <c r="F148" i="134"/>
  <c r="E220" i="134"/>
  <c r="I42" i="137"/>
  <c r="H131" i="138"/>
  <c r="H78" i="137"/>
  <c r="I45" i="137"/>
  <c r="H134" i="138"/>
  <c r="H81" i="137"/>
  <c r="I28" i="137"/>
  <c r="H51" i="138"/>
  <c r="H64" i="137"/>
  <c r="G205" i="138"/>
  <c r="H50" i="137"/>
  <c r="G86" i="137"/>
  <c r="H67" i="137"/>
  <c r="I31" i="137"/>
  <c r="H54" i="138"/>
  <c r="G127" i="138"/>
  <c r="G74" i="137"/>
  <c r="H38" i="137"/>
  <c r="I39" i="137"/>
  <c r="H75" i="137"/>
  <c r="H128" i="138"/>
  <c r="F153" i="138"/>
  <c r="F128" i="134"/>
  <c r="F117" i="147"/>
  <c r="F136" i="138"/>
  <c r="F139" i="138"/>
  <c r="F64" i="134"/>
  <c r="H130" i="138"/>
  <c r="I41" i="137"/>
  <c r="H77" i="137"/>
  <c r="E129" i="147"/>
  <c r="E126" i="147"/>
  <c r="E143" i="147"/>
  <c r="E145" i="147" s="1"/>
  <c r="F63" i="147"/>
  <c r="G51" i="134"/>
  <c r="G46" i="147"/>
  <c r="G63" i="138"/>
  <c r="F130" i="147"/>
  <c r="F136" i="147"/>
  <c r="F68" i="134"/>
  <c r="E155" i="134"/>
  <c r="E157" i="134" s="1"/>
  <c r="E141" i="134"/>
  <c r="E137" i="134"/>
  <c r="G196" i="147"/>
  <c r="G223" i="138"/>
  <c r="G213" i="134"/>
  <c r="F58" i="147"/>
  <c r="F203" i="147"/>
  <c r="G121" i="147"/>
  <c r="G143" i="138"/>
  <c r="G132" i="134"/>
  <c r="G192" i="147"/>
  <c r="G219" i="138"/>
  <c r="G209" i="134"/>
  <c r="G194" i="147"/>
  <c r="G221" i="138"/>
  <c r="G211" i="134"/>
  <c r="I40" i="137"/>
  <c r="H129" i="138"/>
  <c r="H76" i="137"/>
  <c r="F60" i="147"/>
  <c r="F67" i="134"/>
  <c r="I33" i="137"/>
  <c r="H69" i="137"/>
  <c r="H56" i="138"/>
  <c r="F143" i="134"/>
  <c r="F132" i="147"/>
  <c r="G146" i="134"/>
  <c r="F147" i="134"/>
  <c r="F142" i="134"/>
  <c r="F226" i="134"/>
  <c r="E202" i="147"/>
  <c r="H211" i="138"/>
  <c r="H92" i="137"/>
  <c r="I56" i="137"/>
  <c r="G123" i="147"/>
  <c r="G145" i="138"/>
  <c r="G134" i="134"/>
  <c r="G51" i="147"/>
  <c r="G68" i="138"/>
  <c r="G56" i="134"/>
  <c r="H66" i="137"/>
  <c r="I30" i="137"/>
  <c r="H53" i="138"/>
  <c r="G119" i="147"/>
  <c r="G141" i="138"/>
  <c r="G130" i="134"/>
  <c r="F133" i="147"/>
  <c r="G50" i="147"/>
  <c r="G67" i="138"/>
  <c r="G55" i="134"/>
  <c r="F61" i="147"/>
  <c r="H68" i="137"/>
  <c r="H55" i="138"/>
  <c r="I32" i="137"/>
  <c r="F206" i="147"/>
  <c r="F208" i="147"/>
  <c r="F190" i="147"/>
  <c r="F207" i="134"/>
  <c r="F217" i="138"/>
  <c r="G124" i="147"/>
  <c r="G146" i="138"/>
  <c r="G135" i="134"/>
  <c r="H133" i="138"/>
  <c r="H80" i="137"/>
  <c r="I44" i="137"/>
  <c r="F62" i="147"/>
  <c r="F69" i="134"/>
  <c r="G118" i="147"/>
  <c r="G140" i="138"/>
  <c r="G129" i="134"/>
  <c r="G49" i="147"/>
  <c r="G66" i="138"/>
  <c r="G54" i="134"/>
  <c r="H209" i="138"/>
  <c r="H90" i="137"/>
  <c r="I54" i="137"/>
  <c r="I132" i="138"/>
  <c r="J43" i="137"/>
  <c r="I79" i="137"/>
  <c r="F131" i="147"/>
  <c r="F135" i="147"/>
  <c r="G56" i="147"/>
  <c r="J26" i="137"/>
  <c r="I62" i="137"/>
  <c r="I49" i="138"/>
  <c r="AE65" i="162" l="1"/>
  <c r="AF101" i="129"/>
  <c r="AF157" i="129"/>
  <c r="AN42" i="129"/>
  <c r="AL36" i="129"/>
  <c r="AO35" i="129"/>
  <c r="AM35" i="129" s="1"/>
  <c r="AJ36" i="129"/>
  <c r="AP36" i="129" s="1"/>
  <c r="AF43" i="129"/>
  <c r="AN42" i="162"/>
  <c r="AL42" i="162" s="1"/>
  <c r="AK43" i="162"/>
  <c r="AI42" i="162"/>
  <c r="AO42" i="162" s="1"/>
  <c r="AM48" i="162"/>
  <c r="E212" i="144"/>
  <c r="E44" i="144"/>
  <c r="E100" i="144"/>
  <c r="F222" i="138"/>
  <c r="F226" i="138" s="1"/>
  <c r="G82" i="137"/>
  <c r="F214" i="138"/>
  <c r="F231" i="138"/>
  <c r="G210" i="138"/>
  <c r="G212" i="134" s="1"/>
  <c r="G225" i="134" s="1"/>
  <c r="F195" i="147"/>
  <c r="F207" i="147" s="1"/>
  <c r="F212" i="152" s="1"/>
  <c r="G131" i="134"/>
  <c r="G144" i="134" s="1"/>
  <c r="G142" i="138"/>
  <c r="H55" i="137"/>
  <c r="H210" i="138" s="1"/>
  <c r="H212" i="134" s="1"/>
  <c r="H122" i="147"/>
  <c r="H134" i="147" s="1"/>
  <c r="H133" i="134"/>
  <c r="H146" i="134" s="1"/>
  <c r="D11" i="144"/>
  <c r="F148" i="138"/>
  <c r="F70" i="147"/>
  <c r="F72" i="147" s="1"/>
  <c r="D67" i="152"/>
  <c r="G34" i="137"/>
  <c r="H65" i="137"/>
  <c r="H34" i="137"/>
  <c r="H52" i="138"/>
  <c r="H52" i="134" s="1"/>
  <c r="G52" i="138"/>
  <c r="G47" i="147" s="1"/>
  <c r="G59" i="147" s="1"/>
  <c r="D179" i="152"/>
  <c r="G58" i="137"/>
  <c r="G65" i="137"/>
  <c r="G70" i="137" s="1"/>
  <c r="E96" i="144"/>
  <c r="G193" i="147"/>
  <c r="G205" i="147" s="1"/>
  <c r="G210" i="152" s="1"/>
  <c r="H51" i="137"/>
  <c r="H87" i="137" s="1"/>
  <c r="G206" i="138"/>
  <c r="G191" i="147" s="1"/>
  <c r="G203" i="147" s="1"/>
  <c r="G210" i="134"/>
  <c r="G223" i="134" s="1"/>
  <c r="G210" i="144" s="1"/>
  <c r="E226" i="138"/>
  <c r="D123" i="144"/>
  <c r="G65" i="138"/>
  <c r="D159" i="144"/>
  <c r="G53" i="134"/>
  <c r="G66" i="134" s="1"/>
  <c r="E152" i="144"/>
  <c r="E40" i="144"/>
  <c r="D67" i="144"/>
  <c r="E102" i="144"/>
  <c r="F76" i="134"/>
  <c r="F78" i="134" s="1"/>
  <c r="E214" i="144"/>
  <c r="E158" i="144"/>
  <c r="D159" i="152"/>
  <c r="D47" i="152"/>
  <c r="G94" i="137"/>
  <c r="H88" i="137"/>
  <c r="E216" i="147"/>
  <c r="E218" i="147" s="1"/>
  <c r="H207" i="138"/>
  <c r="H219" i="138" s="1"/>
  <c r="F70" i="138"/>
  <c r="D179" i="144"/>
  <c r="E97" i="144"/>
  <c r="E41" i="144"/>
  <c r="H210" i="134"/>
  <c r="H223" i="134" s="1"/>
  <c r="D103" i="144"/>
  <c r="E199" i="147"/>
  <c r="H220" i="138"/>
  <c r="I53" i="137"/>
  <c r="I208" i="138" s="1"/>
  <c r="I193" i="147" s="1"/>
  <c r="E153" i="144"/>
  <c r="H89" i="137"/>
  <c r="D215" i="144"/>
  <c r="D103" i="152"/>
  <c r="D11" i="152"/>
  <c r="F214" i="134"/>
  <c r="F227" i="134" s="1"/>
  <c r="F46" i="144" s="1"/>
  <c r="F197" i="147"/>
  <c r="F209" i="147" s="1"/>
  <c r="F46" i="152" s="1"/>
  <c r="F224" i="138"/>
  <c r="E216" i="134"/>
  <c r="E102" i="152"/>
  <c r="E46" i="152"/>
  <c r="D123" i="152"/>
  <c r="E158" i="152"/>
  <c r="E234" i="134"/>
  <c r="E236" i="134" s="1"/>
  <c r="G212" i="138"/>
  <c r="G93" i="137"/>
  <c r="H57" i="137"/>
  <c r="F63" i="134"/>
  <c r="F60" i="144" s="1"/>
  <c r="F58" i="134"/>
  <c r="E4" i="144"/>
  <c r="E11" i="144" s="1"/>
  <c r="F57" i="147"/>
  <c r="F65" i="147" s="1"/>
  <c r="H50" i="138"/>
  <c r="E172" i="144"/>
  <c r="E179" i="144" s="1"/>
  <c r="I27" i="137"/>
  <c r="I50" i="138" s="1"/>
  <c r="H63" i="137"/>
  <c r="E60" i="144"/>
  <c r="E67" i="144" s="1"/>
  <c r="F53" i="147"/>
  <c r="E116" i="144"/>
  <c r="E123" i="144" s="1"/>
  <c r="G62" i="138"/>
  <c r="G50" i="134"/>
  <c r="G63" i="134" s="1"/>
  <c r="H61" i="138"/>
  <c r="H49" i="134"/>
  <c r="H62" i="134" s="1"/>
  <c r="F99" i="144"/>
  <c r="F211" i="144"/>
  <c r="F43" i="144"/>
  <c r="F155" i="144"/>
  <c r="E229" i="134"/>
  <c r="E39" i="144"/>
  <c r="E95" i="144"/>
  <c r="E207" i="144"/>
  <c r="E151" i="144"/>
  <c r="F61" i="144"/>
  <c r="F173" i="144"/>
  <c r="F117" i="144"/>
  <c r="F5" i="144"/>
  <c r="F209" i="144"/>
  <c r="F41" i="144"/>
  <c r="F97" i="144"/>
  <c r="F153" i="144"/>
  <c r="E123" i="152"/>
  <c r="F81" i="152"/>
  <c r="F193" i="152"/>
  <c r="F137" i="152"/>
  <c r="F25" i="152"/>
  <c r="E11" i="152"/>
  <c r="F196" i="144"/>
  <c r="F140" i="144"/>
  <c r="F28" i="144"/>
  <c r="F84" i="144"/>
  <c r="E179" i="152"/>
  <c r="G59" i="144"/>
  <c r="G171" i="144"/>
  <c r="G3" i="144"/>
  <c r="G115" i="144"/>
  <c r="E67" i="152"/>
  <c r="G171" i="152"/>
  <c r="G115" i="152"/>
  <c r="G59" i="152"/>
  <c r="G3" i="152"/>
  <c r="F8" i="144"/>
  <c r="F64" i="144"/>
  <c r="F176" i="144"/>
  <c r="F120" i="144"/>
  <c r="E211" i="147"/>
  <c r="E39" i="152"/>
  <c r="E207" i="152"/>
  <c r="E215" i="152" s="1"/>
  <c r="E151" i="152"/>
  <c r="E95" i="152"/>
  <c r="F208" i="144"/>
  <c r="F40" i="144"/>
  <c r="F152" i="144"/>
  <c r="F96" i="144"/>
  <c r="F9" i="144"/>
  <c r="F65" i="144"/>
  <c r="F121" i="144"/>
  <c r="F177" i="144"/>
  <c r="F211" i="152"/>
  <c r="F155" i="152"/>
  <c r="F99" i="152"/>
  <c r="F43" i="152"/>
  <c r="F118" i="144"/>
  <c r="F174" i="144"/>
  <c r="F6" i="144"/>
  <c r="F62" i="144"/>
  <c r="F65" i="152"/>
  <c r="F177" i="152"/>
  <c r="F121" i="152"/>
  <c r="F9" i="152"/>
  <c r="F192" i="144"/>
  <c r="F24" i="144"/>
  <c r="F136" i="144"/>
  <c r="F80" i="144"/>
  <c r="E133" i="144"/>
  <c r="E141" i="144" s="1"/>
  <c r="E77" i="144"/>
  <c r="E85" i="144" s="1"/>
  <c r="E21" i="144"/>
  <c r="E29" i="144" s="1"/>
  <c r="E189" i="144"/>
  <c r="E197" i="144" s="1"/>
  <c r="F118" i="152"/>
  <c r="F62" i="152"/>
  <c r="F6" i="152"/>
  <c r="F174" i="152"/>
  <c r="F140" i="152"/>
  <c r="F28" i="152"/>
  <c r="F196" i="152"/>
  <c r="F84" i="152"/>
  <c r="G138" i="152"/>
  <c r="G26" i="152"/>
  <c r="G82" i="152"/>
  <c r="G194" i="152"/>
  <c r="F134" i="144"/>
  <c r="F78" i="144"/>
  <c r="F22" i="144"/>
  <c r="F190" i="144"/>
  <c r="G194" i="144"/>
  <c r="G26" i="144"/>
  <c r="G82" i="144"/>
  <c r="G138" i="144"/>
  <c r="F40" i="152"/>
  <c r="F152" i="152"/>
  <c r="F208" i="152"/>
  <c r="F96" i="152"/>
  <c r="F66" i="144"/>
  <c r="F178" i="144"/>
  <c r="F10" i="144"/>
  <c r="F122" i="144"/>
  <c r="F175" i="144"/>
  <c r="F63" i="144"/>
  <c r="F119" i="144"/>
  <c r="F7" i="144"/>
  <c r="E138" i="147"/>
  <c r="E77" i="152"/>
  <c r="E85" i="152" s="1"/>
  <c r="E21" i="152"/>
  <c r="E29" i="152" s="1"/>
  <c r="E133" i="152"/>
  <c r="E141" i="152" s="1"/>
  <c r="E189" i="152"/>
  <c r="E197" i="152" s="1"/>
  <c r="F176" i="152"/>
  <c r="F120" i="152"/>
  <c r="F64" i="152"/>
  <c r="F8" i="152"/>
  <c r="F41" i="152"/>
  <c r="F209" i="152"/>
  <c r="F153" i="152"/>
  <c r="F97" i="152"/>
  <c r="F83" i="152"/>
  <c r="F27" i="152"/>
  <c r="F195" i="152"/>
  <c r="F139" i="152"/>
  <c r="F63" i="152"/>
  <c r="F7" i="152"/>
  <c r="F119" i="152"/>
  <c r="F175" i="152"/>
  <c r="F190" i="152"/>
  <c r="F78" i="152"/>
  <c r="F22" i="152"/>
  <c r="F134" i="152"/>
  <c r="F191" i="152"/>
  <c r="F135" i="152"/>
  <c r="F79" i="152"/>
  <c r="F23" i="152"/>
  <c r="F195" i="144"/>
  <c r="F83" i="144"/>
  <c r="F139" i="144"/>
  <c r="F27" i="144"/>
  <c r="F80" i="152"/>
  <c r="F24" i="152"/>
  <c r="F136" i="152"/>
  <c r="F192" i="152"/>
  <c r="F100" i="144"/>
  <c r="F156" i="144"/>
  <c r="F44" i="144"/>
  <c r="F212" i="144"/>
  <c r="F173" i="152"/>
  <c r="F117" i="152"/>
  <c r="F5" i="152"/>
  <c r="F61" i="152"/>
  <c r="F213" i="144"/>
  <c r="F101" i="144"/>
  <c r="F45" i="144"/>
  <c r="F157" i="144"/>
  <c r="F81" i="144"/>
  <c r="F25" i="144"/>
  <c r="F137" i="144"/>
  <c r="F193" i="144"/>
  <c r="F45" i="152"/>
  <c r="F101" i="152"/>
  <c r="F213" i="152"/>
  <c r="F157" i="152"/>
  <c r="F191" i="144"/>
  <c r="F79" i="144"/>
  <c r="F135" i="144"/>
  <c r="F23" i="144"/>
  <c r="F10" i="152"/>
  <c r="F66" i="152"/>
  <c r="F178" i="152"/>
  <c r="F122" i="152"/>
  <c r="E150" i="134"/>
  <c r="F220" i="134"/>
  <c r="F202" i="147"/>
  <c r="I54" i="138"/>
  <c r="I67" i="137"/>
  <c r="J31" i="137"/>
  <c r="H205" i="147"/>
  <c r="I75" i="137"/>
  <c r="I128" i="138"/>
  <c r="J39" i="137"/>
  <c r="H51" i="134"/>
  <c r="H46" i="147"/>
  <c r="H63" i="138"/>
  <c r="H196" i="147"/>
  <c r="H223" i="138"/>
  <c r="H213" i="134"/>
  <c r="G208" i="147"/>
  <c r="H124" i="147"/>
  <c r="H146" i="138"/>
  <c r="H135" i="134"/>
  <c r="H194" i="147"/>
  <c r="H211" i="134"/>
  <c r="H221" i="138"/>
  <c r="G136" i="147"/>
  <c r="G143" i="134"/>
  <c r="G60" i="147"/>
  <c r="G206" i="147"/>
  <c r="J45" i="137"/>
  <c r="I134" i="138"/>
  <c r="I81" i="137"/>
  <c r="G64" i="134"/>
  <c r="H123" i="147"/>
  <c r="H145" i="138"/>
  <c r="H134" i="134"/>
  <c r="G224" i="134"/>
  <c r="H55" i="134"/>
  <c r="H67" i="138"/>
  <c r="H50" i="147"/>
  <c r="G131" i="147"/>
  <c r="G132" i="147"/>
  <c r="G62" i="147"/>
  <c r="I50" i="137"/>
  <c r="H205" i="138"/>
  <c r="H86" i="137"/>
  <c r="G135" i="147"/>
  <c r="G207" i="134"/>
  <c r="G217" i="138"/>
  <c r="G190" i="147"/>
  <c r="I51" i="138"/>
  <c r="J28" i="137"/>
  <c r="I64" i="137"/>
  <c r="H68" i="138"/>
  <c r="H56" i="134"/>
  <c r="H51" i="147"/>
  <c r="G61" i="147"/>
  <c r="J52" i="137"/>
  <c r="I207" i="138"/>
  <c r="I88" i="137"/>
  <c r="I69" i="137"/>
  <c r="I56" i="138"/>
  <c r="J33" i="137"/>
  <c r="I130" i="138"/>
  <c r="I77" i="137"/>
  <c r="J41" i="137"/>
  <c r="G68" i="134"/>
  <c r="H54" i="134"/>
  <c r="H49" i="147"/>
  <c r="H66" i="138"/>
  <c r="J132" i="138"/>
  <c r="J79" i="137"/>
  <c r="K43" i="137"/>
  <c r="F129" i="147"/>
  <c r="F143" i="147"/>
  <c r="F145" i="147" s="1"/>
  <c r="F126" i="147"/>
  <c r="F141" i="134"/>
  <c r="F137" i="134"/>
  <c r="F155" i="134"/>
  <c r="F157" i="134" s="1"/>
  <c r="G147" i="134"/>
  <c r="H129" i="134"/>
  <c r="H140" i="138"/>
  <c r="H118" i="147"/>
  <c r="G145" i="134"/>
  <c r="G58" i="147"/>
  <c r="G133" i="147"/>
  <c r="J40" i="137"/>
  <c r="I76" i="137"/>
  <c r="I129" i="138"/>
  <c r="G148" i="134"/>
  <c r="G142" i="134"/>
  <c r="G222" i="134"/>
  <c r="H120" i="147"/>
  <c r="H142" i="138"/>
  <c r="H131" i="134"/>
  <c r="G128" i="134"/>
  <c r="G136" i="138"/>
  <c r="G153" i="138"/>
  <c r="G117" i="147"/>
  <c r="G139" i="138"/>
  <c r="G57" i="147"/>
  <c r="I211" i="138"/>
  <c r="I92" i="137"/>
  <c r="J56" i="137"/>
  <c r="H119" i="147"/>
  <c r="H130" i="134"/>
  <c r="H141" i="138"/>
  <c r="I68" i="137"/>
  <c r="J32" i="137"/>
  <c r="I55" i="138"/>
  <c r="J29" i="137"/>
  <c r="I52" i="138"/>
  <c r="I65" i="137"/>
  <c r="I38" i="137"/>
  <c r="H74" i="137"/>
  <c r="H82" i="137" s="1"/>
  <c r="H127" i="138"/>
  <c r="H121" i="147"/>
  <c r="H143" i="138"/>
  <c r="H132" i="134"/>
  <c r="J30" i="137"/>
  <c r="I53" i="138"/>
  <c r="I66" i="137"/>
  <c r="G69" i="134"/>
  <c r="I122" i="147"/>
  <c r="I144" i="138"/>
  <c r="I133" i="134"/>
  <c r="G63" i="147"/>
  <c r="I133" i="138"/>
  <c r="I80" i="137"/>
  <c r="J44" i="137"/>
  <c r="G226" i="134"/>
  <c r="I209" i="138"/>
  <c r="J54" i="137"/>
  <c r="I90" i="137"/>
  <c r="G67" i="134"/>
  <c r="G130" i="147"/>
  <c r="H48" i="147"/>
  <c r="H65" i="138"/>
  <c r="H53" i="134"/>
  <c r="G204" i="147"/>
  <c r="I131" i="138"/>
  <c r="I78" i="137"/>
  <c r="J42" i="137"/>
  <c r="H56" i="147"/>
  <c r="I44" i="147"/>
  <c r="I61" i="138"/>
  <c r="I49" i="134"/>
  <c r="K26" i="137"/>
  <c r="J62" i="137"/>
  <c r="J49" i="138"/>
  <c r="AE66" i="162" l="1"/>
  <c r="AL37" i="129"/>
  <c r="AO36" i="129"/>
  <c r="AM36" i="129" s="1"/>
  <c r="AF102" i="129"/>
  <c r="AF158" i="129"/>
  <c r="AN43" i="129"/>
  <c r="AJ37" i="129"/>
  <c r="AP37" i="129" s="1"/>
  <c r="AF44" i="129"/>
  <c r="AM49" i="162"/>
  <c r="AN43" i="162"/>
  <c r="AL43" i="162" s="1"/>
  <c r="AK44" i="162"/>
  <c r="AI43" i="162"/>
  <c r="AO43" i="162" s="1"/>
  <c r="G148" i="138"/>
  <c r="F100" i="152"/>
  <c r="F156" i="152"/>
  <c r="F44" i="152"/>
  <c r="G222" i="138"/>
  <c r="G195" i="147"/>
  <c r="G207" i="147" s="1"/>
  <c r="G44" i="152" s="1"/>
  <c r="I55" i="137"/>
  <c r="I91" i="137" s="1"/>
  <c r="H195" i="147"/>
  <c r="H207" i="147" s="1"/>
  <c r="H91" i="137"/>
  <c r="H94" i="137" s="1"/>
  <c r="H222" i="138"/>
  <c r="H70" i="137"/>
  <c r="G53" i="147"/>
  <c r="G70" i="147"/>
  <c r="G72" i="147" s="1"/>
  <c r="H64" i="138"/>
  <c r="H47" i="147"/>
  <c r="H59" i="147" s="1"/>
  <c r="G58" i="138"/>
  <c r="G75" i="138"/>
  <c r="H58" i="138"/>
  <c r="G64" i="138"/>
  <c r="G70" i="138" s="1"/>
  <c r="G52" i="134"/>
  <c r="G65" i="134" s="1"/>
  <c r="G62" i="144" s="1"/>
  <c r="G231" i="138"/>
  <c r="G214" i="138"/>
  <c r="G154" i="152"/>
  <c r="G42" i="152"/>
  <c r="G98" i="152"/>
  <c r="H58" i="137"/>
  <c r="G208" i="134"/>
  <c r="G221" i="134" s="1"/>
  <c r="G40" i="144" s="1"/>
  <c r="G218" i="138"/>
  <c r="I51" i="137"/>
  <c r="I87" i="137" s="1"/>
  <c r="G154" i="144"/>
  <c r="G98" i="144"/>
  <c r="G42" i="144"/>
  <c r="H206" i="138"/>
  <c r="H191" i="147" s="1"/>
  <c r="H203" i="147" s="1"/>
  <c r="E215" i="144"/>
  <c r="H209" i="134"/>
  <c r="H222" i="134" s="1"/>
  <c r="H192" i="147"/>
  <c r="H204" i="147" s="1"/>
  <c r="E103" i="144"/>
  <c r="I220" i="138"/>
  <c r="F216" i="147"/>
  <c r="F218" i="147" s="1"/>
  <c r="F102" i="152"/>
  <c r="F216" i="134"/>
  <c r="I210" i="134"/>
  <c r="I223" i="134" s="1"/>
  <c r="F199" i="147"/>
  <c r="E47" i="144"/>
  <c r="J53" i="137"/>
  <c r="J89" i="137" s="1"/>
  <c r="I89" i="137"/>
  <c r="F214" i="152"/>
  <c r="F234" i="134"/>
  <c r="F236" i="134" s="1"/>
  <c r="E159" i="144"/>
  <c r="F158" i="152"/>
  <c r="F214" i="144"/>
  <c r="F102" i="144"/>
  <c r="F158" i="144"/>
  <c r="E159" i="152"/>
  <c r="G197" i="147"/>
  <c r="G209" i="147" s="1"/>
  <c r="G102" i="152" s="1"/>
  <c r="G224" i="138"/>
  <c r="G214" i="134"/>
  <c r="G227" i="134" s="1"/>
  <c r="G46" i="144" s="1"/>
  <c r="E103" i="152"/>
  <c r="H93" i="137"/>
  <c r="I57" i="137"/>
  <c r="H212" i="138"/>
  <c r="E47" i="152"/>
  <c r="F116" i="144"/>
  <c r="F123" i="144" s="1"/>
  <c r="F4" i="144"/>
  <c r="F11" i="144" s="1"/>
  <c r="F172" i="144"/>
  <c r="F179" i="144" s="1"/>
  <c r="F71" i="134"/>
  <c r="J27" i="137"/>
  <c r="J50" i="138" s="1"/>
  <c r="I63" i="137"/>
  <c r="I70" i="137" s="1"/>
  <c r="I34" i="137"/>
  <c r="F4" i="152"/>
  <c r="F11" i="152" s="1"/>
  <c r="H75" i="138"/>
  <c r="F60" i="152"/>
  <c r="F67" i="152" s="1"/>
  <c r="F116" i="152"/>
  <c r="F123" i="152" s="1"/>
  <c r="F172" i="152"/>
  <c r="F179" i="152" s="1"/>
  <c r="H62" i="138"/>
  <c r="H50" i="134"/>
  <c r="H76" i="134" s="1"/>
  <c r="H78" i="134" s="1"/>
  <c r="H45" i="147"/>
  <c r="H57" i="147" s="1"/>
  <c r="G193" i="152"/>
  <c r="G137" i="152"/>
  <c r="G81" i="152"/>
  <c r="G25" i="152"/>
  <c r="G173" i="152"/>
  <c r="G117" i="152"/>
  <c r="G5" i="152"/>
  <c r="G61" i="152"/>
  <c r="H59" i="144"/>
  <c r="H171" i="144"/>
  <c r="H3" i="144"/>
  <c r="H115" i="144"/>
  <c r="G137" i="144"/>
  <c r="G193" i="144"/>
  <c r="G81" i="144"/>
  <c r="G25" i="144"/>
  <c r="G65" i="144"/>
  <c r="G9" i="144"/>
  <c r="G121" i="144"/>
  <c r="G177" i="144"/>
  <c r="F211" i="147"/>
  <c r="F39" i="152"/>
  <c r="F207" i="152"/>
  <c r="F95" i="152"/>
  <c r="F151" i="152"/>
  <c r="G43" i="152"/>
  <c r="G155" i="152"/>
  <c r="G211" i="152"/>
  <c r="G99" i="152"/>
  <c r="G119" i="152"/>
  <c r="G63" i="152"/>
  <c r="G7" i="152"/>
  <c r="G175" i="152"/>
  <c r="F229" i="134"/>
  <c r="F39" i="144"/>
  <c r="F47" i="144" s="1"/>
  <c r="F151" i="144"/>
  <c r="F95" i="144"/>
  <c r="F207" i="144"/>
  <c r="G40" i="152"/>
  <c r="G152" i="152"/>
  <c r="G208" i="152"/>
  <c r="G96" i="152"/>
  <c r="G41" i="152"/>
  <c r="G209" i="152"/>
  <c r="G153" i="152"/>
  <c r="G97" i="152"/>
  <c r="G83" i="144"/>
  <c r="G139" i="144"/>
  <c r="G27" i="144"/>
  <c r="G195" i="144"/>
  <c r="G99" i="144"/>
  <c r="G211" i="144"/>
  <c r="G43" i="144"/>
  <c r="G155" i="144"/>
  <c r="G66" i="152"/>
  <c r="G178" i="152"/>
  <c r="G122" i="152"/>
  <c r="G10" i="152"/>
  <c r="F133" i="144"/>
  <c r="F141" i="144" s="1"/>
  <c r="F77" i="144"/>
  <c r="F85" i="144" s="1"/>
  <c r="F21" i="144"/>
  <c r="F29" i="144" s="1"/>
  <c r="F189" i="144"/>
  <c r="F197" i="144" s="1"/>
  <c r="G195" i="152"/>
  <c r="G139" i="152"/>
  <c r="G83" i="152"/>
  <c r="G27" i="152"/>
  <c r="G192" i="152"/>
  <c r="G80" i="152"/>
  <c r="G136" i="152"/>
  <c r="G24" i="152"/>
  <c r="G135" i="152"/>
  <c r="G79" i="152"/>
  <c r="G23" i="152"/>
  <c r="G191" i="152"/>
  <c r="G191" i="144"/>
  <c r="G135" i="144"/>
  <c r="G79" i="144"/>
  <c r="G23" i="144"/>
  <c r="G209" i="144"/>
  <c r="G41" i="144"/>
  <c r="G97" i="144"/>
  <c r="G153" i="144"/>
  <c r="H82" i="144"/>
  <c r="H194" i="144"/>
  <c r="H26" i="144"/>
  <c r="H138" i="144"/>
  <c r="G100" i="144"/>
  <c r="G156" i="144"/>
  <c r="G44" i="144"/>
  <c r="G212" i="144"/>
  <c r="H210" i="144"/>
  <c r="H154" i="144"/>
  <c r="H98" i="144"/>
  <c r="H42" i="144"/>
  <c r="G60" i="144"/>
  <c r="G172" i="144"/>
  <c r="G4" i="144"/>
  <c r="G116" i="144"/>
  <c r="G177" i="152"/>
  <c r="G121" i="152"/>
  <c r="G65" i="152"/>
  <c r="G9" i="152"/>
  <c r="G61" i="144"/>
  <c r="G5" i="144"/>
  <c r="G173" i="144"/>
  <c r="G117" i="144"/>
  <c r="G64" i="144"/>
  <c r="G8" i="144"/>
  <c r="G120" i="144"/>
  <c r="G176" i="144"/>
  <c r="G172" i="152"/>
  <c r="G116" i="152"/>
  <c r="G60" i="152"/>
  <c r="G4" i="152"/>
  <c r="G192" i="144"/>
  <c r="G136" i="144"/>
  <c r="G24" i="144"/>
  <c r="G80" i="144"/>
  <c r="H171" i="152"/>
  <c r="H115" i="152"/>
  <c r="H3" i="152"/>
  <c r="H59" i="152"/>
  <c r="G140" i="152"/>
  <c r="G28" i="152"/>
  <c r="G196" i="152"/>
  <c r="G84" i="152"/>
  <c r="G190" i="144"/>
  <c r="G22" i="144"/>
  <c r="G134" i="144"/>
  <c r="G78" i="144"/>
  <c r="G10" i="144"/>
  <c r="G66" i="144"/>
  <c r="G178" i="144"/>
  <c r="G122" i="144"/>
  <c r="F67" i="144"/>
  <c r="G62" i="152"/>
  <c r="G118" i="152"/>
  <c r="G6" i="152"/>
  <c r="G174" i="152"/>
  <c r="G175" i="144"/>
  <c r="G63" i="144"/>
  <c r="G7" i="144"/>
  <c r="G119" i="144"/>
  <c r="G157" i="144"/>
  <c r="G213" i="144"/>
  <c r="G101" i="144"/>
  <c r="G45" i="144"/>
  <c r="G190" i="152"/>
  <c r="G134" i="152"/>
  <c r="G78" i="152"/>
  <c r="G22" i="152"/>
  <c r="G213" i="152"/>
  <c r="G157" i="152"/>
  <c r="G45" i="152"/>
  <c r="G101" i="152"/>
  <c r="H138" i="152"/>
  <c r="H26" i="152"/>
  <c r="H82" i="152"/>
  <c r="H194" i="152"/>
  <c r="F138" i="147"/>
  <c r="F189" i="152"/>
  <c r="F197" i="152" s="1"/>
  <c r="F133" i="152"/>
  <c r="F141" i="152" s="1"/>
  <c r="F77" i="152"/>
  <c r="F85" i="152" s="1"/>
  <c r="F21" i="152"/>
  <c r="F29" i="152" s="1"/>
  <c r="H42" i="152"/>
  <c r="H98" i="152"/>
  <c r="H154" i="152"/>
  <c r="H210" i="152"/>
  <c r="G84" i="144"/>
  <c r="G28" i="144"/>
  <c r="G196" i="144"/>
  <c r="G140" i="144"/>
  <c r="G176" i="152"/>
  <c r="G120" i="152"/>
  <c r="G8" i="152"/>
  <c r="G64" i="152"/>
  <c r="F150" i="134"/>
  <c r="G65" i="147"/>
  <c r="H68" i="134"/>
  <c r="H130" i="147"/>
  <c r="H60" i="147"/>
  <c r="J133" i="138"/>
  <c r="J80" i="137"/>
  <c r="K44" i="137"/>
  <c r="H133" i="147"/>
  <c r="H142" i="134"/>
  <c r="I205" i="147"/>
  <c r="I54" i="134"/>
  <c r="I49" i="147"/>
  <c r="I66" i="138"/>
  <c r="K29" i="137"/>
  <c r="J65" i="137"/>
  <c r="J52" i="138"/>
  <c r="I119" i="147"/>
  <c r="I141" i="138"/>
  <c r="I130" i="134"/>
  <c r="K28" i="137"/>
  <c r="J51" i="138"/>
  <c r="J64" i="137"/>
  <c r="H135" i="147"/>
  <c r="H224" i="134"/>
  <c r="I146" i="134"/>
  <c r="G141" i="134"/>
  <c r="G137" i="134"/>
  <c r="G155" i="134"/>
  <c r="G157" i="134" s="1"/>
  <c r="I120" i="147"/>
  <c r="I142" i="138"/>
  <c r="I131" i="134"/>
  <c r="I63" i="138"/>
  <c r="I46" i="147"/>
  <c r="I51" i="134"/>
  <c r="H206" i="147"/>
  <c r="H225" i="134"/>
  <c r="I55" i="134"/>
  <c r="I67" i="138"/>
  <c r="I50" i="147"/>
  <c r="J76" i="137"/>
  <c r="K40" i="137"/>
  <c r="J129" i="138"/>
  <c r="J56" i="138"/>
  <c r="J69" i="137"/>
  <c r="K33" i="137"/>
  <c r="K52" i="137"/>
  <c r="J88" i="137"/>
  <c r="J207" i="138"/>
  <c r="H207" i="134"/>
  <c r="H190" i="147"/>
  <c r="H217" i="138"/>
  <c r="H69" i="134"/>
  <c r="I56" i="134"/>
  <c r="I68" i="138"/>
  <c r="I51" i="147"/>
  <c r="H148" i="134"/>
  <c r="J131" i="138"/>
  <c r="K42" i="137"/>
  <c r="J78" i="137"/>
  <c r="H144" i="134"/>
  <c r="L43" i="137"/>
  <c r="K79" i="137"/>
  <c r="K132" i="138"/>
  <c r="H136" i="147"/>
  <c r="J75" i="137"/>
  <c r="J128" i="138"/>
  <c r="K39" i="137"/>
  <c r="H61" i="147"/>
  <c r="J66" i="137"/>
  <c r="K30" i="137"/>
  <c r="J53" i="138"/>
  <c r="I86" i="137"/>
  <c r="I205" i="138"/>
  <c r="J50" i="137"/>
  <c r="I123" i="147"/>
  <c r="I145" i="138"/>
  <c r="I134" i="134"/>
  <c r="H58" i="147"/>
  <c r="G202" i="147"/>
  <c r="K54" i="137"/>
  <c r="J209" i="138"/>
  <c r="J90" i="137"/>
  <c r="H143" i="134"/>
  <c r="H132" i="147"/>
  <c r="G220" i="134"/>
  <c r="I118" i="147"/>
  <c r="I140" i="138"/>
  <c r="I129" i="134"/>
  <c r="H67" i="134"/>
  <c r="H63" i="147"/>
  <c r="K41" i="137"/>
  <c r="J130" i="138"/>
  <c r="J77" i="137"/>
  <c r="K32" i="137"/>
  <c r="J55" i="138"/>
  <c r="J68" i="137"/>
  <c r="H131" i="147"/>
  <c r="J122" i="147"/>
  <c r="J144" i="138"/>
  <c r="J133" i="134"/>
  <c r="H62" i="147"/>
  <c r="I124" i="147"/>
  <c r="I146" i="138"/>
  <c r="I135" i="134"/>
  <c r="I53" i="134"/>
  <c r="I48" i="147"/>
  <c r="I65" i="138"/>
  <c r="I213" i="134"/>
  <c r="I223" i="138"/>
  <c r="I196" i="147"/>
  <c r="H66" i="134"/>
  <c r="H145" i="134"/>
  <c r="H226" i="134"/>
  <c r="H128" i="134"/>
  <c r="H136" i="138"/>
  <c r="H153" i="138"/>
  <c r="H117" i="147"/>
  <c r="H139" i="138"/>
  <c r="H148" i="138" s="1"/>
  <c r="H208" i="147"/>
  <c r="J67" i="137"/>
  <c r="K31" i="137"/>
  <c r="J54" i="138"/>
  <c r="I74" i="137"/>
  <c r="I82" i="137" s="1"/>
  <c r="J38" i="137"/>
  <c r="I127" i="138"/>
  <c r="G126" i="147"/>
  <c r="G129" i="147"/>
  <c r="G143" i="147"/>
  <c r="G145" i="147" s="1"/>
  <c r="H147" i="134"/>
  <c r="I47" i="147"/>
  <c r="I64" i="138"/>
  <c r="I52" i="134"/>
  <c r="H64" i="134"/>
  <c r="I134" i="147"/>
  <c r="I58" i="138"/>
  <c r="I121" i="147"/>
  <c r="I143" i="138"/>
  <c r="I132" i="134"/>
  <c r="I75" i="138"/>
  <c r="I211" i="134"/>
  <c r="I194" i="147"/>
  <c r="I221" i="138"/>
  <c r="K56" i="137"/>
  <c r="J92" i="137"/>
  <c r="J211" i="138"/>
  <c r="H65" i="134"/>
  <c r="I209" i="134"/>
  <c r="I192" i="147"/>
  <c r="I219" i="138"/>
  <c r="K45" i="137"/>
  <c r="J134" i="138"/>
  <c r="J81" i="137"/>
  <c r="I50" i="134"/>
  <c r="I62" i="138"/>
  <c r="I45" i="147"/>
  <c r="J44" i="147"/>
  <c r="I56" i="147"/>
  <c r="I62" i="134"/>
  <c r="L26" i="137"/>
  <c r="K62" i="137"/>
  <c r="K49" i="138"/>
  <c r="J61" i="138"/>
  <c r="J49" i="134"/>
  <c r="AE67" i="162" l="1"/>
  <c r="AF103" i="129"/>
  <c r="AF159" i="129"/>
  <c r="AN44" i="129"/>
  <c r="AL38" i="129"/>
  <c r="AO37" i="129"/>
  <c r="AM37" i="129" s="1"/>
  <c r="AJ38" i="129"/>
  <c r="AP38" i="129" s="1"/>
  <c r="AF45" i="129"/>
  <c r="AN44" i="162"/>
  <c r="AL44" i="162" s="1"/>
  <c r="AK45" i="162"/>
  <c r="AI44" i="162"/>
  <c r="AO44" i="162" s="1"/>
  <c r="AM50" i="162"/>
  <c r="G156" i="152"/>
  <c r="G212" i="152"/>
  <c r="G100" i="152"/>
  <c r="I210" i="138"/>
  <c r="I212" i="134" s="1"/>
  <c r="I225" i="134" s="1"/>
  <c r="F47" i="152"/>
  <c r="G226" i="138"/>
  <c r="J55" i="137"/>
  <c r="K55" i="137" s="1"/>
  <c r="K210" i="138" s="1"/>
  <c r="H70" i="138"/>
  <c r="I206" i="138"/>
  <c r="I208" i="134" s="1"/>
  <c r="I221" i="134" s="1"/>
  <c r="J51" i="137"/>
  <c r="J87" i="137" s="1"/>
  <c r="G96" i="144"/>
  <c r="G71" i="134"/>
  <c r="G76" i="134"/>
  <c r="G78" i="134" s="1"/>
  <c r="G152" i="144"/>
  <c r="G208" i="144"/>
  <c r="I58" i="137"/>
  <c r="G58" i="134"/>
  <c r="G174" i="144"/>
  <c r="G179" i="144" s="1"/>
  <c r="G118" i="144"/>
  <c r="G123" i="144" s="1"/>
  <c r="G6" i="144"/>
  <c r="G11" i="144" s="1"/>
  <c r="H208" i="134"/>
  <c r="H221" i="134" s="1"/>
  <c r="H208" i="144" s="1"/>
  <c r="F215" i="144"/>
  <c r="H218" i="138"/>
  <c r="H226" i="138" s="1"/>
  <c r="G46" i="152"/>
  <c r="F159" i="144"/>
  <c r="H231" i="138"/>
  <c r="H214" i="138"/>
  <c r="F215" i="152"/>
  <c r="F103" i="152"/>
  <c r="K53" i="137"/>
  <c r="L53" i="137" s="1"/>
  <c r="L89" i="137" s="1"/>
  <c r="F103" i="144"/>
  <c r="J208" i="138"/>
  <c r="J220" i="138" s="1"/>
  <c r="I94" i="137"/>
  <c r="G216" i="134"/>
  <c r="G234" i="134"/>
  <c r="G236" i="134" s="1"/>
  <c r="F159" i="152"/>
  <c r="G199" i="147"/>
  <c r="G158" i="152"/>
  <c r="G214" i="152"/>
  <c r="G216" i="147"/>
  <c r="G218" i="147" s="1"/>
  <c r="G214" i="144"/>
  <c r="G102" i="144"/>
  <c r="H214" i="134"/>
  <c r="H227" i="134" s="1"/>
  <c r="H46" i="144" s="1"/>
  <c r="H224" i="138"/>
  <c r="H197" i="147"/>
  <c r="H209" i="147" s="1"/>
  <c r="H158" i="152" s="1"/>
  <c r="G158" i="144"/>
  <c r="J57" i="137"/>
  <c r="I212" i="138"/>
  <c r="I93" i="137"/>
  <c r="H58" i="134"/>
  <c r="K27" i="137"/>
  <c r="K50" i="138" s="1"/>
  <c r="J63" i="137"/>
  <c r="J70" i="137" s="1"/>
  <c r="J34" i="137"/>
  <c r="H63" i="134"/>
  <c r="H60" i="144" s="1"/>
  <c r="H53" i="147"/>
  <c r="H70" i="147"/>
  <c r="H72" i="147" s="1"/>
  <c r="H61" i="144"/>
  <c r="H173" i="144"/>
  <c r="H5" i="144"/>
  <c r="H117" i="144"/>
  <c r="H192" i="144"/>
  <c r="H136" i="144"/>
  <c r="H24" i="144"/>
  <c r="H80" i="144"/>
  <c r="H208" i="152"/>
  <c r="H152" i="152"/>
  <c r="H96" i="152"/>
  <c r="H40" i="152"/>
  <c r="H83" i="152"/>
  <c r="H27" i="152"/>
  <c r="H195" i="152"/>
  <c r="H139" i="152"/>
  <c r="G11" i="152"/>
  <c r="H84" i="144"/>
  <c r="H28" i="144"/>
  <c r="H196" i="144"/>
  <c r="H140" i="144"/>
  <c r="G67" i="152"/>
  <c r="H134" i="144"/>
  <c r="H190" i="144"/>
  <c r="H78" i="144"/>
  <c r="H22" i="144"/>
  <c r="G123" i="152"/>
  <c r="H195" i="144"/>
  <c r="H139" i="144"/>
  <c r="H83" i="144"/>
  <c r="H27" i="144"/>
  <c r="H137" i="144"/>
  <c r="H81" i="144"/>
  <c r="H193" i="144"/>
  <c r="H25" i="144"/>
  <c r="H191" i="152"/>
  <c r="H135" i="152"/>
  <c r="H79" i="152"/>
  <c r="H23" i="152"/>
  <c r="H137" i="152"/>
  <c r="H81" i="152"/>
  <c r="H193" i="152"/>
  <c r="H25" i="152"/>
  <c r="G138" i="147"/>
  <c r="G189" i="152"/>
  <c r="G197" i="152" s="1"/>
  <c r="G133" i="152"/>
  <c r="G141" i="152" s="1"/>
  <c r="G77" i="152"/>
  <c r="G85" i="152" s="1"/>
  <c r="G21" i="152"/>
  <c r="G29" i="152" s="1"/>
  <c r="H41" i="144"/>
  <c r="H153" i="144"/>
  <c r="H97" i="144"/>
  <c r="H209" i="144"/>
  <c r="H10" i="144"/>
  <c r="H66" i="144"/>
  <c r="H178" i="144"/>
  <c r="H122" i="144"/>
  <c r="H156" i="144"/>
  <c r="H100" i="144"/>
  <c r="H44" i="144"/>
  <c r="H212" i="144"/>
  <c r="H213" i="152"/>
  <c r="H157" i="152"/>
  <c r="H101" i="152"/>
  <c r="H45" i="152"/>
  <c r="H65" i="144"/>
  <c r="H9" i="144"/>
  <c r="H121" i="144"/>
  <c r="H177" i="144"/>
  <c r="G133" i="144"/>
  <c r="G141" i="144" s="1"/>
  <c r="G189" i="144"/>
  <c r="G197" i="144" s="1"/>
  <c r="G77" i="144"/>
  <c r="G85" i="144" s="1"/>
  <c r="G21" i="144"/>
  <c r="G29" i="144" s="1"/>
  <c r="H9" i="152"/>
  <c r="H177" i="152"/>
  <c r="H65" i="152"/>
  <c r="H121" i="152"/>
  <c r="H62" i="144"/>
  <c r="H174" i="144"/>
  <c r="H118" i="144"/>
  <c r="H6" i="144"/>
  <c r="H99" i="152"/>
  <c r="H155" i="152"/>
  <c r="H211" i="152"/>
  <c r="H43" i="152"/>
  <c r="H190" i="152"/>
  <c r="H134" i="152"/>
  <c r="H78" i="152"/>
  <c r="H22" i="152"/>
  <c r="H135" i="144"/>
  <c r="H79" i="144"/>
  <c r="H191" i="144"/>
  <c r="H23" i="144"/>
  <c r="I171" i="152"/>
  <c r="I115" i="152"/>
  <c r="I3" i="152"/>
  <c r="I59" i="152"/>
  <c r="H196" i="152"/>
  <c r="H140" i="152"/>
  <c r="H84" i="152"/>
  <c r="H28" i="152"/>
  <c r="G211" i="147"/>
  <c r="G207" i="152"/>
  <c r="G151" i="152"/>
  <c r="G95" i="152"/>
  <c r="G39" i="152"/>
  <c r="H156" i="152"/>
  <c r="H100" i="152"/>
  <c r="H212" i="152"/>
  <c r="H44" i="152"/>
  <c r="H173" i="152"/>
  <c r="H117" i="152"/>
  <c r="H61" i="152"/>
  <c r="H5" i="152"/>
  <c r="I98" i="144"/>
  <c r="I42" i="144"/>
  <c r="I154" i="144"/>
  <c r="I210" i="144"/>
  <c r="H62" i="152"/>
  <c r="H6" i="152"/>
  <c r="H118" i="152"/>
  <c r="H174" i="152"/>
  <c r="H101" i="144"/>
  <c r="H157" i="144"/>
  <c r="H213" i="144"/>
  <c r="H45" i="144"/>
  <c r="G229" i="134"/>
  <c r="G151" i="144"/>
  <c r="G39" i="144"/>
  <c r="G47" i="144" s="1"/>
  <c r="G207" i="144"/>
  <c r="G95" i="144"/>
  <c r="H192" i="152"/>
  <c r="H24" i="152"/>
  <c r="H80" i="152"/>
  <c r="H136" i="152"/>
  <c r="G67" i="144"/>
  <c r="H176" i="152"/>
  <c r="H120" i="152"/>
  <c r="H8" i="152"/>
  <c r="H64" i="152"/>
  <c r="H178" i="152"/>
  <c r="H122" i="152"/>
  <c r="H66" i="152"/>
  <c r="H10" i="152"/>
  <c r="H172" i="152"/>
  <c r="H116" i="152"/>
  <c r="H60" i="152"/>
  <c r="H4" i="152"/>
  <c r="I42" i="152"/>
  <c r="I98" i="152"/>
  <c r="I210" i="152"/>
  <c r="I154" i="152"/>
  <c r="I138" i="152"/>
  <c r="I26" i="152"/>
  <c r="I82" i="152"/>
  <c r="I194" i="152"/>
  <c r="H176" i="144"/>
  <c r="H64" i="144"/>
  <c r="H120" i="144"/>
  <c r="H8" i="144"/>
  <c r="I194" i="144"/>
  <c r="I82" i="144"/>
  <c r="I26" i="144"/>
  <c r="I138" i="144"/>
  <c r="H211" i="144"/>
  <c r="H99" i="144"/>
  <c r="H155" i="144"/>
  <c r="H43" i="144"/>
  <c r="G179" i="152"/>
  <c r="H119" i="152"/>
  <c r="H63" i="152"/>
  <c r="H7" i="152"/>
  <c r="H175" i="152"/>
  <c r="H175" i="144"/>
  <c r="H7" i="144"/>
  <c r="H63" i="144"/>
  <c r="H119" i="144"/>
  <c r="I59" i="144"/>
  <c r="I3" i="144"/>
  <c r="I171" i="144"/>
  <c r="I115" i="144"/>
  <c r="H41" i="152"/>
  <c r="H97" i="152"/>
  <c r="H209" i="152"/>
  <c r="H153" i="152"/>
  <c r="G150" i="134"/>
  <c r="H65" i="147"/>
  <c r="I70" i="138"/>
  <c r="J75" i="138"/>
  <c r="I58" i="134"/>
  <c r="L39" i="137"/>
  <c r="K75" i="137"/>
  <c r="K128" i="138"/>
  <c r="I62" i="147"/>
  <c r="L29" i="137"/>
  <c r="K52" i="138"/>
  <c r="K65" i="137"/>
  <c r="I68" i="134"/>
  <c r="I59" i="147"/>
  <c r="H220" i="134"/>
  <c r="I206" i="147"/>
  <c r="I224" i="134"/>
  <c r="L79" i="137"/>
  <c r="L132" i="138"/>
  <c r="M43" i="137"/>
  <c r="I148" i="134"/>
  <c r="I76" i="134"/>
  <c r="I78" i="134" s="1"/>
  <c r="I63" i="134"/>
  <c r="I145" i="134"/>
  <c r="I217" i="138"/>
  <c r="I207" i="134"/>
  <c r="I190" i="147"/>
  <c r="J219" i="138"/>
  <c r="J192" i="147"/>
  <c r="J209" i="134"/>
  <c r="I136" i="147"/>
  <c r="I69" i="134"/>
  <c r="I70" i="147"/>
  <c r="I72" i="147" s="1"/>
  <c r="I67" i="134"/>
  <c r="I135" i="147"/>
  <c r="J124" i="147"/>
  <c r="J146" i="138"/>
  <c r="J135" i="134"/>
  <c r="J63" i="138"/>
  <c r="J51" i="134"/>
  <c r="J46" i="147"/>
  <c r="K134" i="138"/>
  <c r="K81" i="137"/>
  <c r="L45" i="137"/>
  <c r="J127" i="138"/>
  <c r="J74" i="137"/>
  <c r="J82" i="137" s="1"/>
  <c r="K38" i="137"/>
  <c r="I64" i="134"/>
  <c r="K51" i="138"/>
  <c r="L28" i="137"/>
  <c r="K64" i="137"/>
  <c r="J47" i="147"/>
  <c r="J52" i="134"/>
  <c r="J64" i="138"/>
  <c r="K92" i="137"/>
  <c r="L56" i="137"/>
  <c r="K211" i="138"/>
  <c r="J140" i="138"/>
  <c r="J129" i="134"/>
  <c r="J118" i="147"/>
  <c r="H129" i="147"/>
  <c r="H126" i="147"/>
  <c r="H143" i="147"/>
  <c r="H145" i="147" s="1"/>
  <c r="H202" i="147"/>
  <c r="I60" i="147"/>
  <c r="J146" i="134"/>
  <c r="L42" i="137"/>
  <c r="K131" i="138"/>
  <c r="K78" i="137"/>
  <c r="I58" i="147"/>
  <c r="K129" i="138"/>
  <c r="K76" i="137"/>
  <c r="L40" i="137"/>
  <c r="K68" i="137"/>
  <c r="L32" i="137"/>
  <c r="K55" i="138"/>
  <c r="I57" i="147"/>
  <c r="I66" i="134"/>
  <c r="K50" i="137"/>
  <c r="J86" i="137"/>
  <c r="J205" i="138"/>
  <c r="I153" i="138"/>
  <c r="I117" i="147"/>
  <c r="I139" i="138"/>
  <c r="I148" i="138" s="1"/>
  <c r="I128" i="134"/>
  <c r="I136" i="138"/>
  <c r="I204" i="147"/>
  <c r="J49" i="147"/>
  <c r="J66" i="138"/>
  <c r="J54" i="134"/>
  <c r="J194" i="147"/>
  <c r="J211" i="134"/>
  <c r="J221" i="138"/>
  <c r="J65" i="138"/>
  <c r="J48" i="147"/>
  <c r="J53" i="134"/>
  <c r="J121" i="147"/>
  <c r="J143" i="138"/>
  <c r="J132" i="134"/>
  <c r="L33" i="137"/>
  <c r="K69" i="137"/>
  <c r="K56" i="138"/>
  <c r="I132" i="147"/>
  <c r="J196" i="147"/>
  <c r="J223" i="138"/>
  <c r="J213" i="134"/>
  <c r="I131" i="147"/>
  <c r="J50" i="147"/>
  <c r="J67" i="138"/>
  <c r="J55" i="134"/>
  <c r="I208" i="147"/>
  <c r="I53" i="147"/>
  <c r="I65" i="134"/>
  <c r="K133" i="138"/>
  <c r="L44" i="137"/>
  <c r="K80" i="137"/>
  <c r="K88" i="137"/>
  <c r="L52" i="137"/>
  <c r="K207" i="138"/>
  <c r="J58" i="138"/>
  <c r="J134" i="147"/>
  <c r="L54" i="137"/>
  <c r="K209" i="138"/>
  <c r="K90" i="137"/>
  <c r="K66" i="137"/>
  <c r="L30" i="137"/>
  <c r="K53" i="138"/>
  <c r="I144" i="134"/>
  <c r="I63" i="147"/>
  <c r="J119" i="147"/>
  <c r="J130" i="134"/>
  <c r="J141" i="138"/>
  <c r="I142" i="134"/>
  <c r="I226" i="134"/>
  <c r="J120" i="147"/>
  <c r="J142" i="138"/>
  <c r="J131" i="134"/>
  <c r="I61" i="147"/>
  <c r="K77" i="137"/>
  <c r="L41" i="137"/>
  <c r="K130" i="138"/>
  <c r="I130" i="147"/>
  <c r="I147" i="134"/>
  <c r="K133" i="134"/>
  <c r="K144" i="138"/>
  <c r="K122" i="147"/>
  <c r="J123" i="147"/>
  <c r="J145" i="138"/>
  <c r="J134" i="134"/>
  <c r="H137" i="134"/>
  <c r="H141" i="134"/>
  <c r="H155" i="134"/>
  <c r="H157" i="134" s="1"/>
  <c r="I133" i="147"/>
  <c r="I222" i="134"/>
  <c r="L31" i="137"/>
  <c r="K54" i="138"/>
  <c r="K67" i="137"/>
  <c r="J45" i="147"/>
  <c r="J62" i="138"/>
  <c r="J50" i="134"/>
  <c r="J51" i="147"/>
  <c r="J68" i="138"/>
  <c r="J56" i="134"/>
  <c r="I143" i="134"/>
  <c r="K44" i="147"/>
  <c r="J56" i="147"/>
  <c r="J62" i="134"/>
  <c r="K61" i="138"/>
  <c r="K49" i="134"/>
  <c r="L62" i="137"/>
  <c r="M26" i="137"/>
  <c r="L49" i="138"/>
  <c r="AE68" i="162" l="1"/>
  <c r="AL39" i="129"/>
  <c r="AO38" i="129"/>
  <c r="AM38" i="129" s="1"/>
  <c r="AF104" i="129"/>
  <c r="AF160" i="129" s="1"/>
  <c r="AN45" i="129"/>
  <c r="AJ39" i="129"/>
  <c r="AP39" i="129" s="1"/>
  <c r="AF46" i="129"/>
  <c r="AM51" i="162"/>
  <c r="AN45" i="162"/>
  <c r="AL45" i="162" s="1"/>
  <c r="AI45" i="162"/>
  <c r="AO45" i="162" s="1"/>
  <c r="AK46" i="162"/>
  <c r="G103" i="152"/>
  <c r="I195" i="147"/>
  <c r="I207" i="147" s="1"/>
  <c r="I100" i="152" s="1"/>
  <c r="I222" i="138"/>
  <c r="I191" i="147"/>
  <c r="I203" i="147" s="1"/>
  <c r="I152" i="152" s="1"/>
  <c r="K91" i="137"/>
  <c r="J210" i="138"/>
  <c r="J195" i="147" s="1"/>
  <c r="J207" i="147" s="1"/>
  <c r="L55" i="137"/>
  <c r="L91" i="137" s="1"/>
  <c r="J91" i="137"/>
  <c r="J94" i="137" s="1"/>
  <c r="J206" i="138"/>
  <c r="J191" i="147" s="1"/>
  <c r="J203" i="147" s="1"/>
  <c r="I218" i="138"/>
  <c r="I231" i="138"/>
  <c r="I214" i="138"/>
  <c r="J58" i="137"/>
  <c r="K51" i="137"/>
  <c r="L51" i="137" s="1"/>
  <c r="M51" i="137" s="1"/>
  <c r="G47" i="152"/>
  <c r="H40" i="144"/>
  <c r="H96" i="144"/>
  <c r="H152" i="144"/>
  <c r="K89" i="137"/>
  <c r="J193" i="147"/>
  <c r="J205" i="147" s="1"/>
  <c r="J210" i="152" s="1"/>
  <c r="K208" i="138"/>
  <c r="K210" i="134" s="1"/>
  <c r="K223" i="134" s="1"/>
  <c r="M53" i="137"/>
  <c r="M208" i="138" s="1"/>
  <c r="L208" i="138"/>
  <c r="L210" i="134" s="1"/>
  <c r="J210" i="134"/>
  <c r="J223" i="134" s="1"/>
  <c r="J42" i="144" s="1"/>
  <c r="G159" i="152"/>
  <c r="H102" i="144"/>
  <c r="G215" i="152"/>
  <c r="H214" i="144"/>
  <c r="H46" i="152"/>
  <c r="H158" i="144"/>
  <c r="H234" i="134"/>
  <c r="H236" i="134" s="1"/>
  <c r="H216" i="134"/>
  <c r="G103" i="144"/>
  <c r="G159" i="144"/>
  <c r="G215" i="144"/>
  <c r="H199" i="147"/>
  <c r="H214" i="152"/>
  <c r="H102" i="152"/>
  <c r="H216" i="147"/>
  <c r="H218" i="147" s="1"/>
  <c r="J93" i="137"/>
  <c r="K57" i="137"/>
  <c r="J212" i="138"/>
  <c r="I224" i="138"/>
  <c r="I214" i="134"/>
  <c r="I227" i="134" s="1"/>
  <c r="I158" i="144" s="1"/>
  <c r="I197" i="147"/>
  <c r="I209" i="147" s="1"/>
  <c r="I214" i="152" s="1"/>
  <c r="K34" i="137"/>
  <c r="L27" i="137"/>
  <c r="L34" i="137" s="1"/>
  <c r="K63" i="137"/>
  <c r="K70" i="137" s="1"/>
  <c r="H71" i="134"/>
  <c r="H116" i="144"/>
  <c r="H123" i="144" s="1"/>
  <c r="H172" i="144"/>
  <c r="H179" i="144" s="1"/>
  <c r="H4" i="144"/>
  <c r="H11" i="144" s="1"/>
  <c r="I140" i="152"/>
  <c r="I196" i="152"/>
  <c r="I28" i="152"/>
  <c r="I84" i="152"/>
  <c r="I119" i="152"/>
  <c r="I175" i="152"/>
  <c r="I7" i="152"/>
  <c r="I63" i="152"/>
  <c r="I192" i="144"/>
  <c r="I24" i="144"/>
  <c r="I136" i="144"/>
  <c r="I80" i="144"/>
  <c r="H11" i="152"/>
  <c r="I60" i="152"/>
  <c r="I4" i="152"/>
  <c r="I116" i="152"/>
  <c r="I172" i="152"/>
  <c r="H123" i="152"/>
  <c r="I191" i="152"/>
  <c r="I135" i="152"/>
  <c r="I79" i="152"/>
  <c r="I23" i="152"/>
  <c r="I172" i="144"/>
  <c r="I4" i="144"/>
  <c r="I116" i="144"/>
  <c r="I60" i="144"/>
  <c r="I137" i="152"/>
  <c r="I25" i="152"/>
  <c r="I81" i="152"/>
  <c r="I193" i="152"/>
  <c r="I10" i="144"/>
  <c r="I66" i="144"/>
  <c r="I178" i="144"/>
  <c r="I122" i="144"/>
  <c r="J59" i="144"/>
  <c r="J171" i="144"/>
  <c r="J3" i="144"/>
  <c r="J115" i="144"/>
  <c r="J82" i="144"/>
  <c r="J26" i="144"/>
  <c r="J194" i="144"/>
  <c r="J138" i="144"/>
  <c r="I62" i="144"/>
  <c r="I118" i="144"/>
  <c r="I174" i="144"/>
  <c r="I6" i="144"/>
  <c r="I175" i="144"/>
  <c r="I7" i="144"/>
  <c r="I119" i="144"/>
  <c r="I63" i="144"/>
  <c r="H67" i="144"/>
  <c r="I195" i="144"/>
  <c r="I139" i="144"/>
  <c r="I83" i="144"/>
  <c r="I27" i="144"/>
  <c r="I78" i="152"/>
  <c r="I22" i="152"/>
  <c r="I190" i="152"/>
  <c r="I134" i="152"/>
  <c r="H229" i="134"/>
  <c r="H39" i="144"/>
  <c r="H95" i="144"/>
  <c r="H151" i="144"/>
  <c r="H207" i="144"/>
  <c r="I137" i="144"/>
  <c r="I81" i="144"/>
  <c r="I25" i="144"/>
  <c r="I193" i="144"/>
  <c r="I209" i="152"/>
  <c r="I153" i="152"/>
  <c r="I97" i="152"/>
  <c r="I41" i="152"/>
  <c r="I134" i="144"/>
  <c r="I190" i="144"/>
  <c r="I22" i="144"/>
  <c r="I78" i="144"/>
  <c r="H133" i="144"/>
  <c r="H141" i="144" s="1"/>
  <c r="H189" i="144"/>
  <c r="H197" i="144" s="1"/>
  <c r="H77" i="144"/>
  <c r="H85" i="144" s="1"/>
  <c r="H21" i="144"/>
  <c r="H29" i="144" s="1"/>
  <c r="J171" i="152"/>
  <c r="J59" i="152"/>
  <c r="J115" i="152"/>
  <c r="J3" i="152"/>
  <c r="I61" i="144"/>
  <c r="I173" i="144"/>
  <c r="I5" i="144"/>
  <c r="I117" i="144"/>
  <c r="I79" i="144"/>
  <c r="I23" i="144"/>
  <c r="I135" i="144"/>
  <c r="I191" i="144"/>
  <c r="H211" i="147"/>
  <c r="H207" i="152"/>
  <c r="H151" i="152"/>
  <c r="H159" i="152" s="1"/>
  <c r="H95" i="152"/>
  <c r="H39" i="152"/>
  <c r="I43" i="152"/>
  <c r="I99" i="152"/>
  <c r="I155" i="152"/>
  <c r="I211" i="152"/>
  <c r="H179" i="152"/>
  <c r="I212" i="144"/>
  <c r="I100" i="144"/>
  <c r="I156" i="144"/>
  <c r="I44" i="144"/>
  <c r="I192" i="152"/>
  <c r="I136" i="152"/>
  <c r="I80" i="152"/>
  <c r="I24" i="152"/>
  <c r="I65" i="144"/>
  <c r="I9" i="144"/>
  <c r="I121" i="144"/>
  <c r="I177" i="144"/>
  <c r="I83" i="152"/>
  <c r="I139" i="152"/>
  <c r="I27" i="152"/>
  <c r="I195" i="152"/>
  <c r="I140" i="144"/>
  <c r="I28" i="144"/>
  <c r="I196" i="144"/>
  <c r="I84" i="144"/>
  <c r="I152" i="144"/>
  <c r="I40" i="144"/>
  <c r="I208" i="144"/>
  <c r="I96" i="144"/>
  <c r="I178" i="152"/>
  <c r="I66" i="152"/>
  <c r="I122" i="152"/>
  <c r="I10" i="152"/>
  <c r="I213" i="152"/>
  <c r="I157" i="152"/>
  <c r="I45" i="152"/>
  <c r="I101" i="152"/>
  <c r="H67" i="152"/>
  <c r="I211" i="144"/>
  <c r="I43" i="144"/>
  <c r="I99" i="144"/>
  <c r="I155" i="144"/>
  <c r="H138" i="147"/>
  <c r="H133" i="152"/>
  <c r="H141" i="152" s="1"/>
  <c r="H77" i="152"/>
  <c r="H85" i="152" s="1"/>
  <c r="H189" i="152"/>
  <c r="H197" i="152" s="1"/>
  <c r="H21" i="152"/>
  <c r="H29" i="152" s="1"/>
  <c r="J194" i="152"/>
  <c r="J82" i="152"/>
  <c r="J138" i="152"/>
  <c r="J26" i="152"/>
  <c r="I174" i="152"/>
  <c r="I118" i="152"/>
  <c r="I62" i="152"/>
  <c r="I6" i="152"/>
  <c r="I176" i="152"/>
  <c r="I120" i="152"/>
  <c r="I8" i="152"/>
  <c r="I64" i="152"/>
  <c r="I209" i="144"/>
  <c r="I41" i="144"/>
  <c r="I153" i="144"/>
  <c r="I97" i="144"/>
  <c r="I213" i="144"/>
  <c r="I101" i="144"/>
  <c r="I157" i="144"/>
  <c r="I45" i="144"/>
  <c r="I173" i="152"/>
  <c r="I117" i="152"/>
  <c r="I61" i="152"/>
  <c r="I5" i="152"/>
  <c r="I176" i="144"/>
  <c r="I120" i="144"/>
  <c r="I64" i="144"/>
  <c r="I8" i="144"/>
  <c r="I177" i="152"/>
  <c r="I9" i="152"/>
  <c r="I65" i="152"/>
  <c r="I121" i="152"/>
  <c r="H150" i="134"/>
  <c r="K58" i="138"/>
  <c r="I65" i="147"/>
  <c r="I71" i="134"/>
  <c r="J58" i="134"/>
  <c r="K146" i="134"/>
  <c r="J222" i="134"/>
  <c r="J70" i="138"/>
  <c r="K195" i="147"/>
  <c r="K212" i="134"/>
  <c r="K222" i="138"/>
  <c r="J64" i="134"/>
  <c r="J76" i="134"/>
  <c r="J78" i="134" s="1"/>
  <c r="J65" i="134"/>
  <c r="J208" i="147"/>
  <c r="J204" i="147"/>
  <c r="K50" i="134"/>
  <c r="K62" i="138"/>
  <c r="K45" i="147"/>
  <c r="K75" i="138"/>
  <c r="I202" i="147"/>
  <c r="J61" i="147"/>
  <c r="K49" i="147"/>
  <c r="K54" i="134"/>
  <c r="K66" i="138"/>
  <c r="L54" i="138"/>
  <c r="M31" i="137"/>
  <c r="L67" i="137"/>
  <c r="L76" i="137"/>
  <c r="L129" i="138"/>
  <c r="M40" i="137"/>
  <c r="K119" i="147"/>
  <c r="K141" i="138"/>
  <c r="K130" i="134"/>
  <c r="M28" i="137"/>
  <c r="L64" i="137"/>
  <c r="L51" i="138"/>
  <c r="J144" i="134"/>
  <c r="K194" i="147"/>
  <c r="K211" i="134"/>
  <c r="K221" i="138"/>
  <c r="J133" i="147"/>
  <c r="I143" i="147"/>
  <c r="I145" i="147" s="1"/>
  <c r="I129" i="147"/>
  <c r="I126" i="147"/>
  <c r="J132" i="147"/>
  <c r="L209" i="138"/>
  <c r="M54" i="137"/>
  <c r="L90" i="137"/>
  <c r="J66" i="134"/>
  <c r="K74" i="137"/>
  <c r="K82" i="137" s="1"/>
  <c r="K127" i="138"/>
  <c r="L38" i="137"/>
  <c r="K134" i="134"/>
  <c r="K123" i="147"/>
  <c r="K145" i="138"/>
  <c r="L130" i="138"/>
  <c r="L77" i="137"/>
  <c r="M41" i="137"/>
  <c r="L56" i="138"/>
  <c r="M33" i="137"/>
  <c r="L69" i="137"/>
  <c r="K46" i="147"/>
  <c r="K51" i="134"/>
  <c r="K63" i="138"/>
  <c r="K143" i="138"/>
  <c r="K132" i="134"/>
  <c r="K121" i="147"/>
  <c r="L131" i="138"/>
  <c r="L78" i="137"/>
  <c r="L81" i="137"/>
  <c r="L134" i="138"/>
  <c r="M45" i="137"/>
  <c r="K219" i="138"/>
  <c r="K192" i="147"/>
  <c r="K209" i="134"/>
  <c r="J224" i="134"/>
  <c r="L50" i="137"/>
  <c r="K205" i="138"/>
  <c r="K86" i="137"/>
  <c r="K223" i="138"/>
  <c r="K213" i="134"/>
  <c r="K196" i="147"/>
  <c r="J148" i="134"/>
  <c r="I220" i="134"/>
  <c r="N43" i="137"/>
  <c r="M132" i="138"/>
  <c r="M79" i="137"/>
  <c r="J68" i="134"/>
  <c r="J207" i="134"/>
  <c r="J190" i="147"/>
  <c r="J217" i="138"/>
  <c r="J147" i="134"/>
  <c r="J135" i="147"/>
  <c r="L88" i="137"/>
  <c r="L207" i="138"/>
  <c r="M52" i="137"/>
  <c r="J206" i="147"/>
  <c r="L211" i="138"/>
  <c r="M56" i="137"/>
  <c r="L92" i="137"/>
  <c r="J143" i="134"/>
  <c r="J67" i="134"/>
  <c r="J59" i="147"/>
  <c r="J131" i="147"/>
  <c r="K50" i="147"/>
  <c r="K55" i="134"/>
  <c r="K67" i="138"/>
  <c r="L133" i="138"/>
  <c r="L80" i="137"/>
  <c r="M44" i="137"/>
  <c r="M32" i="137"/>
  <c r="L68" i="137"/>
  <c r="L55" i="138"/>
  <c r="J136" i="147"/>
  <c r="K64" i="138"/>
  <c r="K47" i="147"/>
  <c r="K52" i="134"/>
  <c r="L52" i="138"/>
  <c r="L65" i="137"/>
  <c r="M29" i="137"/>
  <c r="K142" i="138"/>
  <c r="K120" i="147"/>
  <c r="K131" i="134"/>
  <c r="K51" i="147"/>
  <c r="K68" i="138"/>
  <c r="K56" i="134"/>
  <c r="K48" i="147"/>
  <c r="K65" i="138"/>
  <c r="K53" i="134"/>
  <c r="L122" i="147"/>
  <c r="L144" i="138"/>
  <c r="L133" i="134"/>
  <c r="M30" i="137"/>
  <c r="L66" i="137"/>
  <c r="L53" i="138"/>
  <c r="J145" i="134"/>
  <c r="I155" i="134"/>
  <c r="I157" i="134" s="1"/>
  <c r="I137" i="134"/>
  <c r="I141" i="134"/>
  <c r="J53" i="147"/>
  <c r="J69" i="134"/>
  <c r="J60" i="147"/>
  <c r="J130" i="147"/>
  <c r="K118" i="147"/>
  <c r="K140" i="138"/>
  <c r="K129" i="134"/>
  <c r="J70" i="147"/>
  <c r="J72" i="147" s="1"/>
  <c r="J142" i="134"/>
  <c r="J153" i="138"/>
  <c r="J117" i="147"/>
  <c r="J139" i="138"/>
  <c r="J148" i="138" s="1"/>
  <c r="J128" i="134"/>
  <c r="J136" i="138"/>
  <c r="J63" i="147"/>
  <c r="J62" i="147"/>
  <c r="M39" i="137"/>
  <c r="L75" i="137"/>
  <c r="L128" i="138"/>
  <c r="J63" i="134"/>
  <c r="K124" i="147"/>
  <c r="K146" i="138"/>
  <c r="K135" i="134"/>
  <c r="J57" i="147"/>
  <c r="K134" i="147"/>
  <c r="J226" i="134"/>
  <c r="J58" i="147"/>
  <c r="L44" i="147"/>
  <c r="K56" i="147"/>
  <c r="K62" i="134"/>
  <c r="L61" i="138"/>
  <c r="L49" i="134"/>
  <c r="N26" i="137"/>
  <c r="M49" i="138"/>
  <c r="M62" i="137"/>
  <c r="C46" i="137"/>
  <c r="AE69" i="162" l="1"/>
  <c r="AF105" i="129"/>
  <c r="AF161" i="129"/>
  <c r="AN46" i="129"/>
  <c r="AL40" i="129"/>
  <c r="AO39" i="129"/>
  <c r="AM39" i="129" s="1"/>
  <c r="AJ40" i="129"/>
  <c r="AP40" i="129" s="1"/>
  <c r="AF47" i="129"/>
  <c r="AK47" i="162"/>
  <c r="AI46" i="162"/>
  <c r="AO46" i="162" s="1"/>
  <c r="AN46" i="162"/>
  <c r="AL46" i="162" s="1"/>
  <c r="AM52" i="162"/>
  <c r="I226" i="138"/>
  <c r="I44" i="152"/>
  <c r="I212" i="152"/>
  <c r="I156" i="152"/>
  <c r="J222" i="138"/>
  <c r="J212" i="134"/>
  <c r="J225" i="134" s="1"/>
  <c r="J100" i="144" s="1"/>
  <c r="L210" i="138"/>
  <c r="L222" i="138" s="1"/>
  <c r="M55" i="137"/>
  <c r="M210" i="138" s="1"/>
  <c r="I40" i="152"/>
  <c r="I96" i="152"/>
  <c r="I208" i="152"/>
  <c r="J218" i="138"/>
  <c r="J208" i="134"/>
  <c r="J221" i="134" s="1"/>
  <c r="J152" i="144" s="1"/>
  <c r="J214" i="138"/>
  <c r="J231" i="138"/>
  <c r="K58" i="137"/>
  <c r="L206" i="138"/>
  <c r="L218" i="138" s="1"/>
  <c r="L87" i="137"/>
  <c r="K87" i="137"/>
  <c r="K94" i="137" s="1"/>
  <c r="J42" i="152"/>
  <c r="J154" i="152"/>
  <c r="K220" i="138"/>
  <c r="K206" i="138"/>
  <c r="K218" i="138" s="1"/>
  <c r="K193" i="147"/>
  <c r="K205" i="147" s="1"/>
  <c r="K210" i="152" s="1"/>
  <c r="H47" i="144"/>
  <c r="L193" i="147"/>
  <c r="L205" i="147" s="1"/>
  <c r="J98" i="152"/>
  <c r="N53" i="137"/>
  <c r="O53" i="137" s="1"/>
  <c r="M89" i="137"/>
  <c r="L220" i="138"/>
  <c r="J210" i="144"/>
  <c r="J98" i="144"/>
  <c r="J154" i="144"/>
  <c r="H103" i="152"/>
  <c r="H47" i="152"/>
  <c r="H103" i="144"/>
  <c r="H159" i="144"/>
  <c r="H215" i="144"/>
  <c r="H215" i="152"/>
  <c r="I214" i="144"/>
  <c r="L50" i="138"/>
  <c r="L58" i="138" s="1"/>
  <c r="L63" i="137"/>
  <c r="L70" i="137" s="1"/>
  <c r="M27" i="137"/>
  <c r="M63" i="137" s="1"/>
  <c r="I46" i="144"/>
  <c r="I216" i="134"/>
  <c r="I234" i="134"/>
  <c r="I236" i="134" s="1"/>
  <c r="I46" i="152"/>
  <c r="I102" i="152"/>
  <c r="I216" i="147"/>
  <c r="I218" i="147" s="1"/>
  <c r="I102" i="144"/>
  <c r="I158" i="152"/>
  <c r="J224" i="138"/>
  <c r="J197" i="147"/>
  <c r="J209" i="147" s="1"/>
  <c r="J214" i="152" s="1"/>
  <c r="J214" i="134"/>
  <c r="J227" i="134" s="1"/>
  <c r="J102" i="144" s="1"/>
  <c r="K212" i="138"/>
  <c r="L57" i="137"/>
  <c r="K93" i="137"/>
  <c r="I199" i="147"/>
  <c r="I179" i="144"/>
  <c r="I123" i="144"/>
  <c r="I11" i="144"/>
  <c r="J41" i="144"/>
  <c r="J97" i="144"/>
  <c r="J209" i="144"/>
  <c r="J153" i="144"/>
  <c r="J65" i="144"/>
  <c r="J9" i="144"/>
  <c r="J121" i="144"/>
  <c r="J177" i="144"/>
  <c r="J78" i="152"/>
  <c r="J22" i="152"/>
  <c r="J190" i="152"/>
  <c r="J134" i="152"/>
  <c r="J175" i="152"/>
  <c r="J119" i="152"/>
  <c r="J63" i="152"/>
  <c r="J7" i="152"/>
  <c r="J174" i="152"/>
  <c r="J118" i="152"/>
  <c r="J62" i="152"/>
  <c r="J6" i="152"/>
  <c r="J66" i="144"/>
  <c r="J10" i="144"/>
  <c r="J122" i="144"/>
  <c r="J178" i="144"/>
  <c r="J23" i="144"/>
  <c r="J191" i="144"/>
  <c r="J79" i="144"/>
  <c r="J135" i="144"/>
  <c r="I123" i="152"/>
  <c r="I179" i="152"/>
  <c r="J177" i="152"/>
  <c r="J9" i="152"/>
  <c r="J65" i="152"/>
  <c r="J121" i="152"/>
  <c r="J118" i="144"/>
  <c r="J62" i="144"/>
  <c r="J174" i="144"/>
  <c r="J6" i="144"/>
  <c r="K82" i="144"/>
  <c r="K26" i="144"/>
  <c r="K138" i="144"/>
  <c r="K194" i="144"/>
  <c r="I211" i="147"/>
  <c r="I207" i="152"/>
  <c r="I95" i="152"/>
  <c r="I151" i="152"/>
  <c r="I39" i="152"/>
  <c r="J213" i="144"/>
  <c r="J101" i="144"/>
  <c r="J157" i="144"/>
  <c r="J45" i="144"/>
  <c r="J135" i="152"/>
  <c r="J79" i="152"/>
  <c r="J23" i="152"/>
  <c r="J191" i="152"/>
  <c r="J209" i="152"/>
  <c r="J153" i="152"/>
  <c r="J97" i="152"/>
  <c r="J41" i="152"/>
  <c r="J213" i="152"/>
  <c r="J157" i="152"/>
  <c r="J101" i="152"/>
  <c r="J45" i="152"/>
  <c r="I67" i="152"/>
  <c r="I11" i="152"/>
  <c r="J137" i="144"/>
  <c r="J81" i="144"/>
  <c r="J25" i="144"/>
  <c r="J193" i="144"/>
  <c r="J43" i="152"/>
  <c r="J99" i="152"/>
  <c r="J211" i="152"/>
  <c r="J155" i="152"/>
  <c r="I229" i="134"/>
  <c r="I95" i="144"/>
  <c r="I151" i="144"/>
  <c r="I159" i="144" s="1"/>
  <c r="I207" i="144"/>
  <c r="I39" i="144"/>
  <c r="J175" i="144"/>
  <c r="J7" i="144"/>
  <c r="J119" i="144"/>
  <c r="J63" i="144"/>
  <c r="J192" i="152"/>
  <c r="J136" i="152"/>
  <c r="J80" i="152"/>
  <c r="J24" i="152"/>
  <c r="J173" i="152"/>
  <c r="J117" i="152"/>
  <c r="J5" i="152"/>
  <c r="J61" i="152"/>
  <c r="J195" i="144"/>
  <c r="J139" i="144"/>
  <c r="J83" i="144"/>
  <c r="J27" i="144"/>
  <c r="I138" i="147"/>
  <c r="I133" i="152"/>
  <c r="I141" i="152" s="1"/>
  <c r="I77" i="152"/>
  <c r="I85" i="152" s="1"/>
  <c r="I21" i="152"/>
  <c r="I29" i="152" s="1"/>
  <c r="I189" i="152"/>
  <c r="I197" i="152" s="1"/>
  <c r="I67" i="144"/>
  <c r="K42" i="144"/>
  <c r="K98" i="144"/>
  <c r="K154" i="144"/>
  <c r="K210" i="144"/>
  <c r="J176" i="144"/>
  <c r="J120" i="144"/>
  <c r="J64" i="144"/>
  <c r="J8" i="144"/>
  <c r="J172" i="144"/>
  <c r="J4" i="144"/>
  <c r="J116" i="144"/>
  <c r="J60" i="144"/>
  <c r="J44" i="152"/>
  <c r="J156" i="152"/>
  <c r="J212" i="152"/>
  <c r="J100" i="152"/>
  <c r="J122" i="152"/>
  <c r="J10" i="152"/>
  <c r="J178" i="152"/>
  <c r="J66" i="152"/>
  <c r="J61" i="144"/>
  <c r="J5" i="144"/>
  <c r="J173" i="144"/>
  <c r="J117" i="144"/>
  <c r="J139" i="152"/>
  <c r="J195" i="152"/>
  <c r="J27" i="152"/>
  <c r="J83" i="152"/>
  <c r="J208" i="152"/>
  <c r="J152" i="152"/>
  <c r="J96" i="152"/>
  <c r="J40" i="152"/>
  <c r="J134" i="144"/>
  <c r="J190" i="144"/>
  <c r="J78" i="144"/>
  <c r="J22" i="144"/>
  <c r="J176" i="152"/>
  <c r="J120" i="152"/>
  <c r="J8" i="152"/>
  <c r="J64" i="152"/>
  <c r="J193" i="152"/>
  <c r="J137" i="152"/>
  <c r="J81" i="152"/>
  <c r="J25" i="152"/>
  <c r="K194" i="152"/>
  <c r="K138" i="152"/>
  <c r="K82" i="152"/>
  <c r="K26" i="152"/>
  <c r="J60" i="152"/>
  <c r="J4" i="152"/>
  <c r="J172" i="152"/>
  <c r="J116" i="152"/>
  <c r="J211" i="144"/>
  <c r="J99" i="144"/>
  <c r="J43" i="144"/>
  <c r="J155" i="144"/>
  <c r="J192" i="144"/>
  <c r="J80" i="144"/>
  <c r="J24" i="144"/>
  <c r="J136" i="144"/>
  <c r="I133" i="144"/>
  <c r="I141" i="144" s="1"/>
  <c r="I189" i="144"/>
  <c r="I197" i="144" s="1"/>
  <c r="I77" i="144"/>
  <c r="I85" i="144" s="1"/>
  <c r="I21" i="144"/>
  <c r="I29" i="144" s="1"/>
  <c r="K59" i="144"/>
  <c r="K171" i="144"/>
  <c r="K3" i="144"/>
  <c r="K115" i="144"/>
  <c r="K171" i="152"/>
  <c r="K115" i="152"/>
  <c r="K3" i="152"/>
  <c r="K59" i="152"/>
  <c r="J28" i="152"/>
  <c r="J140" i="152"/>
  <c r="J196" i="152"/>
  <c r="J84" i="152"/>
  <c r="J140" i="144"/>
  <c r="J28" i="144"/>
  <c r="J196" i="144"/>
  <c r="J84" i="144"/>
  <c r="I150" i="134"/>
  <c r="J65" i="147"/>
  <c r="K70" i="138"/>
  <c r="J71" i="134"/>
  <c r="K58" i="134"/>
  <c r="K53" i="147"/>
  <c r="M87" i="137"/>
  <c r="M206" i="138"/>
  <c r="N51" i="137"/>
  <c r="K190" i="147"/>
  <c r="K217" i="138"/>
  <c r="K207" i="134"/>
  <c r="K148" i="134"/>
  <c r="N52" i="137"/>
  <c r="M207" i="138"/>
  <c r="M88" i="137"/>
  <c r="K136" i="147"/>
  <c r="L51" i="147"/>
  <c r="L56" i="134"/>
  <c r="L68" i="138"/>
  <c r="K62" i="147"/>
  <c r="K61" i="147"/>
  <c r="K204" i="147"/>
  <c r="K130" i="147"/>
  <c r="K132" i="147"/>
  <c r="M129" i="138"/>
  <c r="M76" i="137"/>
  <c r="N40" i="137"/>
  <c r="K206" i="147"/>
  <c r="J202" i="147"/>
  <c r="L52" i="134"/>
  <c r="L64" i="138"/>
  <c r="L47" i="147"/>
  <c r="K128" i="134"/>
  <c r="K139" i="138"/>
  <c r="K148" i="138" s="1"/>
  <c r="K136" i="138"/>
  <c r="K117" i="147"/>
  <c r="K153" i="138"/>
  <c r="L134" i="147"/>
  <c r="K65" i="134"/>
  <c r="J220" i="134"/>
  <c r="L121" i="147"/>
  <c r="L132" i="134"/>
  <c r="L143" i="138"/>
  <c r="K225" i="134"/>
  <c r="K59" i="147"/>
  <c r="M220" i="138"/>
  <c r="M210" i="134"/>
  <c r="M193" i="147"/>
  <c r="K57" i="147"/>
  <c r="K207" i="147"/>
  <c r="K63" i="147"/>
  <c r="M77" i="137"/>
  <c r="M130" i="138"/>
  <c r="N41" i="137"/>
  <c r="K143" i="134"/>
  <c r="M52" i="138"/>
  <c r="M65" i="137"/>
  <c r="N29" i="137"/>
  <c r="L74" i="137"/>
  <c r="L82" i="137" s="1"/>
  <c r="L127" i="138"/>
  <c r="K133" i="147"/>
  <c r="N31" i="137"/>
  <c r="M54" i="138"/>
  <c r="M67" i="137"/>
  <c r="K66" i="134"/>
  <c r="K208" i="147"/>
  <c r="M90" i="137"/>
  <c r="M209" i="138"/>
  <c r="N54" i="137"/>
  <c r="L49" i="147"/>
  <c r="L54" i="134"/>
  <c r="L66" i="138"/>
  <c r="L123" i="147"/>
  <c r="L145" i="138"/>
  <c r="L134" i="134"/>
  <c r="K68" i="134"/>
  <c r="L118" i="147"/>
  <c r="L129" i="134"/>
  <c r="L140" i="138"/>
  <c r="K144" i="134"/>
  <c r="L120" i="147"/>
  <c r="L142" i="138"/>
  <c r="L131" i="134"/>
  <c r="K131" i="147"/>
  <c r="N45" i="137"/>
  <c r="M134" i="138"/>
  <c r="M81" i="137"/>
  <c r="L146" i="134"/>
  <c r="K63" i="134"/>
  <c r="L67" i="138"/>
  <c r="L55" i="134"/>
  <c r="L50" i="147"/>
  <c r="N56" i="137"/>
  <c r="M92" i="137"/>
  <c r="M211" i="138"/>
  <c r="K226" i="134"/>
  <c r="L221" i="138"/>
  <c r="L211" i="134"/>
  <c r="L194" i="147"/>
  <c r="L223" i="134"/>
  <c r="K142" i="134"/>
  <c r="K222" i="134"/>
  <c r="L48" i="147"/>
  <c r="L53" i="134"/>
  <c r="L65" i="138"/>
  <c r="K224" i="134"/>
  <c r="N30" i="137"/>
  <c r="M66" i="137"/>
  <c r="M53" i="138"/>
  <c r="L119" i="147"/>
  <c r="L130" i="134"/>
  <c r="L141" i="138"/>
  <c r="J141" i="134"/>
  <c r="J155" i="134"/>
  <c r="J157" i="134" s="1"/>
  <c r="J137" i="134"/>
  <c r="M133" i="138"/>
  <c r="M80" i="137"/>
  <c r="N44" i="137"/>
  <c r="K58" i="147"/>
  <c r="M64" i="137"/>
  <c r="N28" i="137"/>
  <c r="M51" i="138"/>
  <c r="K69" i="134"/>
  <c r="L219" i="138"/>
  <c r="L209" i="134"/>
  <c r="L192" i="147"/>
  <c r="L58" i="137"/>
  <c r="M50" i="137"/>
  <c r="L205" i="138"/>
  <c r="L86" i="137"/>
  <c r="M56" i="138"/>
  <c r="M69" i="137"/>
  <c r="N33" i="137"/>
  <c r="K67" i="134"/>
  <c r="N39" i="137"/>
  <c r="M128" i="138"/>
  <c r="M75" i="137"/>
  <c r="K135" i="147"/>
  <c r="L124" i="147"/>
  <c r="L146" i="138"/>
  <c r="L135" i="134"/>
  <c r="K147" i="134"/>
  <c r="K70" i="147"/>
  <c r="K72" i="147" s="1"/>
  <c r="K145" i="134"/>
  <c r="J129" i="147"/>
  <c r="J126" i="147"/>
  <c r="J143" i="147"/>
  <c r="J145" i="147" s="1"/>
  <c r="K76" i="134"/>
  <c r="K78" i="134" s="1"/>
  <c r="K60" i="147"/>
  <c r="L196" i="147"/>
  <c r="L223" i="138"/>
  <c r="L213" i="134"/>
  <c r="M122" i="147"/>
  <c r="M133" i="134"/>
  <c r="M144" i="138"/>
  <c r="N32" i="137"/>
  <c r="M55" i="138"/>
  <c r="M68" i="137"/>
  <c r="O43" i="137"/>
  <c r="N132" i="138"/>
  <c r="N79" i="137"/>
  <c r="K64" i="134"/>
  <c r="L46" i="147"/>
  <c r="L63" i="138"/>
  <c r="L51" i="134"/>
  <c r="L56" i="147"/>
  <c r="M44" i="147"/>
  <c r="L62" i="134"/>
  <c r="M61" i="138"/>
  <c r="M49" i="134"/>
  <c r="O26" i="137"/>
  <c r="N49" i="138"/>
  <c r="N62" i="137"/>
  <c r="D46" i="137"/>
  <c r="AE70" i="162" l="1"/>
  <c r="AF106" i="129"/>
  <c r="AF162" i="129"/>
  <c r="AN47" i="129"/>
  <c r="AL41" i="129"/>
  <c r="AO40" i="129"/>
  <c r="AM40" i="129" s="1"/>
  <c r="AJ41" i="129"/>
  <c r="AP41" i="129" s="1"/>
  <c r="AF48" i="129"/>
  <c r="AM53" i="162"/>
  <c r="AI47" i="162"/>
  <c r="AO47" i="162" s="1"/>
  <c r="AK48" i="162"/>
  <c r="AN47" i="162"/>
  <c r="AL47" i="162" s="1"/>
  <c r="J226" i="138"/>
  <c r="M91" i="137"/>
  <c r="N55" i="137"/>
  <c r="N210" i="138" s="1"/>
  <c r="L212" i="134"/>
  <c r="L225" i="134" s="1"/>
  <c r="L195" i="147"/>
  <c r="L207" i="147" s="1"/>
  <c r="J44" i="144"/>
  <c r="J156" i="144"/>
  <c r="J212" i="144"/>
  <c r="I215" i="152"/>
  <c r="J208" i="144"/>
  <c r="J96" i="144"/>
  <c r="J40" i="144"/>
  <c r="L94" i="137"/>
  <c r="L191" i="147"/>
  <c r="L203" i="147" s="1"/>
  <c r="L208" i="134"/>
  <c r="L221" i="134" s="1"/>
  <c r="K208" i="134"/>
  <c r="K221" i="134" s="1"/>
  <c r="K208" i="144" s="1"/>
  <c r="K191" i="147"/>
  <c r="K203" i="147" s="1"/>
  <c r="K208" i="152" s="1"/>
  <c r="N208" i="138"/>
  <c r="N193" i="147" s="1"/>
  <c r="N89" i="137"/>
  <c r="K98" i="152"/>
  <c r="K42" i="152"/>
  <c r="K214" i="138"/>
  <c r="K226" i="138"/>
  <c r="K231" i="138"/>
  <c r="K154" i="152"/>
  <c r="L75" i="138"/>
  <c r="L45" i="147"/>
  <c r="L70" i="147" s="1"/>
  <c r="L72" i="147" s="1"/>
  <c r="L62" i="138"/>
  <c r="L70" i="138" s="1"/>
  <c r="I103" i="152"/>
  <c r="L50" i="134"/>
  <c r="L63" i="134" s="1"/>
  <c r="N27" i="137"/>
  <c r="N50" i="138" s="1"/>
  <c r="M34" i="137"/>
  <c r="I215" i="144"/>
  <c r="M50" i="138"/>
  <c r="M45" i="147" s="1"/>
  <c r="I159" i="152"/>
  <c r="I47" i="144"/>
  <c r="I47" i="152"/>
  <c r="J158" i="144"/>
  <c r="J216" i="147"/>
  <c r="J218" i="147" s="1"/>
  <c r="J199" i="147"/>
  <c r="I103" i="144"/>
  <c r="J158" i="152"/>
  <c r="J102" i="152"/>
  <c r="J216" i="134"/>
  <c r="J214" i="144"/>
  <c r="J46" i="144"/>
  <c r="J234" i="134"/>
  <c r="J236" i="134" s="1"/>
  <c r="J46" i="152"/>
  <c r="K224" i="138"/>
  <c r="K197" i="147"/>
  <c r="K209" i="147" s="1"/>
  <c r="K214" i="152" s="1"/>
  <c r="K214" i="134"/>
  <c r="K227" i="134" s="1"/>
  <c r="K46" i="144" s="1"/>
  <c r="L93" i="137"/>
  <c r="L212" i="138"/>
  <c r="M57" i="137"/>
  <c r="J123" i="144"/>
  <c r="J179" i="152"/>
  <c r="J123" i="152"/>
  <c r="J11" i="144"/>
  <c r="L194" i="152"/>
  <c r="L138" i="152"/>
  <c r="L82" i="152"/>
  <c r="L26" i="152"/>
  <c r="L82" i="144"/>
  <c r="L26" i="144"/>
  <c r="L138" i="144"/>
  <c r="L194" i="144"/>
  <c r="K177" i="152"/>
  <c r="K9" i="152"/>
  <c r="K65" i="152"/>
  <c r="K121" i="152"/>
  <c r="K60" i="152"/>
  <c r="K4" i="152"/>
  <c r="K172" i="152"/>
  <c r="K116" i="152"/>
  <c r="K45" i="152"/>
  <c r="K157" i="152"/>
  <c r="K213" i="152"/>
  <c r="K101" i="152"/>
  <c r="K66" i="144"/>
  <c r="K10" i="144"/>
  <c r="K122" i="144"/>
  <c r="K178" i="144"/>
  <c r="K193" i="152"/>
  <c r="K137" i="152"/>
  <c r="K81" i="152"/>
  <c r="K25" i="152"/>
  <c r="J211" i="147"/>
  <c r="J151" i="152"/>
  <c r="J207" i="152"/>
  <c r="J215" i="152" s="1"/>
  <c r="J39" i="152"/>
  <c r="J95" i="152"/>
  <c r="K177" i="144"/>
  <c r="K9" i="144"/>
  <c r="K65" i="144"/>
  <c r="K121" i="144"/>
  <c r="L42" i="152"/>
  <c r="L154" i="152"/>
  <c r="L98" i="152"/>
  <c r="L210" i="152"/>
  <c r="K122" i="152"/>
  <c r="K10" i="152"/>
  <c r="K66" i="152"/>
  <c r="K178" i="152"/>
  <c r="K137" i="144"/>
  <c r="K81" i="144"/>
  <c r="K193" i="144"/>
  <c r="K25" i="144"/>
  <c r="K61" i="144"/>
  <c r="K117" i="144"/>
  <c r="K5" i="144"/>
  <c r="K173" i="144"/>
  <c r="L210" i="144"/>
  <c r="L42" i="144"/>
  <c r="L154" i="144"/>
  <c r="L98" i="144"/>
  <c r="K62" i="152"/>
  <c r="K6" i="152"/>
  <c r="K118" i="152"/>
  <c r="K174" i="152"/>
  <c r="J179" i="144"/>
  <c r="K192" i="144"/>
  <c r="K80" i="144"/>
  <c r="K136" i="144"/>
  <c r="K24" i="144"/>
  <c r="K140" i="144"/>
  <c r="K196" i="144"/>
  <c r="K28" i="144"/>
  <c r="K84" i="144"/>
  <c r="K211" i="152"/>
  <c r="K155" i="152"/>
  <c r="K99" i="152"/>
  <c r="K43" i="152"/>
  <c r="K153" i="144"/>
  <c r="K41" i="144"/>
  <c r="K97" i="144"/>
  <c r="K209" i="144"/>
  <c r="K191" i="144"/>
  <c r="K135" i="144"/>
  <c r="K79" i="144"/>
  <c r="K23" i="144"/>
  <c r="J67" i="152"/>
  <c r="K78" i="152"/>
  <c r="K22" i="152"/>
  <c r="K134" i="152"/>
  <c r="K190" i="152"/>
  <c r="J189" i="144"/>
  <c r="J197" i="144" s="1"/>
  <c r="J133" i="144"/>
  <c r="J141" i="144" s="1"/>
  <c r="J77" i="144"/>
  <c r="J85" i="144" s="1"/>
  <c r="J21" i="144"/>
  <c r="J29" i="144" s="1"/>
  <c r="K195" i="144"/>
  <c r="K139" i="144"/>
  <c r="K27" i="144"/>
  <c r="K83" i="144"/>
  <c r="K84" i="152"/>
  <c r="K28" i="152"/>
  <c r="K140" i="152"/>
  <c r="K196" i="152"/>
  <c r="K213" i="144"/>
  <c r="K101" i="144"/>
  <c r="K157" i="144"/>
  <c r="K45" i="144"/>
  <c r="J67" i="144"/>
  <c r="K156" i="144"/>
  <c r="K212" i="144"/>
  <c r="K100" i="144"/>
  <c r="K44" i="144"/>
  <c r="K176" i="144"/>
  <c r="K120" i="144"/>
  <c r="K64" i="144"/>
  <c r="K8" i="144"/>
  <c r="K190" i="144"/>
  <c r="K134" i="144"/>
  <c r="K78" i="144"/>
  <c r="K22" i="144"/>
  <c r="K175" i="152"/>
  <c r="K119" i="152"/>
  <c r="K63" i="152"/>
  <c r="K7" i="152"/>
  <c r="J229" i="134"/>
  <c r="J151" i="144"/>
  <c r="J95" i="144"/>
  <c r="J39" i="144"/>
  <c r="J207" i="144"/>
  <c r="L171" i="152"/>
  <c r="L115" i="152"/>
  <c r="L3" i="152"/>
  <c r="L59" i="152"/>
  <c r="K97" i="152"/>
  <c r="K153" i="152"/>
  <c r="K41" i="152"/>
  <c r="K209" i="152"/>
  <c r="J138" i="147"/>
  <c r="J77" i="152"/>
  <c r="J85" i="152" s="1"/>
  <c r="J133" i="152"/>
  <c r="J141" i="152" s="1"/>
  <c r="J189" i="152"/>
  <c r="J197" i="152" s="1"/>
  <c r="J21" i="152"/>
  <c r="J29" i="152" s="1"/>
  <c r="K176" i="152"/>
  <c r="K120" i="152"/>
  <c r="K64" i="152"/>
  <c r="K8" i="152"/>
  <c r="K44" i="152"/>
  <c r="K100" i="152"/>
  <c r="K212" i="152"/>
  <c r="K156" i="152"/>
  <c r="K135" i="152"/>
  <c r="K79" i="152"/>
  <c r="K23" i="152"/>
  <c r="K191" i="152"/>
  <c r="K7" i="144"/>
  <c r="K63" i="144"/>
  <c r="K119" i="144"/>
  <c r="K175" i="144"/>
  <c r="K139" i="152"/>
  <c r="K27" i="152"/>
  <c r="K83" i="152"/>
  <c r="K195" i="152"/>
  <c r="K211" i="144"/>
  <c r="K99" i="144"/>
  <c r="K43" i="144"/>
  <c r="K155" i="144"/>
  <c r="K172" i="144"/>
  <c r="K116" i="144"/>
  <c r="K60" i="144"/>
  <c r="K4" i="144"/>
  <c r="K117" i="152"/>
  <c r="K61" i="152"/>
  <c r="K173" i="152"/>
  <c r="K5" i="152"/>
  <c r="L59" i="144"/>
  <c r="L171" i="144"/>
  <c r="L115" i="144"/>
  <c r="L3" i="144"/>
  <c r="K118" i="144"/>
  <c r="K62" i="144"/>
  <c r="K174" i="144"/>
  <c r="K6" i="144"/>
  <c r="K192" i="152"/>
  <c r="K24" i="152"/>
  <c r="K136" i="152"/>
  <c r="K80" i="152"/>
  <c r="J11" i="152"/>
  <c r="J150" i="134"/>
  <c r="M70" i="137"/>
  <c r="K71" i="134"/>
  <c r="K65" i="147"/>
  <c r="L130" i="147"/>
  <c r="M49" i="147"/>
  <c r="M54" i="134"/>
  <c r="M66" i="138"/>
  <c r="N122" i="147"/>
  <c r="N133" i="134"/>
  <c r="N144" i="138"/>
  <c r="N64" i="137"/>
  <c r="N51" i="138"/>
  <c r="O28" i="137"/>
  <c r="L117" i="147"/>
  <c r="L128" i="134"/>
  <c r="L139" i="138"/>
  <c r="L148" i="138" s="1"/>
  <c r="L136" i="138"/>
  <c r="L153" i="138"/>
  <c r="N68" i="137"/>
  <c r="O32" i="137"/>
  <c r="N55" i="138"/>
  <c r="L131" i="147"/>
  <c r="L147" i="134"/>
  <c r="N65" i="137"/>
  <c r="O29" i="137"/>
  <c r="N52" i="138"/>
  <c r="O208" i="138"/>
  <c r="O89" i="137"/>
  <c r="P53" i="137"/>
  <c r="M53" i="134"/>
  <c r="M65" i="138"/>
  <c r="M48" i="147"/>
  <c r="M209" i="134"/>
  <c r="M192" i="147"/>
  <c r="M219" i="138"/>
  <c r="L206" i="147"/>
  <c r="L135" i="147"/>
  <c r="M64" i="138"/>
  <c r="M47" i="147"/>
  <c r="M52" i="134"/>
  <c r="K143" i="147"/>
  <c r="K145" i="147" s="1"/>
  <c r="K129" i="147"/>
  <c r="K126" i="147"/>
  <c r="N88" i="137"/>
  <c r="N207" i="138"/>
  <c r="O52" i="137"/>
  <c r="M146" i="134"/>
  <c r="N56" i="138"/>
  <c r="O33" i="137"/>
  <c r="N69" i="137"/>
  <c r="N53" i="138"/>
  <c r="N66" i="137"/>
  <c r="O30" i="137"/>
  <c r="L224" i="134"/>
  <c r="M124" i="147"/>
  <c r="M135" i="134"/>
  <c r="M146" i="138"/>
  <c r="L142" i="134"/>
  <c r="M118" i="147"/>
  <c r="M129" i="134"/>
  <c r="M140" i="138"/>
  <c r="N128" i="138"/>
  <c r="O39" i="137"/>
  <c r="N75" i="137"/>
  <c r="L63" i="147"/>
  <c r="P43" i="137"/>
  <c r="O79" i="137"/>
  <c r="O132" i="138"/>
  <c r="M195" i="147"/>
  <c r="M222" i="138"/>
  <c r="M212" i="134"/>
  <c r="M205" i="147"/>
  <c r="M119" i="147"/>
  <c r="M141" i="138"/>
  <c r="M130" i="134"/>
  <c r="M223" i="134"/>
  <c r="M67" i="138"/>
  <c r="M50" i="147"/>
  <c r="M55" i="134"/>
  <c r="L143" i="134"/>
  <c r="M134" i="147"/>
  <c r="O45" i="137"/>
  <c r="N134" i="138"/>
  <c r="N81" i="137"/>
  <c r="L67" i="134"/>
  <c r="L226" i="134"/>
  <c r="M51" i="147"/>
  <c r="M68" i="138"/>
  <c r="M56" i="134"/>
  <c r="L61" i="147"/>
  <c r="K155" i="134"/>
  <c r="K157" i="134" s="1"/>
  <c r="K141" i="134"/>
  <c r="K137" i="134"/>
  <c r="N133" i="138"/>
  <c r="N80" i="137"/>
  <c r="O44" i="137"/>
  <c r="O54" i="137"/>
  <c r="N209" i="138"/>
  <c r="N90" i="137"/>
  <c r="L59" i="147"/>
  <c r="M63" i="138"/>
  <c r="M46" i="147"/>
  <c r="M51" i="134"/>
  <c r="N54" i="138"/>
  <c r="N67" i="137"/>
  <c r="O31" i="137"/>
  <c r="L214" i="138"/>
  <c r="L217" i="138"/>
  <c r="L226" i="138" s="1"/>
  <c r="L231" i="138"/>
  <c r="L207" i="134"/>
  <c r="L190" i="147"/>
  <c r="L66" i="134"/>
  <c r="M196" i="147"/>
  <c r="M223" i="138"/>
  <c r="M213" i="134"/>
  <c r="K220" i="134"/>
  <c r="N92" i="137"/>
  <c r="O56" i="137"/>
  <c r="N211" i="138"/>
  <c r="M120" i="147"/>
  <c r="M142" i="138"/>
  <c r="M131" i="134"/>
  <c r="L133" i="147"/>
  <c r="K202" i="147"/>
  <c r="L64" i="134"/>
  <c r="L136" i="147"/>
  <c r="L204" i="147"/>
  <c r="L62" i="147"/>
  <c r="O51" i="137"/>
  <c r="N87" i="137"/>
  <c r="N206" i="138"/>
  <c r="O40" i="137"/>
  <c r="N76" i="137"/>
  <c r="N129" i="138"/>
  <c r="L208" i="147"/>
  <c r="L144" i="134"/>
  <c r="M221" i="138"/>
  <c r="M194" i="147"/>
  <c r="M211" i="134"/>
  <c r="M86" i="137"/>
  <c r="M205" i="138"/>
  <c r="M58" i="137"/>
  <c r="N50" i="137"/>
  <c r="M123" i="147"/>
  <c r="M145" i="138"/>
  <c r="M134" i="134"/>
  <c r="L145" i="134"/>
  <c r="L222" i="134"/>
  <c r="L68" i="134"/>
  <c r="M218" i="138"/>
  <c r="M191" i="147"/>
  <c r="M208" i="134"/>
  <c r="L69" i="134"/>
  <c r="L148" i="134"/>
  <c r="L60" i="147"/>
  <c r="O41" i="137"/>
  <c r="N77" i="137"/>
  <c r="N130" i="138"/>
  <c r="L65" i="134"/>
  <c r="L132" i="147"/>
  <c r="L58" i="147"/>
  <c r="N44" i="147"/>
  <c r="M56" i="147"/>
  <c r="M62" i="134"/>
  <c r="N61" i="138"/>
  <c r="N49" i="134"/>
  <c r="O62" i="137"/>
  <c r="O49" i="138"/>
  <c r="P26" i="137"/>
  <c r="E46" i="137"/>
  <c r="AE71" i="162" l="1"/>
  <c r="AF107" i="129"/>
  <c r="AF163" i="129"/>
  <c r="AN48" i="129"/>
  <c r="AL42" i="129"/>
  <c r="AO41" i="129"/>
  <c r="AM41" i="129" s="1"/>
  <c r="AJ42" i="129"/>
  <c r="AP42" i="129" s="1"/>
  <c r="AF49" i="129"/>
  <c r="AN48" i="162"/>
  <c r="AL48" i="162" s="1"/>
  <c r="AK49" i="162"/>
  <c r="AI48" i="162"/>
  <c r="AO48" i="162" s="1"/>
  <c r="AM54" i="162"/>
  <c r="N91" i="137"/>
  <c r="O55" i="137"/>
  <c r="O210" i="138" s="1"/>
  <c r="J103" i="144"/>
  <c r="M94" i="137"/>
  <c r="N210" i="134"/>
  <c r="N223" i="134" s="1"/>
  <c r="N220" i="138"/>
  <c r="K96" i="152"/>
  <c r="K40" i="152"/>
  <c r="K152" i="152"/>
  <c r="K96" i="144"/>
  <c r="K152" i="144"/>
  <c r="K40" i="144"/>
  <c r="L53" i="147"/>
  <c r="L57" i="147"/>
  <c r="L60" i="152" s="1"/>
  <c r="L76" i="134"/>
  <c r="L78" i="134" s="1"/>
  <c r="L58" i="134"/>
  <c r="N34" i="137"/>
  <c r="N63" i="137"/>
  <c r="N70" i="137" s="1"/>
  <c r="J159" i="144"/>
  <c r="M62" i="138"/>
  <c r="M70" i="138" s="1"/>
  <c r="M50" i="134"/>
  <c r="M76" i="134" s="1"/>
  <c r="M78" i="134" s="1"/>
  <c r="J159" i="152"/>
  <c r="M75" i="138"/>
  <c r="M58" i="138"/>
  <c r="O27" i="137"/>
  <c r="O63" i="137" s="1"/>
  <c r="J47" i="144"/>
  <c r="J47" i="152"/>
  <c r="J215" i="144"/>
  <c r="J103" i="152"/>
  <c r="K216" i="134"/>
  <c r="K234" i="134"/>
  <c r="K236" i="134" s="1"/>
  <c r="K102" i="152"/>
  <c r="K199" i="147"/>
  <c r="K158" i="152"/>
  <c r="K216" i="147"/>
  <c r="K218" i="147" s="1"/>
  <c r="K158" i="144"/>
  <c r="K46" i="152"/>
  <c r="K214" i="144"/>
  <c r="K102" i="144"/>
  <c r="L224" i="138"/>
  <c r="L214" i="134"/>
  <c r="L227" i="134" s="1"/>
  <c r="L214" i="144" s="1"/>
  <c r="L197" i="147"/>
  <c r="L209" i="147" s="1"/>
  <c r="L46" i="152" s="1"/>
  <c r="N57" i="137"/>
  <c r="M93" i="137"/>
  <c r="M212" i="138"/>
  <c r="K123" i="144"/>
  <c r="K67" i="152"/>
  <c r="K123" i="152"/>
  <c r="K11" i="144"/>
  <c r="K67" i="144"/>
  <c r="K179" i="144"/>
  <c r="K179" i="152"/>
  <c r="K11" i="152"/>
  <c r="L60" i="144"/>
  <c r="L172" i="144"/>
  <c r="L116" i="144"/>
  <c r="L4" i="144"/>
  <c r="L45" i="152"/>
  <c r="L157" i="152"/>
  <c r="L213" i="152"/>
  <c r="L101" i="152"/>
  <c r="M194" i="152"/>
  <c r="M82" i="152"/>
  <c r="M26" i="152"/>
  <c r="M138" i="152"/>
  <c r="L212" i="144"/>
  <c r="L156" i="144"/>
  <c r="L44" i="144"/>
  <c r="L100" i="144"/>
  <c r="L177" i="144"/>
  <c r="L65" i="144"/>
  <c r="L9" i="144"/>
  <c r="L121" i="144"/>
  <c r="L209" i="144"/>
  <c r="L41" i="144"/>
  <c r="L97" i="144"/>
  <c r="L153" i="144"/>
  <c r="K138" i="147"/>
  <c r="K77" i="152"/>
  <c r="K85" i="152" s="1"/>
  <c r="K189" i="152"/>
  <c r="K197" i="152" s="1"/>
  <c r="K133" i="152"/>
  <c r="K141" i="152" s="1"/>
  <c r="K21" i="152"/>
  <c r="K29" i="152" s="1"/>
  <c r="L84" i="152"/>
  <c r="L28" i="152"/>
  <c r="L196" i="152"/>
  <c r="L140" i="152"/>
  <c r="K189" i="144"/>
  <c r="K197" i="144" s="1"/>
  <c r="K21" i="144"/>
  <c r="K29" i="144" s="1"/>
  <c r="K77" i="144"/>
  <c r="K85" i="144" s="1"/>
  <c r="K133" i="144"/>
  <c r="K141" i="144" s="1"/>
  <c r="M42" i="152"/>
  <c r="M154" i="152"/>
  <c r="M210" i="152"/>
  <c r="M98" i="152"/>
  <c r="L24" i="152"/>
  <c r="L192" i="152"/>
  <c r="L136" i="152"/>
  <c r="L80" i="152"/>
  <c r="L43" i="144"/>
  <c r="L211" i="144"/>
  <c r="L99" i="144"/>
  <c r="L155" i="144"/>
  <c r="L176" i="144"/>
  <c r="L120" i="144"/>
  <c r="L64" i="144"/>
  <c r="L8" i="144"/>
  <c r="L192" i="144"/>
  <c r="L136" i="144"/>
  <c r="L80" i="144"/>
  <c r="L24" i="144"/>
  <c r="L140" i="144"/>
  <c r="L84" i="144"/>
  <c r="L196" i="144"/>
  <c r="L28" i="144"/>
  <c r="L6" i="152"/>
  <c r="L118" i="152"/>
  <c r="L62" i="152"/>
  <c r="L174" i="152"/>
  <c r="L66" i="144"/>
  <c r="L10" i="144"/>
  <c r="L178" i="144"/>
  <c r="L122" i="144"/>
  <c r="L175" i="144"/>
  <c r="L63" i="144"/>
  <c r="L7" i="144"/>
  <c r="L119" i="144"/>
  <c r="L61" i="144"/>
  <c r="L117" i="144"/>
  <c r="L173" i="144"/>
  <c r="L5" i="144"/>
  <c r="M210" i="144"/>
  <c r="M154" i="144"/>
  <c r="M42" i="144"/>
  <c r="M98" i="144"/>
  <c r="L195" i="144"/>
  <c r="L27" i="144"/>
  <c r="L139" i="144"/>
  <c r="L83" i="144"/>
  <c r="L117" i="152"/>
  <c r="L61" i="152"/>
  <c r="L173" i="152"/>
  <c r="L5" i="152"/>
  <c r="L195" i="152"/>
  <c r="L139" i="152"/>
  <c r="L83" i="152"/>
  <c r="L27" i="152"/>
  <c r="L101" i="144"/>
  <c r="L213" i="144"/>
  <c r="L45" i="144"/>
  <c r="L157" i="144"/>
  <c r="L62" i="144"/>
  <c r="L118" i="144"/>
  <c r="L174" i="144"/>
  <c r="L6" i="144"/>
  <c r="L212" i="152"/>
  <c r="L156" i="152"/>
  <c r="L100" i="152"/>
  <c r="L44" i="152"/>
  <c r="L7" i="152"/>
  <c r="L119" i="152"/>
  <c r="L63" i="152"/>
  <c r="L175" i="152"/>
  <c r="K229" i="134"/>
  <c r="K151" i="144"/>
  <c r="K95" i="144"/>
  <c r="K207" i="144"/>
  <c r="K39" i="144"/>
  <c r="M138" i="144"/>
  <c r="M82" i="144"/>
  <c r="M26" i="144"/>
  <c r="M194" i="144"/>
  <c r="L135" i="144"/>
  <c r="L79" i="144"/>
  <c r="L23" i="144"/>
  <c r="L191" i="144"/>
  <c r="L97" i="152"/>
  <c r="L41" i="152"/>
  <c r="L209" i="152"/>
  <c r="L153" i="152"/>
  <c r="M3" i="144"/>
  <c r="M115" i="144"/>
  <c r="M59" i="144"/>
  <c r="M171" i="144"/>
  <c r="L176" i="152"/>
  <c r="L120" i="152"/>
  <c r="L64" i="152"/>
  <c r="L8" i="152"/>
  <c r="L190" i="144"/>
  <c r="L134" i="144"/>
  <c r="L78" i="144"/>
  <c r="L22" i="144"/>
  <c r="L191" i="152"/>
  <c r="L79" i="152"/>
  <c r="L23" i="152"/>
  <c r="L135" i="152"/>
  <c r="L137" i="152"/>
  <c r="L25" i="152"/>
  <c r="L81" i="152"/>
  <c r="L193" i="152"/>
  <c r="L211" i="152"/>
  <c r="L155" i="152"/>
  <c r="L99" i="152"/>
  <c r="L43" i="152"/>
  <c r="L134" i="152"/>
  <c r="L22" i="152"/>
  <c r="L190" i="152"/>
  <c r="L78" i="152"/>
  <c r="L122" i="152"/>
  <c r="L10" i="152"/>
  <c r="L178" i="152"/>
  <c r="L66" i="152"/>
  <c r="L208" i="144"/>
  <c r="L96" i="144"/>
  <c r="L152" i="144"/>
  <c r="L40" i="144"/>
  <c r="L177" i="152"/>
  <c r="L121" i="152"/>
  <c r="L65" i="152"/>
  <c r="L9" i="152"/>
  <c r="L137" i="144"/>
  <c r="L193" i="144"/>
  <c r="L25" i="144"/>
  <c r="L81" i="144"/>
  <c r="M115" i="152"/>
  <c r="M171" i="152"/>
  <c r="M3" i="152"/>
  <c r="M59" i="152"/>
  <c r="K211" i="147"/>
  <c r="K151" i="152"/>
  <c r="K207" i="152"/>
  <c r="K215" i="152" s="1"/>
  <c r="K95" i="152"/>
  <c r="K39" i="152"/>
  <c r="L208" i="152"/>
  <c r="L152" i="152"/>
  <c r="L40" i="152"/>
  <c r="L96" i="152"/>
  <c r="K150" i="134"/>
  <c r="L71" i="134"/>
  <c r="M53" i="147"/>
  <c r="M203" i="147"/>
  <c r="N123" i="147"/>
  <c r="N145" i="138"/>
  <c r="N134" i="134"/>
  <c r="M204" i="147"/>
  <c r="O207" i="138"/>
  <c r="O88" i="137"/>
  <c r="P52" i="137"/>
  <c r="M222" i="134"/>
  <c r="N119" i="147"/>
  <c r="N141" i="138"/>
  <c r="N130" i="134"/>
  <c r="N63" i="138"/>
  <c r="N46" i="147"/>
  <c r="N51" i="134"/>
  <c r="M132" i="147"/>
  <c r="N208" i="134"/>
  <c r="N218" i="138"/>
  <c r="N191" i="147"/>
  <c r="N223" i="138"/>
  <c r="N196" i="147"/>
  <c r="N213" i="134"/>
  <c r="O91" i="137"/>
  <c r="N146" i="134"/>
  <c r="M147" i="134"/>
  <c r="M58" i="147"/>
  <c r="P89" i="137"/>
  <c r="P208" i="138"/>
  <c r="Q53" i="137"/>
  <c r="M135" i="147"/>
  <c r="M69" i="134"/>
  <c r="M136" i="147"/>
  <c r="N62" i="138"/>
  <c r="N45" i="147"/>
  <c r="N50" i="134"/>
  <c r="M67" i="134"/>
  <c r="O77" i="137"/>
  <c r="O130" i="138"/>
  <c r="P41" i="137"/>
  <c r="N205" i="138"/>
  <c r="N86" i="137"/>
  <c r="O50" i="137"/>
  <c r="N58" i="137"/>
  <c r="Q43" i="137"/>
  <c r="P79" i="137"/>
  <c r="P132" i="138"/>
  <c r="M65" i="134"/>
  <c r="O210" i="134"/>
  <c r="O193" i="147"/>
  <c r="O220" i="138"/>
  <c r="M61" i="147"/>
  <c r="N58" i="138"/>
  <c r="M63" i="147"/>
  <c r="M59" i="147"/>
  <c r="N64" i="138"/>
  <c r="N47" i="147"/>
  <c r="N52" i="134"/>
  <c r="M190" i="147"/>
  <c r="M231" i="138"/>
  <c r="M217" i="138"/>
  <c r="M226" i="138" s="1"/>
  <c r="M207" i="134"/>
  <c r="M214" i="138"/>
  <c r="M226" i="134"/>
  <c r="N205" i="147"/>
  <c r="O53" i="138"/>
  <c r="O66" i="137"/>
  <c r="P30" i="137"/>
  <c r="P29" i="137"/>
  <c r="O52" i="138"/>
  <c r="O65" i="137"/>
  <c r="P40" i="137"/>
  <c r="O76" i="137"/>
  <c r="O129" i="138"/>
  <c r="P31" i="137"/>
  <c r="O67" i="137"/>
  <c r="O54" i="138"/>
  <c r="M225" i="134"/>
  <c r="O134" i="138"/>
  <c r="O81" i="137"/>
  <c r="P45" i="137"/>
  <c r="P32" i="137"/>
  <c r="O68" i="137"/>
  <c r="O55" i="138"/>
  <c r="N209" i="134"/>
  <c r="N192" i="147"/>
  <c r="N219" i="138"/>
  <c r="M64" i="134"/>
  <c r="O122" i="147"/>
  <c r="O133" i="134"/>
  <c r="O144" i="138"/>
  <c r="M206" i="147"/>
  <c r="N211" i="134"/>
  <c r="N194" i="147"/>
  <c r="N221" i="138"/>
  <c r="O69" i="137"/>
  <c r="O56" i="138"/>
  <c r="P33" i="137"/>
  <c r="M70" i="147"/>
  <c r="M72" i="147" s="1"/>
  <c r="O206" i="138"/>
  <c r="P51" i="137"/>
  <c r="O87" i="137"/>
  <c r="N120" i="147"/>
  <c r="N131" i="134"/>
  <c r="N142" i="138"/>
  <c r="M148" i="134"/>
  <c r="L202" i="147"/>
  <c r="M131" i="147"/>
  <c r="M142" i="134"/>
  <c r="N51" i="147"/>
  <c r="N56" i="134"/>
  <c r="N68" i="138"/>
  <c r="L155" i="134"/>
  <c r="L157" i="134" s="1"/>
  <c r="L141" i="134"/>
  <c r="L137" i="134"/>
  <c r="M57" i="147"/>
  <c r="N124" i="147"/>
  <c r="N135" i="134"/>
  <c r="N146" i="138"/>
  <c r="N50" i="147"/>
  <c r="N67" i="138"/>
  <c r="N55" i="134"/>
  <c r="M144" i="134"/>
  <c r="M207" i="147"/>
  <c r="M60" i="147"/>
  <c r="P28" i="137"/>
  <c r="O51" i="138"/>
  <c r="O64" i="137"/>
  <c r="M66" i="134"/>
  <c r="P56" i="137"/>
  <c r="O92" i="137"/>
  <c r="O211" i="138"/>
  <c r="N49" i="147"/>
  <c r="N66" i="138"/>
  <c r="N54" i="134"/>
  <c r="N222" i="138"/>
  <c r="N212" i="134"/>
  <c r="N195" i="147"/>
  <c r="M68" i="134"/>
  <c r="N134" i="147"/>
  <c r="M62" i="147"/>
  <c r="M208" i="147"/>
  <c r="O75" i="137"/>
  <c r="O128" i="138"/>
  <c r="P39" i="137"/>
  <c r="N65" i="138"/>
  <c r="N53" i="134"/>
  <c r="N48" i="147"/>
  <c r="M224" i="134"/>
  <c r="M143" i="134"/>
  <c r="N118" i="147"/>
  <c r="N129" i="134"/>
  <c r="N140" i="138"/>
  <c r="N75" i="138"/>
  <c r="O90" i="137"/>
  <c r="P54" i="137"/>
  <c r="O209" i="138"/>
  <c r="M221" i="134"/>
  <c r="L220" i="134"/>
  <c r="P44" i="137"/>
  <c r="O80" i="137"/>
  <c r="O133" i="138"/>
  <c r="M130" i="147"/>
  <c r="L143" i="147"/>
  <c r="L145" i="147" s="1"/>
  <c r="L129" i="147"/>
  <c r="L126" i="147"/>
  <c r="N56" i="147"/>
  <c r="O44" i="147"/>
  <c r="N62" i="134"/>
  <c r="O61" i="138"/>
  <c r="O49" i="134"/>
  <c r="P49" i="138"/>
  <c r="P62" i="137"/>
  <c r="Q26" i="137"/>
  <c r="F46" i="137"/>
  <c r="AE72" i="162" l="1"/>
  <c r="AF108" i="129"/>
  <c r="AF164" i="129"/>
  <c r="AN49" i="129"/>
  <c r="AL43" i="129"/>
  <c r="AJ43" i="129" s="1"/>
  <c r="AP43" i="129" s="1"/>
  <c r="AO42" i="129"/>
  <c r="AM42" i="129" s="1"/>
  <c r="AF50" i="129"/>
  <c r="AM55" i="162"/>
  <c r="AK50" i="162"/>
  <c r="AN49" i="162"/>
  <c r="AL49" i="162" s="1"/>
  <c r="AI49" i="162"/>
  <c r="AO49" i="162" s="1"/>
  <c r="P55" i="137"/>
  <c r="P91" i="137" s="1"/>
  <c r="N94" i="137"/>
  <c r="K47" i="144"/>
  <c r="L65" i="147"/>
  <c r="L4" i="152"/>
  <c r="L11" i="152" s="1"/>
  <c r="L116" i="152"/>
  <c r="L123" i="152" s="1"/>
  <c r="L172" i="152"/>
  <c r="L179" i="152" s="1"/>
  <c r="M63" i="134"/>
  <c r="M71" i="134" s="1"/>
  <c r="M58" i="134"/>
  <c r="O34" i="137"/>
  <c r="P27" i="137"/>
  <c r="P50" i="138" s="1"/>
  <c r="O50" i="138"/>
  <c r="O50" i="134" s="1"/>
  <c r="L158" i="144"/>
  <c r="K47" i="152"/>
  <c r="L102" i="144"/>
  <c r="L46" i="144"/>
  <c r="K159" i="152"/>
  <c r="L199" i="147"/>
  <c r="K103" i="152"/>
  <c r="L234" i="134"/>
  <c r="L236" i="134" s="1"/>
  <c r="L216" i="134"/>
  <c r="L102" i="152"/>
  <c r="L216" i="147"/>
  <c r="L218" i="147" s="1"/>
  <c r="L158" i="152"/>
  <c r="L214" i="152"/>
  <c r="K159" i="144"/>
  <c r="K215" i="144"/>
  <c r="K103" i="144"/>
  <c r="N212" i="138"/>
  <c r="O57" i="137"/>
  <c r="N93" i="137"/>
  <c r="M197" i="147"/>
  <c r="M209" i="147" s="1"/>
  <c r="M214" i="152" s="1"/>
  <c r="M214" i="134"/>
  <c r="M227" i="134" s="1"/>
  <c r="M214" i="144" s="1"/>
  <c r="M224" i="138"/>
  <c r="L179" i="144"/>
  <c r="L123" i="144"/>
  <c r="L67" i="152"/>
  <c r="L11" i="144"/>
  <c r="L67" i="144"/>
  <c r="M43" i="152"/>
  <c r="M211" i="152"/>
  <c r="M99" i="152"/>
  <c r="M155" i="152"/>
  <c r="M40" i="152"/>
  <c r="M96" i="152"/>
  <c r="M152" i="152"/>
  <c r="M208" i="152"/>
  <c r="M63" i="152"/>
  <c r="M175" i="152"/>
  <c r="M119" i="152"/>
  <c r="M7" i="152"/>
  <c r="L211" i="147"/>
  <c r="L151" i="152"/>
  <c r="L207" i="152"/>
  <c r="L39" i="152"/>
  <c r="L47" i="152" s="1"/>
  <c r="L95" i="152"/>
  <c r="L229" i="134"/>
  <c r="L207" i="144"/>
  <c r="L215" i="144" s="1"/>
  <c r="L151" i="144"/>
  <c r="L95" i="144"/>
  <c r="L39" i="144"/>
  <c r="M212" i="152"/>
  <c r="M156" i="152"/>
  <c r="M100" i="152"/>
  <c r="M44" i="152"/>
  <c r="M196" i="152"/>
  <c r="M140" i="152"/>
  <c r="M84" i="152"/>
  <c r="M28" i="152"/>
  <c r="M152" i="144"/>
  <c r="M208" i="144"/>
  <c r="M96" i="144"/>
  <c r="M40" i="144"/>
  <c r="M213" i="152"/>
  <c r="M157" i="152"/>
  <c r="M101" i="152"/>
  <c r="M45" i="152"/>
  <c r="M192" i="144"/>
  <c r="M136" i="144"/>
  <c r="M80" i="144"/>
  <c r="M24" i="144"/>
  <c r="M196" i="144"/>
  <c r="M84" i="144"/>
  <c r="M28" i="144"/>
  <c r="M140" i="144"/>
  <c r="M120" i="152"/>
  <c r="M176" i="152"/>
  <c r="M8" i="152"/>
  <c r="M64" i="152"/>
  <c r="M178" i="144"/>
  <c r="M66" i="144"/>
  <c r="M122" i="144"/>
  <c r="M10" i="144"/>
  <c r="M136" i="152"/>
  <c r="M192" i="152"/>
  <c r="M24" i="152"/>
  <c r="M80" i="152"/>
  <c r="M41" i="144"/>
  <c r="M153" i="144"/>
  <c r="M97" i="144"/>
  <c r="M209" i="144"/>
  <c r="M5" i="152"/>
  <c r="M117" i="152"/>
  <c r="M61" i="152"/>
  <c r="M173" i="152"/>
  <c r="L189" i="144"/>
  <c r="L197" i="144" s="1"/>
  <c r="L77" i="144"/>
  <c r="L85" i="144" s="1"/>
  <c r="L21" i="144"/>
  <c r="L29" i="144" s="1"/>
  <c r="L133" i="144"/>
  <c r="L141" i="144" s="1"/>
  <c r="M43" i="144"/>
  <c r="M211" i="144"/>
  <c r="M99" i="144"/>
  <c r="M155" i="144"/>
  <c r="M212" i="144"/>
  <c r="M156" i="144"/>
  <c r="M44" i="144"/>
  <c r="M100" i="144"/>
  <c r="M134" i="152"/>
  <c r="M22" i="152"/>
  <c r="M190" i="152"/>
  <c r="M78" i="152"/>
  <c r="M63" i="144"/>
  <c r="M175" i="144"/>
  <c r="M7" i="144"/>
  <c r="M119" i="144"/>
  <c r="M174" i="152"/>
  <c r="M62" i="152"/>
  <c r="M6" i="152"/>
  <c r="M118" i="152"/>
  <c r="M177" i="152"/>
  <c r="M121" i="152"/>
  <c r="M65" i="152"/>
  <c r="M9" i="152"/>
  <c r="M177" i="144"/>
  <c r="M9" i="144"/>
  <c r="M65" i="144"/>
  <c r="M121" i="144"/>
  <c r="M62" i="144"/>
  <c r="M118" i="144"/>
  <c r="M6" i="144"/>
  <c r="M174" i="144"/>
  <c r="M172" i="152"/>
  <c r="M116" i="152"/>
  <c r="M60" i="152"/>
  <c r="M4" i="152"/>
  <c r="N115" i="152"/>
  <c r="N59" i="152"/>
  <c r="N171" i="152"/>
  <c r="N3" i="152"/>
  <c r="N194" i="144"/>
  <c r="N138" i="144"/>
  <c r="N82" i="144"/>
  <c r="N26" i="144"/>
  <c r="M190" i="144"/>
  <c r="M78" i="144"/>
  <c r="M22" i="144"/>
  <c r="M134" i="144"/>
  <c r="M79" i="152"/>
  <c r="M23" i="152"/>
  <c r="M191" i="152"/>
  <c r="M135" i="152"/>
  <c r="N210" i="144"/>
  <c r="N42" i="144"/>
  <c r="N154" i="144"/>
  <c r="N98" i="144"/>
  <c r="M178" i="152"/>
  <c r="M122" i="152"/>
  <c r="M66" i="152"/>
  <c r="M10" i="152"/>
  <c r="N194" i="152"/>
  <c r="N82" i="152"/>
  <c r="N138" i="152"/>
  <c r="N26" i="152"/>
  <c r="N42" i="152"/>
  <c r="N154" i="152"/>
  <c r="N98" i="152"/>
  <c r="N210" i="152"/>
  <c r="M135" i="144"/>
  <c r="M79" i="144"/>
  <c r="M23" i="144"/>
  <c r="M191" i="144"/>
  <c r="M195" i="144"/>
  <c r="M139" i="144"/>
  <c r="M27" i="144"/>
  <c r="M83" i="144"/>
  <c r="L138" i="147"/>
  <c r="L21" i="152"/>
  <c r="L29" i="152" s="1"/>
  <c r="L77" i="152"/>
  <c r="L85" i="152" s="1"/>
  <c r="L133" i="152"/>
  <c r="L141" i="152" s="1"/>
  <c r="L189" i="152"/>
  <c r="L197" i="152" s="1"/>
  <c r="M41" i="152"/>
  <c r="M97" i="152"/>
  <c r="M153" i="152"/>
  <c r="M209" i="152"/>
  <c r="M64" i="144"/>
  <c r="M176" i="144"/>
  <c r="M120" i="144"/>
  <c r="M8" i="144"/>
  <c r="M195" i="152"/>
  <c r="M139" i="152"/>
  <c r="M83" i="152"/>
  <c r="M27" i="152"/>
  <c r="M173" i="144"/>
  <c r="M61" i="144"/>
  <c r="M117" i="144"/>
  <c r="M5" i="144"/>
  <c r="N3" i="144"/>
  <c r="N115" i="144"/>
  <c r="N59" i="144"/>
  <c r="N171" i="144"/>
  <c r="M213" i="144"/>
  <c r="M45" i="144"/>
  <c r="M101" i="144"/>
  <c r="M157" i="144"/>
  <c r="L150" i="134"/>
  <c r="N58" i="134"/>
  <c r="N70" i="147"/>
  <c r="N72" i="147" s="1"/>
  <c r="O70" i="137"/>
  <c r="M65" i="147"/>
  <c r="N76" i="134"/>
  <c r="N78" i="134" s="1"/>
  <c r="N70" i="138"/>
  <c r="O64" i="138"/>
  <c r="O47" i="147"/>
  <c r="O52" i="134"/>
  <c r="P210" i="134"/>
  <c r="P220" i="138"/>
  <c r="P193" i="147"/>
  <c r="O51" i="134"/>
  <c r="O46" i="147"/>
  <c r="O63" i="138"/>
  <c r="P52" i="138"/>
  <c r="P65" i="137"/>
  <c r="Q29" i="137"/>
  <c r="Q28" i="137"/>
  <c r="P51" i="138"/>
  <c r="P64" i="137"/>
  <c r="N69" i="134"/>
  <c r="N225" i="134"/>
  <c r="O51" i="147"/>
  <c r="O68" i="138"/>
  <c r="O56" i="134"/>
  <c r="O194" i="147"/>
  <c r="O211" i="134"/>
  <c r="O221" i="138"/>
  <c r="Q32" i="137"/>
  <c r="P68" i="137"/>
  <c r="P55" i="138"/>
  <c r="N63" i="134"/>
  <c r="O192" i="147"/>
  <c r="O219" i="138"/>
  <c r="O209" i="134"/>
  <c r="O129" i="134"/>
  <c r="O140" i="138"/>
  <c r="O118" i="147"/>
  <c r="N62" i="147"/>
  <c r="O223" i="134"/>
  <c r="N226" i="134"/>
  <c r="N67" i="134"/>
  <c r="N208" i="147"/>
  <c r="N58" i="147"/>
  <c r="N53" i="147"/>
  <c r="O124" i="147"/>
  <c r="O146" i="138"/>
  <c r="O135" i="134"/>
  <c r="O123" i="147"/>
  <c r="O145" i="138"/>
  <c r="O134" i="134"/>
  <c r="N142" i="134"/>
  <c r="N61" i="147"/>
  <c r="N136" i="147"/>
  <c r="N65" i="134"/>
  <c r="P122" i="147"/>
  <c r="P144" i="138"/>
  <c r="P133" i="134"/>
  <c r="N203" i="147"/>
  <c r="N147" i="134"/>
  <c r="O208" i="134"/>
  <c r="O191" i="147"/>
  <c r="O218" i="138"/>
  <c r="N214" i="138"/>
  <c r="N207" i="134"/>
  <c r="N231" i="138"/>
  <c r="N190" i="147"/>
  <c r="N217" i="138"/>
  <c r="N226" i="138" s="1"/>
  <c r="P66" i="137"/>
  <c r="Q30" i="137"/>
  <c r="P53" i="138"/>
  <c r="N131" i="147"/>
  <c r="P209" i="138"/>
  <c r="P90" i="137"/>
  <c r="Q54" i="137"/>
  <c r="Q45" i="137"/>
  <c r="P81" i="137"/>
  <c r="P134" i="138"/>
  <c r="O205" i="147"/>
  <c r="N148" i="134"/>
  <c r="O49" i="147"/>
  <c r="O66" i="138"/>
  <c r="O54" i="134"/>
  <c r="N130" i="147"/>
  <c r="O223" i="138"/>
  <c r="O213" i="134"/>
  <c r="O196" i="147"/>
  <c r="Q31" i="137"/>
  <c r="P54" i="138"/>
  <c r="P67" i="137"/>
  <c r="N59" i="147"/>
  <c r="Q208" i="138"/>
  <c r="R53" i="137"/>
  <c r="Q89" i="137"/>
  <c r="N204" i="147"/>
  <c r="Q44" i="137"/>
  <c r="P80" i="137"/>
  <c r="P133" i="138"/>
  <c r="N144" i="134"/>
  <c r="O119" i="147"/>
  <c r="O141" i="138"/>
  <c r="O130" i="134"/>
  <c r="Q79" i="137"/>
  <c r="Q132" i="138"/>
  <c r="R43" i="137"/>
  <c r="N221" i="134"/>
  <c r="N135" i="147"/>
  <c r="N207" i="147"/>
  <c r="O48" i="147"/>
  <c r="O53" i="134"/>
  <c r="O65" i="138"/>
  <c r="N60" i="147"/>
  <c r="N224" i="134"/>
  <c r="Q56" i="137"/>
  <c r="P211" i="138"/>
  <c r="P92" i="137"/>
  <c r="O146" i="134"/>
  <c r="P206" i="138"/>
  <c r="P87" i="137"/>
  <c r="Q51" i="137"/>
  <c r="N64" i="134"/>
  <c r="P130" i="138"/>
  <c r="Q41" i="137"/>
  <c r="P77" i="137"/>
  <c r="O120" i="147"/>
  <c r="O142" i="138"/>
  <c r="O131" i="134"/>
  <c r="N143" i="134"/>
  <c r="N63" i="147"/>
  <c r="P56" i="138"/>
  <c r="P69" i="137"/>
  <c r="Q33" i="137"/>
  <c r="N222" i="134"/>
  <c r="O55" i="134"/>
  <c r="O50" i="147"/>
  <c r="O67" i="138"/>
  <c r="P207" i="138"/>
  <c r="P88" i="137"/>
  <c r="Q52" i="137"/>
  <c r="N66" i="134"/>
  <c r="N206" i="147"/>
  <c r="N57" i="147"/>
  <c r="N68" i="134"/>
  <c r="O195" i="147"/>
  <c r="O222" i="138"/>
  <c r="O212" i="134"/>
  <c r="P75" i="137"/>
  <c r="P128" i="138"/>
  <c r="Q39" i="137"/>
  <c r="M220" i="134"/>
  <c r="M202" i="147"/>
  <c r="N132" i="147"/>
  <c r="O134" i="147"/>
  <c r="P129" i="138"/>
  <c r="P76" i="137"/>
  <c r="Q40" i="137"/>
  <c r="O86" i="137"/>
  <c r="O94" i="137" s="1"/>
  <c r="P50" i="137"/>
  <c r="O58" i="137"/>
  <c r="O205" i="138"/>
  <c r="O56" i="147"/>
  <c r="P44" i="147"/>
  <c r="O62" i="134"/>
  <c r="Q49" i="138"/>
  <c r="Q62" i="137"/>
  <c r="R26" i="137"/>
  <c r="P61" i="138"/>
  <c r="P49" i="134"/>
  <c r="G46" i="137"/>
  <c r="AE73" i="162" l="1"/>
  <c r="AL44" i="129"/>
  <c r="AO43" i="129"/>
  <c r="AM43" i="129" s="1"/>
  <c r="AF109" i="129"/>
  <c r="AF165" i="129"/>
  <c r="AN50" i="129"/>
  <c r="AJ44" i="129"/>
  <c r="AP44" i="129" s="1"/>
  <c r="AF51" i="129"/>
  <c r="AN50" i="162"/>
  <c r="AL50" i="162" s="1"/>
  <c r="AK51" i="162"/>
  <c r="AI50" i="162"/>
  <c r="AO50" i="162" s="1"/>
  <c r="AM56" i="162"/>
  <c r="Q55" i="137"/>
  <c r="Q210" i="138" s="1"/>
  <c r="P210" i="138"/>
  <c r="Q27" i="137"/>
  <c r="Q34" i="137" s="1"/>
  <c r="L103" i="144"/>
  <c r="L47" i="144"/>
  <c r="L159" i="144"/>
  <c r="P34" i="137"/>
  <c r="M172" i="144"/>
  <c r="M179" i="144" s="1"/>
  <c r="M60" i="144"/>
  <c r="M67" i="144" s="1"/>
  <c r="M4" i="144"/>
  <c r="M11" i="144" s="1"/>
  <c r="M116" i="144"/>
  <c r="M123" i="144" s="1"/>
  <c r="P63" i="137"/>
  <c r="P70" i="137" s="1"/>
  <c r="O75" i="138"/>
  <c r="O45" i="147"/>
  <c r="O57" i="147" s="1"/>
  <c r="O62" i="138"/>
  <c r="O70" i="138" s="1"/>
  <c r="O58" i="138"/>
  <c r="L159" i="152"/>
  <c r="M102" i="144"/>
  <c r="M158" i="144"/>
  <c r="L215" i="152"/>
  <c r="M46" i="144"/>
  <c r="L103" i="152"/>
  <c r="M102" i="152"/>
  <c r="M158" i="152"/>
  <c r="M216" i="147"/>
  <c r="M218" i="147" s="1"/>
  <c r="M46" i="152"/>
  <c r="M199" i="147"/>
  <c r="M234" i="134"/>
  <c r="M236" i="134" s="1"/>
  <c r="O93" i="137"/>
  <c r="P57" i="137"/>
  <c r="O212" i="138"/>
  <c r="N197" i="147"/>
  <c r="N209" i="147" s="1"/>
  <c r="N214" i="152" s="1"/>
  <c r="N214" i="134"/>
  <c r="N227" i="134" s="1"/>
  <c r="N102" i="144" s="1"/>
  <c r="N224" i="138"/>
  <c r="M67" i="152"/>
  <c r="M179" i="152"/>
  <c r="M11" i="152"/>
  <c r="M123" i="152"/>
  <c r="N66" i="144"/>
  <c r="N178" i="144"/>
  <c r="N122" i="144"/>
  <c r="N10" i="144"/>
  <c r="N172" i="152"/>
  <c r="N4" i="152"/>
  <c r="N116" i="152"/>
  <c r="N60" i="152"/>
  <c r="N117" i="144"/>
  <c r="N173" i="144"/>
  <c r="N5" i="144"/>
  <c r="N61" i="144"/>
  <c r="N63" i="144"/>
  <c r="N7" i="144"/>
  <c r="N119" i="144"/>
  <c r="N175" i="144"/>
  <c r="N134" i="152"/>
  <c r="N78" i="152"/>
  <c r="N22" i="152"/>
  <c r="N190" i="152"/>
  <c r="N136" i="152"/>
  <c r="N192" i="152"/>
  <c r="N24" i="152"/>
  <c r="N80" i="152"/>
  <c r="N196" i="144"/>
  <c r="N84" i="144"/>
  <c r="N28" i="144"/>
  <c r="N140" i="144"/>
  <c r="M211" i="147"/>
  <c r="M207" i="152"/>
  <c r="M215" i="152" s="1"/>
  <c r="M39" i="152"/>
  <c r="M151" i="152"/>
  <c r="M95" i="152"/>
  <c r="O138" i="144"/>
  <c r="O194" i="144"/>
  <c r="O82" i="144"/>
  <c r="O26" i="144"/>
  <c r="N195" i="144"/>
  <c r="N139" i="144"/>
  <c r="N27" i="144"/>
  <c r="N83" i="144"/>
  <c r="N64" i="144"/>
  <c r="N176" i="144"/>
  <c r="N120" i="144"/>
  <c r="N8" i="144"/>
  <c r="N209" i="144"/>
  <c r="N41" i="144"/>
  <c r="N97" i="144"/>
  <c r="N153" i="144"/>
  <c r="O154" i="152"/>
  <c r="O210" i="152"/>
  <c r="O42" i="152"/>
  <c r="O98" i="152"/>
  <c r="N152" i="152"/>
  <c r="N40" i="152"/>
  <c r="N96" i="152"/>
  <c r="N208" i="152"/>
  <c r="N213" i="144"/>
  <c r="N157" i="144"/>
  <c r="N45" i="144"/>
  <c r="N101" i="144"/>
  <c r="N209" i="152"/>
  <c r="N41" i="152"/>
  <c r="N153" i="152"/>
  <c r="N97" i="152"/>
  <c r="O210" i="144"/>
  <c r="O98" i="144"/>
  <c r="O154" i="144"/>
  <c r="O42" i="144"/>
  <c r="O3" i="144"/>
  <c r="O115" i="144"/>
  <c r="O59" i="144"/>
  <c r="O171" i="144"/>
  <c r="M229" i="134"/>
  <c r="M207" i="144"/>
  <c r="M215" i="144" s="1"/>
  <c r="M151" i="144"/>
  <c r="M95" i="144"/>
  <c r="M39" i="144"/>
  <c r="N177" i="152"/>
  <c r="N121" i="152"/>
  <c r="N65" i="152"/>
  <c r="N9" i="152"/>
  <c r="N83" i="152"/>
  <c r="N195" i="152"/>
  <c r="N27" i="152"/>
  <c r="N139" i="152"/>
  <c r="N213" i="152"/>
  <c r="N157" i="152"/>
  <c r="N101" i="152"/>
  <c r="N45" i="152"/>
  <c r="N63" i="152"/>
  <c r="N119" i="152"/>
  <c r="N175" i="152"/>
  <c r="N7" i="152"/>
  <c r="N196" i="152"/>
  <c r="N140" i="152"/>
  <c r="N84" i="152"/>
  <c r="N28" i="152"/>
  <c r="N65" i="144"/>
  <c r="N177" i="144"/>
  <c r="N9" i="144"/>
  <c r="N121" i="144"/>
  <c r="N211" i="152"/>
  <c r="N99" i="152"/>
  <c r="N43" i="152"/>
  <c r="N155" i="152"/>
  <c r="N136" i="144"/>
  <c r="N192" i="144"/>
  <c r="N80" i="144"/>
  <c r="N24" i="144"/>
  <c r="N43" i="144"/>
  <c r="N211" i="144"/>
  <c r="N99" i="144"/>
  <c r="N155" i="144"/>
  <c r="O115" i="152"/>
  <c r="O171" i="152"/>
  <c r="O59" i="152"/>
  <c r="O3" i="152"/>
  <c r="N191" i="144"/>
  <c r="N79" i="144"/>
  <c r="N23" i="144"/>
  <c r="N135" i="144"/>
  <c r="N174" i="152"/>
  <c r="N62" i="152"/>
  <c r="N6" i="152"/>
  <c r="N118" i="152"/>
  <c r="N79" i="152"/>
  <c r="N23" i="152"/>
  <c r="N191" i="152"/>
  <c r="N135" i="152"/>
  <c r="N120" i="152"/>
  <c r="N64" i="152"/>
  <c r="N176" i="152"/>
  <c r="N8" i="152"/>
  <c r="N152" i="144"/>
  <c r="N208" i="144"/>
  <c r="N40" i="144"/>
  <c r="N96" i="144"/>
  <c r="N116" i="144"/>
  <c r="N60" i="144"/>
  <c r="N4" i="144"/>
  <c r="N172" i="144"/>
  <c r="O194" i="152"/>
  <c r="O138" i="152"/>
  <c r="O26" i="152"/>
  <c r="O82" i="152"/>
  <c r="N5" i="152"/>
  <c r="N173" i="152"/>
  <c r="N117" i="152"/>
  <c r="N61" i="152"/>
  <c r="N178" i="152"/>
  <c r="N122" i="152"/>
  <c r="N66" i="152"/>
  <c r="N10" i="152"/>
  <c r="N62" i="144"/>
  <c r="N174" i="144"/>
  <c r="N118" i="144"/>
  <c r="N6" i="144"/>
  <c r="N100" i="152"/>
  <c r="N212" i="152"/>
  <c r="N156" i="152"/>
  <c r="N44" i="152"/>
  <c r="N190" i="144"/>
  <c r="N78" i="144"/>
  <c r="N22" i="144"/>
  <c r="N134" i="144"/>
  <c r="N212" i="144"/>
  <c r="N44" i="144"/>
  <c r="N156" i="144"/>
  <c r="N100" i="144"/>
  <c r="P75" i="138"/>
  <c r="N65" i="147"/>
  <c r="O58" i="134"/>
  <c r="O76" i="134"/>
  <c r="O78" i="134" s="1"/>
  <c r="N71" i="134"/>
  <c r="O207" i="134"/>
  <c r="O231" i="138"/>
  <c r="O217" i="138"/>
  <c r="O226" i="138" s="1"/>
  <c r="O190" i="147"/>
  <c r="O214" i="138"/>
  <c r="P192" i="147"/>
  <c r="P209" i="134"/>
  <c r="P219" i="138"/>
  <c r="O60" i="147"/>
  <c r="O67" i="134"/>
  <c r="P205" i="138"/>
  <c r="P58" i="137"/>
  <c r="Q50" i="137"/>
  <c r="P86" i="137"/>
  <c r="P94" i="137" s="1"/>
  <c r="P67" i="138"/>
  <c r="P55" i="134"/>
  <c r="P50" i="147"/>
  <c r="O62" i="147"/>
  <c r="Q64" i="137"/>
  <c r="Q51" i="138"/>
  <c r="R28" i="137"/>
  <c r="O147" i="134"/>
  <c r="R29" i="137"/>
  <c r="Q52" i="138"/>
  <c r="Q65" i="137"/>
  <c r="P129" i="134"/>
  <c r="P118" i="147"/>
  <c r="P140" i="138"/>
  <c r="O224" i="134"/>
  <c r="O63" i="134"/>
  <c r="O135" i="147"/>
  <c r="O206" i="147"/>
  <c r="P47" i="147"/>
  <c r="P52" i="134"/>
  <c r="P64" i="138"/>
  <c r="S43" i="137"/>
  <c r="R79" i="137"/>
  <c r="R132" i="138"/>
  <c r="P56" i="134"/>
  <c r="P51" i="147"/>
  <c r="P68" i="138"/>
  <c r="Q122" i="147"/>
  <c r="Q144" i="138"/>
  <c r="Q133" i="134"/>
  <c r="Q193" i="147"/>
  <c r="Q220" i="138"/>
  <c r="Q210" i="134"/>
  <c r="P124" i="147"/>
  <c r="P146" i="138"/>
  <c r="P135" i="134"/>
  <c r="O58" i="147"/>
  <c r="O207" i="147"/>
  <c r="O136" i="147"/>
  <c r="O64" i="134"/>
  <c r="P196" i="147"/>
  <c r="P213" i="134"/>
  <c r="P223" i="138"/>
  <c r="O143" i="134"/>
  <c r="Q81" i="137"/>
  <c r="Q134" i="138"/>
  <c r="R45" i="137"/>
  <c r="O130" i="147"/>
  <c r="O69" i="134"/>
  <c r="P205" i="147"/>
  <c r="N202" i="147"/>
  <c r="O68" i="134"/>
  <c r="O225" i="134"/>
  <c r="O148" i="134"/>
  <c r="P146" i="134"/>
  <c r="O131" i="147"/>
  <c r="P54" i="134"/>
  <c r="P66" i="138"/>
  <c r="P49" i="147"/>
  <c r="O142" i="134"/>
  <c r="O63" i="147"/>
  <c r="P223" i="134"/>
  <c r="P62" i="138"/>
  <c r="P45" i="147"/>
  <c r="P50" i="134"/>
  <c r="Q88" i="137"/>
  <c r="Q207" i="138"/>
  <c r="R52" i="137"/>
  <c r="P120" i="147"/>
  <c r="P142" i="138"/>
  <c r="P131" i="134"/>
  <c r="P51" i="134"/>
  <c r="P46" i="147"/>
  <c r="P63" i="138"/>
  <c r="N220" i="134"/>
  <c r="S53" i="137"/>
  <c r="R208" i="138"/>
  <c r="R89" i="137"/>
  <c r="Q211" i="138"/>
  <c r="R56" i="137"/>
  <c r="Q92" i="137"/>
  <c r="Q90" i="137"/>
  <c r="R54" i="137"/>
  <c r="Q209" i="138"/>
  <c r="O144" i="134"/>
  <c r="Q54" i="138"/>
  <c r="Q67" i="137"/>
  <c r="R31" i="137"/>
  <c r="P211" i="134"/>
  <c r="P221" i="138"/>
  <c r="P194" i="147"/>
  <c r="P134" i="147"/>
  <c r="O222" i="134"/>
  <c r="O65" i="134"/>
  <c r="Q66" i="137"/>
  <c r="R30" i="137"/>
  <c r="Q53" i="138"/>
  <c r="O66" i="134"/>
  <c r="Q87" i="137"/>
  <c r="Q206" i="138"/>
  <c r="R51" i="137"/>
  <c r="O61" i="147"/>
  <c r="Q55" i="138"/>
  <c r="R32" i="137"/>
  <c r="Q68" i="137"/>
  <c r="P119" i="147"/>
  <c r="P141" i="138"/>
  <c r="P130" i="134"/>
  <c r="Q69" i="137"/>
  <c r="R33" i="137"/>
  <c r="Q56" i="138"/>
  <c r="O208" i="147"/>
  <c r="O59" i="147"/>
  <c r="Q77" i="137"/>
  <c r="Q130" i="138"/>
  <c r="R41" i="137"/>
  <c r="R44" i="137"/>
  <c r="Q80" i="137"/>
  <c r="Q133" i="138"/>
  <c r="P195" i="147"/>
  <c r="P222" i="138"/>
  <c r="P212" i="134"/>
  <c r="R40" i="137"/>
  <c r="Q129" i="138"/>
  <c r="Q76" i="137"/>
  <c r="P208" i="134"/>
  <c r="P218" i="138"/>
  <c r="P191" i="147"/>
  <c r="R39" i="137"/>
  <c r="Q75" i="137"/>
  <c r="Q128" i="138"/>
  <c r="P58" i="138"/>
  <c r="O203" i="147"/>
  <c r="O221" i="134"/>
  <c r="O132" i="147"/>
  <c r="P123" i="147"/>
  <c r="P145" i="138"/>
  <c r="P134" i="134"/>
  <c r="O226" i="134"/>
  <c r="O204" i="147"/>
  <c r="P48" i="147"/>
  <c r="P53" i="134"/>
  <c r="P65" i="138"/>
  <c r="Q44" i="147"/>
  <c r="P56" i="147"/>
  <c r="P62" i="134"/>
  <c r="R49" i="138"/>
  <c r="R62" i="137"/>
  <c r="S26" i="137"/>
  <c r="Q61" i="138"/>
  <c r="Q49" i="134"/>
  <c r="H46" i="137"/>
  <c r="AE74" i="162" l="1"/>
  <c r="AF110" i="129"/>
  <c r="AF166" i="129"/>
  <c r="AN51" i="129"/>
  <c r="AL45" i="129"/>
  <c r="AO44" i="129"/>
  <c r="AM44" i="129" s="1"/>
  <c r="AJ45" i="129"/>
  <c r="AP45" i="129" s="1"/>
  <c r="AF52" i="129"/>
  <c r="AM58" i="162"/>
  <c r="AM57" i="162"/>
  <c r="AN51" i="162"/>
  <c r="AL51" i="162" s="1"/>
  <c r="AI51" i="162"/>
  <c r="AO51" i="162" s="1"/>
  <c r="AK52" i="162"/>
  <c r="Q91" i="137"/>
  <c r="R55" i="137"/>
  <c r="Q63" i="137"/>
  <c r="Q70" i="137" s="1"/>
  <c r="Q50" i="138"/>
  <c r="Q45" i="147" s="1"/>
  <c r="R27" i="137"/>
  <c r="R34" i="137" s="1"/>
  <c r="O70" i="147"/>
  <c r="O72" i="147" s="1"/>
  <c r="O53" i="147"/>
  <c r="M103" i="152"/>
  <c r="M159" i="152"/>
  <c r="M47" i="152"/>
  <c r="N46" i="152"/>
  <c r="M103" i="144"/>
  <c r="M159" i="144"/>
  <c r="M47" i="144"/>
  <c r="N216" i="134"/>
  <c r="N234" i="134"/>
  <c r="N236" i="134" s="1"/>
  <c r="N102" i="152"/>
  <c r="N158" i="152"/>
  <c r="N199" i="147"/>
  <c r="N216" i="147"/>
  <c r="N218" i="147" s="1"/>
  <c r="N158" i="144"/>
  <c r="N46" i="144"/>
  <c r="O224" i="138"/>
  <c r="O197" i="147"/>
  <c r="O209" i="147" s="1"/>
  <c r="O158" i="152" s="1"/>
  <c r="O214" i="134"/>
  <c r="O227" i="134" s="1"/>
  <c r="O214" i="144" s="1"/>
  <c r="N214" i="144"/>
  <c r="P93" i="137"/>
  <c r="Q57" i="137"/>
  <c r="P212" i="138"/>
  <c r="N11" i="144"/>
  <c r="N179" i="152"/>
  <c r="N67" i="144"/>
  <c r="N67" i="152"/>
  <c r="N123" i="144"/>
  <c r="N123" i="152"/>
  <c r="N11" i="152"/>
  <c r="N179" i="144"/>
  <c r="O66" i="144"/>
  <c r="O178" i="144"/>
  <c r="O10" i="144"/>
  <c r="O122" i="144"/>
  <c r="O136" i="152"/>
  <c r="O80" i="152"/>
  <c r="O24" i="152"/>
  <c r="O192" i="152"/>
  <c r="O152" i="144"/>
  <c r="O96" i="144"/>
  <c r="O208" i="144"/>
  <c r="O40" i="144"/>
  <c r="P171" i="152"/>
  <c r="P115" i="152"/>
  <c r="P59" i="152"/>
  <c r="P3" i="152"/>
  <c r="O172" i="152"/>
  <c r="O4" i="152"/>
  <c r="O116" i="152"/>
  <c r="O60" i="152"/>
  <c r="O195" i="144"/>
  <c r="O83" i="144"/>
  <c r="O27" i="144"/>
  <c r="O139" i="144"/>
  <c r="O174" i="152"/>
  <c r="O6" i="152"/>
  <c r="O62" i="152"/>
  <c r="O118" i="152"/>
  <c r="O157" i="152"/>
  <c r="O101" i="152"/>
  <c r="O45" i="152"/>
  <c r="O213" i="152"/>
  <c r="O61" i="144"/>
  <c r="O117" i="144"/>
  <c r="O173" i="144"/>
  <c r="O5" i="144"/>
  <c r="P82" i="152"/>
  <c r="P26" i="152"/>
  <c r="P138" i="152"/>
  <c r="P194" i="152"/>
  <c r="N229" i="134"/>
  <c r="N207" i="144"/>
  <c r="N151" i="144"/>
  <c r="N95" i="144"/>
  <c r="N103" i="144" s="1"/>
  <c r="N39" i="144"/>
  <c r="O79" i="152"/>
  <c r="O23" i="152"/>
  <c r="O191" i="152"/>
  <c r="O135" i="152"/>
  <c r="P138" i="144"/>
  <c r="P194" i="144"/>
  <c r="P82" i="144"/>
  <c r="P26" i="144"/>
  <c r="O152" i="152"/>
  <c r="O40" i="152"/>
  <c r="O96" i="152"/>
  <c r="O208" i="152"/>
  <c r="P98" i="144"/>
  <c r="P42" i="144"/>
  <c r="P154" i="144"/>
  <c r="P210" i="144"/>
  <c r="O66" i="152"/>
  <c r="O178" i="152"/>
  <c r="O122" i="152"/>
  <c r="O10" i="152"/>
  <c r="O209" i="144"/>
  <c r="O41" i="144"/>
  <c r="O97" i="144"/>
  <c r="O153" i="144"/>
  <c r="O5" i="152"/>
  <c r="O117" i="152"/>
  <c r="O61" i="152"/>
  <c r="O173" i="152"/>
  <c r="O209" i="152"/>
  <c r="O41" i="152"/>
  <c r="O153" i="152"/>
  <c r="O97" i="152"/>
  <c r="N211" i="147"/>
  <c r="N95" i="152"/>
  <c r="N151" i="152"/>
  <c r="N207" i="152"/>
  <c r="N215" i="152" s="1"/>
  <c r="N39" i="152"/>
  <c r="O83" i="152"/>
  <c r="O139" i="152"/>
  <c r="O195" i="152"/>
  <c r="O27" i="152"/>
  <c r="O190" i="152"/>
  <c r="O78" i="152"/>
  <c r="O22" i="152"/>
  <c r="O134" i="152"/>
  <c r="P171" i="144"/>
  <c r="P59" i="144"/>
  <c r="P115" i="144"/>
  <c r="P3" i="144"/>
  <c r="O63" i="144"/>
  <c r="O7" i="144"/>
  <c r="O119" i="144"/>
  <c r="O175" i="144"/>
  <c r="O177" i="152"/>
  <c r="O121" i="152"/>
  <c r="O65" i="152"/>
  <c r="O9" i="152"/>
  <c r="O84" i="152"/>
  <c r="O28" i="152"/>
  <c r="O140" i="152"/>
  <c r="O196" i="152"/>
  <c r="O100" i="152"/>
  <c r="O212" i="152"/>
  <c r="O156" i="152"/>
  <c r="O44" i="152"/>
  <c r="O177" i="144"/>
  <c r="O121" i="144"/>
  <c r="O9" i="144"/>
  <c r="O65" i="144"/>
  <c r="O213" i="144"/>
  <c r="O157" i="144"/>
  <c r="O45" i="144"/>
  <c r="O101" i="144"/>
  <c r="O80" i="144"/>
  <c r="O24" i="144"/>
  <c r="O136" i="144"/>
  <c r="O192" i="144"/>
  <c r="O172" i="144"/>
  <c r="O4" i="144"/>
  <c r="O116" i="144"/>
  <c r="O60" i="144"/>
  <c r="O64" i="144"/>
  <c r="O8" i="144"/>
  <c r="O120" i="144"/>
  <c r="O176" i="144"/>
  <c r="O120" i="152"/>
  <c r="O64" i="152"/>
  <c r="O176" i="152"/>
  <c r="O8" i="152"/>
  <c r="P98" i="152"/>
  <c r="P154" i="152"/>
  <c r="P210" i="152"/>
  <c r="P42" i="152"/>
  <c r="O191" i="144"/>
  <c r="O79" i="144"/>
  <c r="O23" i="144"/>
  <c r="O135" i="144"/>
  <c r="O78" i="144"/>
  <c r="O22" i="144"/>
  <c r="O190" i="144"/>
  <c r="O134" i="144"/>
  <c r="O118" i="144"/>
  <c r="O174" i="144"/>
  <c r="O6" i="144"/>
  <c r="O62" i="144"/>
  <c r="O196" i="144"/>
  <c r="O140" i="144"/>
  <c r="O84" i="144"/>
  <c r="O28" i="144"/>
  <c r="O44" i="144"/>
  <c r="O156" i="144"/>
  <c r="O212" i="144"/>
  <c r="O100" i="144"/>
  <c r="O211" i="152"/>
  <c r="O155" i="152"/>
  <c r="O43" i="152"/>
  <c r="O99" i="152"/>
  <c r="O211" i="144"/>
  <c r="O155" i="144"/>
  <c r="O43" i="144"/>
  <c r="O99" i="144"/>
  <c r="O63" i="152"/>
  <c r="O175" i="152"/>
  <c r="O119" i="152"/>
  <c r="O7" i="152"/>
  <c r="P70" i="147"/>
  <c r="P72" i="147" s="1"/>
  <c r="P70" i="138"/>
  <c r="O71" i="134"/>
  <c r="O65" i="147"/>
  <c r="P68" i="134"/>
  <c r="Q51" i="147"/>
  <c r="Q56" i="134"/>
  <c r="Q68" i="138"/>
  <c r="S55" i="137"/>
  <c r="R210" i="138"/>
  <c r="R91" i="137"/>
  <c r="P226" i="134"/>
  <c r="P63" i="134"/>
  <c r="R193" i="147"/>
  <c r="R220" i="138"/>
  <c r="R210" i="134"/>
  <c r="Q47" i="147"/>
  <c r="Q52" i="134"/>
  <c r="Q64" i="138"/>
  <c r="P222" i="134"/>
  <c r="S44" i="137"/>
  <c r="R80" i="137"/>
  <c r="R133" i="138"/>
  <c r="P224" i="134"/>
  <c r="S79" i="137"/>
  <c r="T43" i="137"/>
  <c r="S132" i="138"/>
  <c r="P204" i="147"/>
  <c r="R209" i="138"/>
  <c r="R90" i="137"/>
  <c r="S54" i="137"/>
  <c r="S30" i="137"/>
  <c r="R53" i="138"/>
  <c r="R66" i="137"/>
  <c r="R211" i="138"/>
  <c r="R92" i="137"/>
  <c r="S56" i="137"/>
  <c r="Q196" i="147"/>
  <c r="Q213" i="134"/>
  <c r="Q223" i="138"/>
  <c r="P130" i="147"/>
  <c r="P60" i="147"/>
  <c r="P69" i="134"/>
  <c r="P207" i="147"/>
  <c r="R68" i="137"/>
  <c r="R55" i="138"/>
  <c r="S32" i="137"/>
  <c r="S29" i="137"/>
  <c r="R52" i="138"/>
  <c r="R65" i="137"/>
  <c r="P206" i="147"/>
  <c r="R122" i="147"/>
  <c r="R144" i="138"/>
  <c r="R133" i="134"/>
  <c r="Q120" i="147"/>
  <c r="Q142" i="138"/>
  <c r="Q131" i="134"/>
  <c r="Q191" i="147"/>
  <c r="Q208" i="134"/>
  <c r="Q218" i="138"/>
  <c r="P65" i="134"/>
  <c r="S28" i="137"/>
  <c r="R64" i="137"/>
  <c r="R51" i="138"/>
  <c r="P62" i="147"/>
  <c r="P132" i="147"/>
  <c r="Q219" i="138"/>
  <c r="Q209" i="134"/>
  <c r="Q192" i="147"/>
  <c r="P143" i="134"/>
  <c r="P225" i="134"/>
  <c r="S208" i="138"/>
  <c r="T53" i="137"/>
  <c r="S89" i="137"/>
  <c r="R75" i="137"/>
  <c r="R128" i="138"/>
  <c r="S39" i="137"/>
  <c r="Q49" i="147"/>
  <c r="Q54" i="134"/>
  <c r="Q66" i="138"/>
  <c r="P67" i="134"/>
  <c r="P59" i="147"/>
  <c r="Q46" i="147"/>
  <c r="Q51" i="134"/>
  <c r="Q63" i="138"/>
  <c r="O202" i="147"/>
  <c r="Q223" i="134"/>
  <c r="Q119" i="147"/>
  <c r="Q141" i="138"/>
  <c r="Q130" i="134"/>
  <c r="S33" i="137"/>
  <c r="R69" i="137"/>
  <c r="R56" i="138"/>
  <c r="R50" i="137"/>
  <c r="Q58" i="137"/>
  <c r="Q86" i="137"/>
  <c r="Q205" i="138"/>
  <c r="S40" i="137"/>
  <c r="R129" i="138"/>
  <c r="R76" i="137"/>
  <c r="P57" i="147"/>
  <c r="P63" i="147"/>
  <c r="Q55" i="134"/>
  <c r="Q67" i="138"/>
  <c r="Q50" i="147"/>
  <c r="P147" i="134"/>
  <c r="P58" i="147"/>
  <c r="Q146" i="134"/>
  <c r="P208" i="147"/>
  <c r="P66" i="134"/>
  <c r="P231" i="138"/>
  <c r="P207" i="134"/>
  <c r="P190" i="147"/>
  <c r="P217" i="138"/>
  <c r="P226" i="138" s="1"/>
  <c r="P214" i="138"/>
  <c r="P76" i="134"/>
  <c r="P78" i="134" s="1"/>
  <c r="Q123" i="147"/>
  <c r="Q145" i="138"/>
  <c r="Q134" i="134"/>
  <c r="P61" i="147"/>
  <c r="P53" i="147"/>
  <c r="P64" i="134"/>
  <c r="R81" i="137"/>
  <c r="S45" i="137"/>
  <c r="R134" i="138"/>
  <c r="P148" i="134"/>
  <c r="P136" i="147"/>
  <c r="Q48" i="147"/>
  <c r="Q53" i="134"/>
  <c r="Q65" i="138"/>
  <c r="S52" i="137"/>
  <c r="R88" i="137"/>
  <c r="R207" i="138"/>
  <c r="Q212" i="134"/>
  <c r="Q195" i="147"/>
  <c r="Q222" i="138"/>
  <c r="Q205" i="147"/>
  <c r="Q134" i="147"/>
  <c r="P58" i="134"/>
  <c r="P142" i="134"/>
  <c r="P131" i="147"/>
  <c r="Q118" i="147"/>
  <c r="Q140" i="138"/>
  <c r="Q129" i="134"/>
  <c r="R77" i="137"/>
  <c r="R130" i="138"/>
  <c r="S41" i="137"/>
  <c r="R206" i="138"/>
  <c r="R87" i="137"/>
  <c r="S51" i="137"/>
  <c r="R54" i="138"/>
  <c r="R67" i="137"/>
  <c r="S31" i="137"/>
  <c r="P203" i="147"/>
  <c r="P135" i="147"/>
  <c r="P221" i="134"/>
  <c r="Q194" i="147"/>
  <c r="Q211" i="134"/>
  <c r="Q221" i="138"/>
  <c r="P144" i="134"/>
  <c r="Q124" i="147"/>
  <c r="Q135" i="134"/>
  <c r="Q146" i="138"/>
  <c r="O220" i="134"/>
  <c r="Q56" i="147"/>
  <c r="R44" i="147"/>
  <c r="Q62" i="134"/>
  <c r="S49" i="138"/>
  <c r="S62" i="137"/>
  <c r="T26" i="137"/>
  <c r="R61" i="138"/>
  <c r="R49" i="134"/>
  <c r="I46" i="137"/>
  <c r="AE75" i="162" l="1"/>
  <c r="AF111" i="129"/>
  <c r="AF167" i="129"/>
  <c r="AN52" i="129"/>
  <c r="AL46" i="129"/>
  <c r="AO45" i="129"/>
  <c r="AM45" i="129" s="1"/>
  <c r="AJ46" i="129"/>
  <c r="AP46" i="129" s="1"/>
  <c r="AF53" i="129"/>
  <c r="AN52" i="162"/>
  <c r="AL52" i="162" s="1"/>
  <c r="AI52" i="162"/>
  <c r="AO52" i="162" s="1"/>
  <c r="AK53" i="162"/>
  <c r="AM59" i="162"/>
  <c r="Q94" i="137"/>
  <c r="S27" i="137"/>
  <c r="T27" i="137" s="1"/>
  <c r="R50" i="138"/>
  <c r="R75" i="138" s="1"/>
  <c r="R63" i="137"/>
  <c r="R70" i="137" s="1"/>
  <c r="Q62" i="138"/>
  <c r="Q70" i="138" s="1"/>
  <c r="Q58" i="138"/>
  <c r="Q75" i="138"/>
  <c r="Q50" i="134"/>
  <c r="Q76" i="134" s="1"/>
  <c r="Q78" i="134" s="1"/>
  <c r="N47" i="152"/>
  <c r="N47" i="144"/>
  <c r="N103" i="152"/>
  <c r="N159" i="152"/>
  <c r="N159" i="144"/>
  <c r="O102" i="144"/>
  <c r="O216" i="134"/>
  <c r="O216" i="147"/>
  <c r="O218" i="147" s="1"/>
  <c r="O199" i="147"/>
  <c r="O46" i="144"/>
  <c r="O234" i="134"/>
  <c r="O236" i="134" s="1"/>
  <c r="O158" i="144"/>
  <c r="O102" i="152"/>
  <c r="O46" i="152"/>
  <c r="O214" i="152"/>
  <c r="Q93" i="137"/>
  <c r="Q212" i="138"/>
  <c r="R57" i="137"/>
  <c r="N215" i="144"/>
  <c r="P224" i="138"/>
  <c r="P214" i="134"/>
  <c r="P227" i="134" s="1"/>
  <c r="P46" i="144" s="1"/>
  <c r="P197" i="147"/>
  <c r="P209" i="147" s="1"/>
  <c r="P46" i="152" s="1"/>
  <c r="O67" i="144"/>
  <c r="O123" i="144"/>
  <c r="O11" i="144"/>
  <c r="O67" i="152"/>
  <c r="O179" i="152"/>
  <c r="O11" i="152"/>
  <c r="O179" i="144"/>
  <c r="O123" i="152"/>
  <c r="P43" i="144"/>
  <c r="P211" i="144"/>
  <c r="P99" i="144"/>
  <c r="P155" i="144"/>
  <c r="P190" i="152"/>
  <c r="P78" i="152"/>
  <c r="P22" i="152"/>
  <c r="P134" i="152"/>
  <c r="Q171" i="144"/>
  <c r="Q3" i="144"/>
  <c r="Q59" i="144"/>
  <c r="Q115" i="144"/>
  <c r="P63" i="144"/>
  <c r="P119" i="144"/>
  <c r="P7" i="144"/>
  <c r="P175" i="144"/>
  <c r="Q82" i="144"/>
  <c r="Q26" i="144"/>
  <c r="Q138" i="144"/>
  <c r="Q194" i="144"/>
  <c r="P43" i="152"/>
  <c r="P211" i="152"/>
  <c r="P155" i="152"/>
  <c r="P99" i="152"/>
  <c r="P140" i="144"/>
  <c r="P84" i="144"/>
  <c r="P196" i="144"/>
  <c r="P28" i="144"/>
  <c r="O211" i="147"/>
  <c r="O95" i="152"/>
  <c r="O151" i="152"/>
  <c r="O159" i="152" s="1"/>
  <c r="O207" i="152"/>
  <c r="O39" i="152"/>
  <c r="P78" i="144"/>
  <c r="P22" i="144"/>
  <c r="P134" i="144"/>
  <c r="P190" i="144"/>
  <c r="P152" i="144"/>
  <c r="P96" i="144"/>
  <c r="P208" i="144"/>
  <c r="P40" i="144"/>
  <c r="P64" i="152"/>
  <c r="P176" i="152"/>
  <c r="P8" i="152"/>
  <c r="P120" i="152"/>
  <c r="P60" i="152"/>
  <c r="P4" i="152"/>
  <c r="P116" i="152"/>
  <c r="P172" i="152"/>
  <c r="P100" i="152"/>
  <c r="P212" i="152"/>
  <c r="P156" i="152"/>
  <c r="P44" i="152"/>
  <c r="P7" i="152"/>
  <c r="P119" i="152"/>
  <c r="P175" i="152"/>
  <c r="P63" i="152"/>
  <c r="P153" i="144"/>
  <c r="P209" i="144"/>
  <c r="P41" i="144"/>
  <c r="P97" i="144"/>
  <c r="Q59" i="152"/>
  <c r="Q3" i="152"/>
  <c r="Q171" i="152"/>
  <c r="Q115" i="152"/>
  <c r="P177" i="144"/>
  <c r="P121" i="144"/>
  <c r="P9" i="144"/>
  <c r="P65" i="144"/>
  <c r="P84" i="152"/>
  <c r="P196" i="152"/>
  <c r="P28" i="152"/>
  <c r="P140" i="152"/>
  <c r="Q42" i="144"/>
  <c r="Q154" i="144"/>
  <c r="Q98" i="144"/>
  <c r="Q210" i="144"/>
  <c r="P136" i="152"/>
  <c r="P80" i="152"/>
  <c r="P192" i="152"/>
  <c r="P24" i="152"/>
  <c r="P117" i="144"/>
  <c r="P173" i="144"/>
  <c r="P5" i="144"/>
  <c r="P61" i="144"/>
  <c r="P121" i="152"/>
  <c r="P177" i="152"/>
  <c r="P9" i="152"/>
  <c r="P65" i="152"/>
  <c r="P10" i="152"/>
  <c r="P66" i="152"/>
  <c r="P122" i="152"/>
  <c r="P178" i="152"/>
  <c r="P195" i="152"/>
  <c r="P83" i="152"/>
  <c r="P139" i="152"/>
  <c r="P27" i="152"/>
  <c r="Q194" i="152"/>
  <c r="Q138" i="152"/>
  <c r="Q26" i="152"/>
  <c r="Q82" i="152"/>
  <c r="P118" i="152"/>
  <c r="P6" i="152"/>
  <c r="P62" i="152"/>
  <c r="P174" i="152"/>
  <c r="P66" i="144"/>
  <c r="P178" i="144"/>
  <c r="P122" i="144"/>
  <c r="P10" i="144"/>
  <c r="O229" i="134"/>
  <c r="O207" i="144"/>
  <c r="O215" i="144" s="1"/>
  <c r="O151" i="144"/>
  <c r="O95" i="144"/>
  <c r="O39" i="144"/>
  <c r="P157" i="152"/>
  <c r="P101" i="152"/>
  <c r="P213" i="152"/>
  <c r="P45" i="152"/>
  <c r="P44" i="144"/>
  <c r="P100" i="144"/>
  <c r="P212" i="144"/>
  <c r="P156" i="144"/>
  <c r="P191" i="144"/>
  <c r="P79" i="144"/>
  <c r="P23" i="144"/>
  <c r="P135" i="144"/>
  <c r="P61" i="152"/>
  <c r="P117" i="152"/>
  <c r="P173" i="152"/>
  <c r="P5" i="152"/>
  <c r="P195" i="144"/>
  <c r="P83" i="144"/>
  <c r="P27" i="144"/>
  <c r="P139" i="144"/>
  <c r="P192" i="144"/>
  <c r="P80" i="144"/>
  <c r="P24" i="144"/>
  <c r="P136" i="144"/>
  <c r="P191" i="152"/>
  <c r="P79" i="152"/>
  <c r="P135" i="152"/>
  <c r="P23" i="152"/>
  <c r="P172" i="144"/>
  <c r="P4" i="144"/>
  <c r="P116" i="144"/>
  <c r="P60" i="144"/>
  <c r="P209" i="152"/>
  <c r="P41" i="152"/>
  <c r="P153" i="152"/>
  <c r="P97" i="152"/>
  <c r="P152" i="152"/>
  <c r="P208" i="152"/>
  <c r="P96" i="152"/>
  <c r="P40" i="152"/>
  <c r="Q98" i="152"/>
  <c r="Q154" i="152"/>
  <c r="Q210" i="152"/>
  <c r="Q42" i="152"/>
  <c r="P64" i="144"/>
  <c r="P176" i="144"/>
  <c r="P8" i="144"/>
  <c r="P120" i="144"/>
  <c r="P62" i="144"/>
  <c r="P118" i="144"/>
  <c r="P174" i="144"/>
  <c r="P6" i="144"/>
  <c r="P213" i="144"/>
  <c r="P45" i="144"/>
  <c r="P157" i="144"/>
  <c r="P101" i="144"/>
  <c r="Q70" i="147"/>
  <c r="Q72" i="147" s="1"/>
  <c r="P65" i="147"/>
  <c r="P71" i="134"/>
  <c r="U53" i="137"/>
  <c r="T208" i="138"/>
  <c r="T89" i="137"/>
  <c r="Q203" i="147"/>
  <c r="U43" i="137"/>
  <c r="T132" i="138"/>
  <c r="T79" i="137"/>
  <c r="P202" i="147"/>
  <c r="Q204" i="147"/>
  <c r="Q64" i="134"/>
  <c r="R146" i="134"/>
  <c r="S81" i="137"/>
  <c r="S134" i="138"/>
  <c r="T45" i="137"/>
  <c r="T40" i="137"/>
  <c r="S129" i="138"/>
  <c r="S76" i="137"/>
  <c r="R134" i="147"/>
  <c r="Q148" i="134"/>
  <c r="Q226" i="134"/>
  <c r="S80" i="137"/>
  <c r="S133" i="138"/>
  <c r="T44" i="137"/>
  <c r="Q53" i="147"/>
  <c r="Q136" i="147"/>
  <c r="R120" i="147"/>
  <c r="R142" i="138"/>
  <c r="R131" i="134"/>
  <c r="Q225" i="134"/>
  <c r="Q208" i="147"/>
  <c r="R219" i="138"/>
  <c r="R209" i="134"/>
  <c r="R192" i="147"/>
  <c r="R86" i="137"/>
  <c r="R94" i="137" s="1"/>
  <c r="R205" i="138"/>
  <c r="R58" i="137"/>
  <c r="S50" i="137"/>
  <c r="R51" i="134"/>
  <c r="R46" i="147"/>
  <c r="R63" i="138"/>
  <c r="R52" i="134"/>
  <c r="R47" i="147"/>
  <c r="R64" i="138"/>
  <c r="T56" i="137"/>
  <c r="S92" i="137"/>
  <c r="S211" i="138"/>
  <c r="R222" i="138"/>
  <c r="R195" i="147"/>
  <c r="R212" i="134"/>
  <c r="R205" i="147"/>
  <c r="S122" i="147"/>
  <c r="S144" i="138"/>
  <c r="S133" i="134"/>
  <c r="R119" i="147"/>
  <c r="R141" i="138"/>
  <c r="R130" i="134"/>
  <c r="Q58" i="147"/>
  <c r="R123" i="147"/>
  <c r="R145" i="138"/>
  <c r="R134" i="134"/>
  <c r="R191" i="147"/>
  <c r="R208" i="134"/>
  <c r="R218" i="138"/>
  <c r="T41" i="137"/>
  <c r="S77" i="137"/>
  <c r="S130" i="138"/>
  <c r="T52" i="137"/>
  <c r="S207" i="138"/>
  <c r="S88" i="137"/>
  <c r="Q61" i="147"/>
  <c r="S51" i="138"/>
  <c r="T28" i="137"/>
  <c r="S64" i="137"/>
  <c r="S68" i="137"/>
  <c r="S55" i="138"/>
  <c r="T32" i="137"/>
  <c r="R196" i="147"/>
  <c r="R223" i="138"/>
  <c r="R213" i="134"/>
  <c r="Q65" i="134"/>
  <c r="S220" i="138"/>
  <c r="S193" i="147"/>
  <c r="S210" i="134"/>
  <c r="R211" i="134"/>
  <c r="R221" i="138"/>
  <c r="R194" i="147"/>
  <c r="Q222" i="134"/>
  <c r="S65" i="137"/>
  <c r="S52" i="138"/>
  <c r="T29" i="137"/>
  <c r="T33" i="137"/>
  <c r="S56" i="138"/>
  <c r="S69" i="137"/>
  <c r="S75" i="137"/>
  <c r="T39" i="137"/>
  <c r="S128" i="138"/>
  <c r="R55" i="134"/>
  <c r="R50" i="147"/>
  <c r="R67" i="138"/>
  <c r="Q59" i="147"/>
  <c r="Q69" i="134"/>
  <c r="Q68" i="134"/>
  <c r="Q63" i="134"/>
  <c r="Q132" i="147"/>
  <c r="R124" i="147"/>
  <c r="R146" i="138"/>
  <c r="R135" i="134"/>
  <c r="Q217" i="138"/>
  <c r="Q226" i="138" s="1"/>
  <c r="Q231" i="138"/>
  <c r="Q190" i="147"/>
  <c r="Q207" i="134"/>
  <c r="Q214" i="138"/>
  <c r="Q207" i="147"/>
  <c r="T55" i="137"/>
  <c r="S210" i="138"/>
  <c r="S91" i="137"/>
  <c r="Q206" i="147"/>
  <c r="Q66" i="134"/>
  <c r="Q147" i="134"/>
  <c r="Q143" i="134"/>
  <c r="R118" i="147"/>
  <c r="R129" i="134"/>
  <c r="R140" i="138"/>
  <c r="R53" i="134"/>
  <c r="R65" i="138"/>
  <c r="R48" i="147"/>
  <c r="Q63" i="147"/>
  <c r="R56" i="134"/>
  <c r="R51" i="147"/>
  <c r="R68" i="138"/>
  <c r="S66" i="137"/>
  <c r="S53" i="138"/>
  <c r="T30" i="137"/>
  <c r="Q144" i="134"/>
  <c r="Q57" i="147"/>
  <c r="S54" i="138"/>
  <c r="S67" i="137"/>
  <c r="T31" i="137"/>
  <c r="R54" i="134"/>
  <c r="R49" i="147"/>
  <c r="R66" i="138"/>
  <c r="P220" i="134"/>
  <c r="S206" i="138"/>
  <c r="T51" i="137"/>
  <c r="S87" i="137"/>
  <c r="Q142" i="134"/>
  <c r="Q67" i="134"/>
  <c r="R58" i="138"/>
  <c r="Q224" i="134"/>
  <c r="Q130" i="147"/>
  <c r="Q60" i="147"/>
  <c r="Q135" i="147"/>
  <c r="Q62" i="147"/>
  <c r="Q131" i="147"/>
  <c r="Q221" i="134"/>
  <c r="S209" i="138"/>
  <c r="T54" i="137"/>
  <c r="S90" i="137"/>
  <c r="R223" i="134"/>
  <c r="R56" i="147"/>
  <c r="S44" i="147"/>
  <c r="R62" i="134"/>
  <c r="T62" i="137"/>
  <c r="T49" i="138"/>
  <c r="U26" i="137"/>
  <c r="S61" i="138"/>
  <c r="S49" i="134"/>
  <c r="J46" i="137"/>
  <c r="M38" i="137"/>
  <c r="AE76" i="162" l="1"/>
  <c r="AF112" i="129"/>
  <c r="AF168" i="129"/>
  <c r="AN53" i="129"/>
  <c r="AL47" i="129"/>
  <c r="AO46" i="129"/>
  <c r="AM46" i="129" s="1"/>
  <c r="AJ47" i="129"/>
  <c r="AP47" i="129" s="1"/>
  <c r="AF54" i="129"/>
  <c r="AM60" i="162"/>
  <c r="AN53" i="162"/>
  <c r="AL53" i="162" s="1"/>
  <c r="AK54" i="162"/>
  <c r="AI53" i="162"/>
  <c r="AO53" i="162" s="1"/>
  <c r="R50" i="134"/>
  <c r="R58" i="134" s="1"/>
  <c r="R62" i="138"/>
  <c r="R70" i="138" s="1"/>
  <c r="R45" i="147"/>
  <c r="R53" i="147" s="1"/>
  <c r="S50" i="138"/>
  <c r="S45" i="147" s="1"/>
  <c r="S63" i="137"/>
  <c r="S70" i="137" s="1"/>
  <c r="S34" i="137"/>
  <c r="Q58" i="134"/>
  <c r="O103" i="152"/>
  <c r="O103" i="144"/>
  <c r="O159" i="144"/>
  <c r="O215" i="152"/>
  <c r="O47" i="152"/>
  <c r="O47" i="144"/>
  <c r="P214" i="152"/>
  <c r="P158" i="152"/>
  <c r="P102" i="152"/>
  <c r="P199" i="147"/>
  <c r="P234" i="134"/>
  <c r="P236" i="134" s="1"/>
  <c r="P216" i="134"/>
  <c r="P216" i="147"/>
  <c r="P218" i="147" s="1"/>
  <c r="P158" i="144"/>
  <c r="P102" i="144"/>
  <c r="P214" i="144"/>
  <c r="R93" i="137"/>
  <c r="R212" i="138"/>
  <c r="S57" i="137"/>
  <c r="Q214" i="134"/>
  <c r="Q227" i="134" s="1"/>
  <c r="Q46" i="144" s="1"/>
  <c r="Q197" i="147"/>
  <c r="Q209" i="147" s="1"/>
  <c r="Q102" i="152" s="1"/>
  <c r="Q224" i="138"/>
  <c r="P179" i="144"/>
  <c r="P179" i="152"/>
  <c r="P67" i="152"/>
  <c r="P67" i="144"/>
  <c r="P123" i="152"/>
  <c r="P123" i="144"/>
  <c r="P11" i="152"/>
  <c r="P11" i="144"/>
  <c r="Q211" i="144"/>
  <c r="Q99" i="144"/>
  <c r="Q43" i="144"/>
  <c r="Q155" i="144"/>
  <c r="Q121" i="144"/>
  <c r="Q9" i="144"/>
  <c r="Q177" i="144"/>
  <c r="Q65" i="144"/>
  <c r="Q120" i="144"/>
  <c r="Q64" i="144"/>
  <c r="Q176" i="144"/>
  <c r="Q8" i="144"/>
  <c r="Q196" i="144"/>
  <c r="Q84" i="144"/>
  <c r="Q140" i="144"/>
  <c r="Q28" i="144"/>
  <c r="R59" i="152"/>
  <c r="R3" i="152"/>
  <c r="R115" i="152"/>
  <c r="R171" i="152"/>
  <c r="Q212" i="152"/>
  <c r="Q44" i="152"/>
  <c r="Q100" i="152"/>
  <c r="Q156" i="152"/>
  <c r="R210" i="152"/>
  <c r="R98" i="152"/>
  <c r="R154" i="152"/>
  <c r="R42" i="152"/>
  <c r="Q156" i="144"/>
  <c r="Q44" i="144"/>
  <c r="Q100" i="144"/>
  <c r="Q212" i="144"/>
  <c r="R138" i="144"/>
  <c r="R82" i="144"/>
  <c r="R26" i="144"/>
  <c r="R194" i="144"/>
  <c r="Q173" i="144"/>
  <c r="Q5" i="144"/>
  <c r="Q117" i="144"/>
  <c r="Q61" i="144"/>
  <c r="Q153" i="152"/>
  <c r="Q209" i="152"/>
  <c r="Q41" i="152"/>
  <c r="Q97" i="152"/>
  <c r="Q78" i="152"/>
  <c r="Q190" i="152"/>
  <c r="Q22" i="152"/>
  <c r="Q134" i="152"/>
  <c r="Q195" i="144"/>
  <c r="Q27" i="144"/>
  <c r="Q83" i="144"/>
  <c r="Q139" i="144"/>
  <c r="Q116" i="152"/>
  <c r="Q172" i="152"/>
  <c r="Q60" i="152"/>
  <c r="Q4" i="152"/>
  <c r="Q118" i="144"/>
  <c r="Q174" i="144"/>
  <c r="Q62" i="144"/>
  <c r="Q6" i="144"/>
  <c r="Q190" i="144"/>
  <c r="Q134" i="144"/>
  <c r="Q78" i="144"/>
  <c r="Q22" i="144"/>
  <c r="R59" i="144"/>
  <c r="R3" i="144"/>
  <c r="R171" i="144"/>
  <c r="R115" i="144"/>
  <c r="Q192" i="144"/>
  <c r="Q80" i="144"/>
  <c r="Q24" i="144"/>
  <c r="Q136" i="144"/>
  <c r="Q173" i="152"/>
  <c r="Q61" i="152"/>
  <c r="Q117" i="152"/>
  <c r="Q5" i="152"/>
  <c r="R42" i="144"/>
  <c r="R154" i="144"/>
  <c r="R210" i="144"/>
  <c r="R98" i="144"/>
  <c r="Q178" i="152"/>
  <c r="Q10" i="152"/>
  <c r="Q66" i="152"/>
  <c r="Q122" i="152"/>
  <c r="Q23" i="152"/>
  <c r="Q135" i="152"/>
  <c r="Q79" i="152"/>
  <c r="Q191" i="152"/>
  <c r="Q101" i="152"/>
  <c r="Q157" i="152"/>
  <c r="Q213" i="152"/>
  <c r="Q45" i="152"/>
  <c r="Q121" i="152"/>
  <c r="Q177" i="152"/>
  <c r="Q65" i="152"/>
  <c r="Q9" i="152"/>
  <c r="Q7" i="152"/>
  <c r="Q63" i="152"/>
  <c r="Q119" i="152"/>
  <c r="Q175" i="152"/>
  <c r="Q84" i="152"/>
  <c r="Q196" i="152"/>
  <c r="Q140" i="152"/>
  <c r="Q28" i="152"/>
  <c r="Q172" i="144"/>
  <c r="Q60" i="144"/>
  <c r="Q4" i="144"/>
  <c r="Q116" i="144"/>
  <c r="Q63" i="144"/>
  <c r="Q119" i="144"/>
  <c r="Q175" i="144"/>
  <c r="Q7" i="144"/>
  <c r="Q66" i="144"/>
  <c r="Q178" i="144"/>
  <c r="Q122" i="144"/>
  <c r="Q10" i="144"/>
  <c r="Q6" i="152"/>
  <c r="Q62" i="152"/>
  <c r="Q118" i="152"/>
  <c r="Q174" i="152"/>
  <c r="Q45" i="144"/>
  <c r="Q157" i="144"/>
  <c r="Q101" i="144"/>
  <c r="Q213" i="144"/>
  <c r="Q208" i="152"/>
  <c r="Q96" i="152"/>
  <c r="Q152" i="152"/>
  <c r="Q40" i="152"/>
  <c r="Q43" i="152"/>
  <c r="Q155" i="152"/>
  <c r="Q99" i="152"/>
  <c r="Q211" i="152"/>
  <c r="R194" i="152"/>
  <c r="R138" i="152"/>
  <c r="R82" i="152"/>
  <c r="R26" i="152"/>
  <c r="P229" i="134"/>
  <c r="P207" i="144"/>
  <c r="P151" i="144"/>
  <c r="P95" i="144"/>
  <c r="P39" i="144"/>
  <c r="P47" i="144" s="1"/>
  <c r="Q208" i="144"/>
  <c r="Q152" i="144"/>
  <c r="Q96" i="144"/>
  <c r="Q40" i="144"/>
  <c r="Q64" i="152"/>
  <c r="Q176" i="152"/>
  <c r="Q8" i="152"/>
  <c r="Q120" i="152"/>
  <c r="Q195" i="152"/>
  <c r="Q139" i="152"/>
  <c r="Q83" i="152"/>
  <c r="Q27" i="152"/>
  <c r="Q153" i="144"/>
  <c r="Q209" i="144"/>
  <c r="Q41" i="144"/>
  <c r="Q97" i="144"/>
  <c r="Q79" i="144"/>
  <c r="Q23" i="144"/>
  <c r="Q135" i="144"/>
  <c r="Q191" i="144"/>
  <c r="Q80" i="152"/>
  <c r="Q24" i="152"/>
  <c r="Q136" i="152"/>
  <c r="Q192" i="152"/>
  <c r="P211" i="147"/>
  <c r="P95" i="152"/>
  <c r="P151" i="152"/>
  <c r="P39" i="152"/>
  <c r="P47" i="152" s="1"/>
  <c r="P207" i="152"/>
  <c r="T34" i="137"/>
  <c r="Q71" i="134"/>
  <c r="Q65" i="147"/>
  <c r="T69" i="137"/>
  <c r="T56" i="138"/>
  <c r="U33" i="137"/>
  <c r="S86" i="137"/>
  <c r="S94" i="137" s="1"/>
  <c r="T50" i="137"/>
  <c r="S205" i="138"/>
  <c r="S58" i="137"/>
  <c r="S52" i="134"/>
  <c r="S47" i="147"/>
  <c r="S64" i="138"/>
  <c r="S54" i="134"/>
  <c r="S49" i="147"/>
  <c r="S66" i="138"/>
  <c r="T207" i="138"/>
  <c r="T88" i="137"/>
  <c r="U52" i="137"/>
  <c r="S211" i="134"/>
  <c r="S194" i="147"/>
  <c r="S221" i="138"/>
  <c r="R66" i="134"/>
  <c r="S205" i="147"/>
  <c r="U41" i="137"/>
  <c r="T130" i="138"/>
  <c r="T77" i="137"/>
  <c r="T122" i="147"/>
  <c r="T133" i="134"/>
  <c r="T144" i="138"/>
  <c r="R144" i="134"/>
  <c r="U132" i="138"/>
  <c r="V43" i="137"/>
  <c r="U79" i="137"/>
  <c r="R130" i="147"/>
  <c r="R221" i="134"/>
  <c r="R62" i="147"/>
  <c r="R203" i="147"/>
  <c r="T92" i="137"/>
  <c r="T211" i="138"/>
  <c r="U56" i="137"/>
  <c r="R132" i="147"/>
  <c r="S119" i="147"/>
  <c r="S141" i="138"/>
  <c r="S130" i="134"/>
  <c r="T50" i="138"/>
  <c r="T63" i="137"/>
  <c r="U27" i="137"/>
  <c r="U29" i="137"/>
  <c r="T65" i="137"/>
  <c r="T52" i="138"/>
  <c r="R67" i="134"/>
  <c r="R204" i="147"/>
  <c r="R207" i="147"/>
  <c r="R142" i="134"/>
  <c r="R148" i="134"/>
  <c r="R147" i="134"/>
  <c r="S118" i="147"/>
  <c r="S140" i="138"/>
  <c r="S129" i="134"/>
  <c r="R59" i="147"/>
  <c r="T81" i="137"/>
  <c r="U45" i="137"/>
  <c r="T134" i="138"/>
  <c r="R206" i="147"/>
  <c r="T209" i="138"/>
  <c r="T90" i="137"/>
  <c r="U54" i="137"/>
  <c r="Q202" i="147"/>
  <c r="S223" i="138"/>
  <c r="S213" i="134"/>
  <c r="S196" i="147"/>
  <c r="R136" i="147"/>
  <c r="U39" i="137"/>
  <c r="T128" i="138"/>
  <c r="T75" i="137"/>
  <c r="R208" i="147"/>
  <c r="R135" i="147"/>
  <c r="R65" i="134"/>
  <c r="S124" i="147"/>
  <c r="S146" i="138"/>
  <c r="S135" i="134"/>
  <c r="T64" i="137"/>
  <c r="T51" i="138"/>
  <c r="U28" i="137"/>
  <c r="S146" i="134"/>
  <c r="R217" i="138"/>
  <c r="R226" i="138" s="1"/>
  <c r="R207" i="134"/>
  <c r="R214" i="138"/>
  <c r="R190" i="147"/>
  <c r="R231" i="138"/>
  <c r="R63" i="147"/>
  <c r="S134" i="147"/>
  <c r="U31" i="137"/>
  <c r="T54" i="138"/>
  <c r="T67" i="137"/>
  <c r="R222" i="134"/>
  <c r="U55" i="137"/>
  <c r="T210" i="138"/>
  <c r="T91" i="137"/>
  <c r="S209" i="134"/>
  <c r="S219" i="138"/>
  <c r="S192" i="147"/>
  <c r="T129" i="138"/>
  <c r="T76" i="137"/>
  <c r="U40" i="137"/>
  <c r="T80" i="137"/>
  <c r="U44" i="137"/>
  <c r="T133" i="138"/>
  <c r="R60" i="147"/>
  <c r="R226" i="134"/>
  <c r="R58" i="147"/>
  <c r="S123" i="147"/>
  <c r="S134" i="134"/>
  <c r="S145" i="138"/>
  <c r="T210" i="134"/>
  <c r="T220" i="138"/>
  <c r="T193" i="147"/>
  <c r="R131" i="147"/>
  <c r="S46" i="147"/>
  <c r="S51" i="134"/>
  <c r="S63" i="138"/>
  <c r="R61" i="147"/>
  <c r="R69" i="134"/>
  <c r="S212" i="134"/>
  <c r="S195" i="147"/>
  <c r="S222" i="138"/>
  <c r="R224" i="134"/>
  <c r="S120" i="147"/>
  <c r="S131" i="134"/>
  <c r="S142" i="138"/>
  <c r="R225" i="134"/>
  <c r="S223" i="134"/>
  <c r="Q220" i="134"/>
  <c r="R68" i="134"/>
  <c r="U51" i="137"/>
  <c r="T87" i="137"/>
  <c r="T206" i="138"/>
  <c r="S191" i="147"/>
  <c r="S218" i="138"/>
  <c r="S208" i="134"/>
  <c r="U32" i="137"/>
  <c r="T68" i="137"/>
  <c r="T55" i="138"/>
  <c r="T66" i="137"/>
  <c r="T53" i="138"/>
  <c r="U30" i="137"/>
  <c r="S50" i="147"/>
  <c r="S67" i="138"/>
  <c r="S55" i="134"/>
  <c r="S48" i="147"/>
  <c r="S65" i="138"/>
  <c r="S53" i="134"/>
  <c r="S51" i="147"/>
  <c r="S56" i="134"/>
  <c r="S68" i="138"/>
  <c r="R143" i="134"/>
  <c r="R64" i="134"/>
  <c r="U208" i="138"/>
  <c r="U89" i="137"/>
  <c r="V53" i="137"/>
  <c r="S56" i="147"/>
  <c r="T44" i="147"/>
  <c r="S62" i="134"/>
  <c r="M74" i="137"/>
  <c r="M127" i="138"/>
  <c r="M117" i="147" s="1"/>
  <c r="U49" i="138"/>
  <c r="U62" i="137"/>
  <c r="V26" i="137"/>
  <c r="T61" i="138"/>
  <c r="T49" i="134"/>
  <c r="K46" i="137"/>
  <c r="N38" i="137"/>
  <c r="AE77" i="162" l="1"/>
  <c r="AF113" i="129"/>
  <c r="AF169" i="129"/>
  <c r="AN54" i="129"/>
  <c r="AL48" i="129"/>
  <c r="AO47" i="129"/>
  <c r="AM47" i="129" s="1"/>
  <c r="AJ48" i="129"/>
  <c r="AP48" i="129" s="1"/>
  <c r="AF55" i="129"/>
  <c r="AK55" i="162"/>
  <c r="AN54" i="162"/>
  <c r="AL54" i="162" s="1"/>
  <c r="AI54" i="162"/>
  <c r="AO54" i="162" s="1"/>
  <c r="AM61" i="162"/>
  <c r="R57" i="147"/>
  <c r="R172" i="152" s="1"/>
  <c r="R63" i="134"/>
  <c r="R172" i="144" s="1"/>
  <c r="R76" i="134"/>
  <c r="R78" i="134" s="1"/>
  <c r="R70" i="147"/>
  <c r="R72" i="147" s="1"/>
  <c r="S75" i="138"/>
  <c r="S62" i="138"/>
  <c r="S70" i="138" s="1"/>
  <c r="S50" i="134"/>
  <c r="S76" i="134" s="1"/>
  <c r="S78" i="134" s="1"/>
  <c r="S58" i="138"/>
  <c r="P159" i="152"/>
  <c r="P103" i="152"/>
  <c r="Q214" i="152"/>
  <c r="Q158" i="152"/>
  <c r="P215" i="152"/>
  <c r="Q46" i="152"/>
  <c r="Q214" i="144"/>
  <c r="Q199" i="147"/>
  <c r="P159" i="144"/>
  <c r="P103" i="144"/>
  <c r="Q102" i="144"/>
  <c r="P215" i="144"/>
  <c r="Q158" i="144"/>
  <c r="Q216" i="147"/>
  <c r="Q218" i="147" s="1"/>
  <c r="Q234" i="134"/>
  <c r="Q236" i="134" s="1"/>
  <c r="R214" i="134"/>
  <c r="R227" i="134" s="1"/>
  <c r="R46" i="144" s="1"/>
  <c r="R197" i="147"/>
  <c r="R209" i="147" s="1"/>
  <c r="R102" i="152" s="1"/>
  <c r="R224" i="138"/>
  <c r="S93" i="137"/>
  <c r="T57" i="137"/>
  <c r="S212" i="138"/>
  <c r="Q123" i="152"/>
  <c r="Q179" i="152"/>
  <c r="Q179" i="144"/>
  <c r="Q11" i="144"/>
  <c r="Q11" i="152"/>
  <c r="Q123" i="144"/>
  <c r="Q67" i="144"/>
  <c r="Q67" i="152"/>
  <c r="S210" i="144"/>
  <c r="S154" i="144"/>
  <c r="S98" i="144"/>
  <c r="S42" i="144"/>
  <c r="R173" i="152"/>
  <c r="R61" i="152"/>
  <c r="R5" i="152"/>
  <c r="R117" i="152"/>
  <c r="R213" i="144"/>
  <c r="R45" i="144"/>
  <c r="R101" i="144"/>
  <c r="R157" i="144"/>
  <c r="R101" i="152"/>
  <c r="R157" i="152"/>
  <c r="R213" i="152"/>
  <c r="R45" i="152"/>
  <c r="R80" i="152"/>
  <c r="R24" i="152"/>
  <c r="R192" i="152"/>
  <c r="R136" i="152"/>
  <c r="R196" i="144"/>
  <c r="R140" i="144"/>
  <c r="R84" i="144"/>
  <c r="R28" i="144"/>
  <c r="R121" i="152"/>
  <c r="R177" i="152"/>
  <c r="R65" i="152"/>
  <c r="R9" i="152"/>
  <c r="R208" i="144"/>
  <c r="R152" i="144"/>
  <c r="R96" i="144"/>
  <c r="R40" i="144"/>
  <c r="R64" i="152"/>
  <c r="R120" i="152"/>
  <c r="R176" i="152"/>
  <c r="R8" i="152"/>
  <c r="R64" i="144"/>
  <c r="R120" i="144"/>
  <c r="R176" i="144"/>
  <c r="R8" i="144"/>
  <c r="Q229" i="134"/>
  <c r="Q207" i="144"/>
  <c r="Q95" i="144"/>
  <c r="Q39" i="144"/>
  <c r="Q47" i="144" s="1"/>
  <c r="Q151" i="144"/>
  <c r="R43" i="152"/>
  <c r="R99" i="152"/>
  <c r="R211" i="152"/>
  <c r="R155" i="152"/>
  <c r="S59" i="144"/>
  <c r="S171" i="144"/>
  <c r="S3" i="144"/>
  <c r="S115" i="144"/>
  <c r="R118" i="152"/>
  <c r="R6" i="152"/>
  <c r="R174" i="152"/>
  <c r="R62" i="152"/>
  <c r="S59" i="152"/>
  <c r="S3" i="152"/>
  <c r="S171" i="152"/>
  <c r="S115" i="152"/>
  <c r="R63" i="144"/>
  <c r="R119" i="144"/>
  <c r="R175" i="144"/>
  <c r="R7" i="144"/>
  <c r="R99" i="144"/>
  <c r="R211" i="144"/>
  <c r="R43" i="144"/>
  <c r="R155" i="144"/>
  <c r="R7" i="152"/>
  <c r="R119" i="152"/>
  <c r="R175" i="152"/>
  <c r="R63" i="152"/>
  <c r="R191" i="144"/>
  <c r="R135" i="144"/>
  <c r="R23" i="144"/>
  <c r="R79" i="144"/>
  <c r="S194" i="152"/>
  <c r="S138" i="152"/>
  <c r="S26" i="152"/>
  <c r="S82" i="152"/>
  <c r="R84" i="152"/>
  <c r="R196" i="152"/>
  <c r="R140" i="152"/>
  <c r="R28" i="152"/>
  <c r="R178" i="152"/>
  <c r="R10" i="152"/>
  <c r="R122" i="152"/>
  <c r="R66" i="152"/>
  <c r="R78" i="152"/>
  <c r="R134" i="152"/>
  <c r="R190" i="152"/>
  <c r="R22" i="152"/>
  <c r="R121" i="144"/>
  <c r="R9" i="144"/>
  <c r="R65" i="144"/>
  <c r="R177" i="144"/>
  <c r="Q211" i="147"/>
  <c r="Q39" i="152"/>
  <c r="Q207" i="152"/>
  <c r="Q151" i="152"/>
  <c r="Q95" i="152"/>
  <c r="Q103" i="152" s="1"/>
  <c r="R212" i="144"/>
  <c r="R44" i="144"/>
  <c r="R156" i="144"/>
  <c r="R100" i="144"/>
  <c r="R62" i="144"/>
  <c r="R118" i="144"/>
  <c r="R6" i="144"/>
  <c r="R174" i="144"/>
  <c r="S210" i="152"/>
  <c r="S98" i="152"/>
  <c r="S154" i="152"/>
  <c r="S42" i="152"/>
  <c r="R195" i="152"/>
  <c r="R27" i="152"/>
  <c r="R139" i="152"/>
  <c r="R83" i="152"/>
  <c r="R209" i="144"/>
  <c r="R153" i="144"/>
  <c r="R97" i="144"/>
  <c r="R41" i="144"/>
  <c r="R173" i="144"/>
  <c r="R117" i="144"/>
  <c r="R5" i="144"/>
  <c r="R61" i="144"/>
  <c r="R83" i="144"/>
  <c r="R27" i="144"/>
  <c r="R139" i="144"/>
  <c r="R195" i="144"/>
  <c r="R96" i="152"/>
  <c r="R208" i="152"/>
  <c r="R152" i="152"/>
  <c r="R40" i="152"/>
  <c r="R134" i="144"/>
  <c r="R78" i="144"/>
  <c r="R190" i="144"/>
  <c r="R22" i="144"/>
  <c r="R66" i="144"/>
  <c r="R178" i="144"/>
  <c r="R10" i="144"/>
  <c r="R122" i="144"/>
  <c r="R44" i="152"/>
  <c r="R212" i="152"/>
  <c r="R156" i="152"/>
  <c r="R100" i="152"/>
  <c r="R153" i="152"/>
  <c r="R41" i="152"/>
  <c r="R209" i="152"/>
  <c r="R97" i="152"/>
  <c r="R23" i="152"/>
  <c r="R79" i="152"/>
  <c r="R135" i="152"/>
  <c r="R191" i="152"/>
  <c r="S138" i="144"/>
  <c r="S82" i="144"/>
  <c r="S26" i="144"/>
  <c r="S194" i="144"/>
  <c r="R192" i="144"/>
  <c r="R136" i="144"/>
  <c r="R80" i="144"/>
  <c r="R24" i="144"/>
  <c r="T70" i="137"/>
  <c r="T58" i="138"/>
  <c r="U34" i="137"/>
  <c r="S70" i="147"/>
  <c r="S72" i="147" s="1"/>
  <c r="S60" i="147"/>
  <c r="R202" i="147"/>
  <c r="S142" i="134"/>
  <c r="S206" i="147"/>
  <c r="S208" i="147"/>
  <c r="U65" i="137"/>
  <c r="U52" i="138"/>
  <c r="V29" i="137"/>
  <c r="S224" i="134"/>
  <c r="U53" i="138"/>
  <c r="U66" i="137"/>
  <c r="V30" i="137"/>
  <c r="T48" i="147"/>
  <c r="T53" i="134"/>
  <c r="T65" i="138"/>
  <c r="S222" i="134"/>
  <c r="S67" i="134"/>
  <c r="V54" i="137"/>
  <c r="U90" i="137"/>
  <c r="U209" i="138"/>
  <c r="S136" i="147"/>
  <c r="S131" i="147"/>
  <c r="S59" i="147"/>
  <c r="U68" i="137"/>
  <c r="U55" i="138"/>
  <c r="V32" i="137"/>
  <c r="T221" i="138"/>
  <c r="T194" i="147"/>
  <c r="T211" i="134"/>
  <c r="T146" i="134"/>
  <c r="S65" i="134"/>
  <c r="S69" i="134"/>
  <c r="S221" i="134"/>
  <c r="S144" i="134"/>
  <c r="T66" i="138"/>
  <c r="T49" i="147"/>
  <c r="T54" i="134"/>
  <c r="T134" i="147"/>
  <c r="S207" i="147"/>
  <c r="T119" i="147"/>
  <c r="T141" i="138"/>
  <c r="T130" i="134"/>
  <c r="U128" i="138"/>
  <c r="U75" i="137"/>
  <c r="V39" i="137"/>
  <c r="S64" i="134"/>
  <c r="V55" i="137"/>
  <c r="U91" i="137"/>
  <c r="U210" i="138"/>
  <c r="S143" i="134"/>
  <c r="S203" i="147"/>
  <c r="T123" i="147"/>
  <c r="T134" i="134"/>
  <c r="T145" i="138"/>
  <c r="T124" i="147"/>
  <c r="T146" i="138"/>
  <c r="T135" i="134"/>
  <c r="T196" i="147"/>
  <c r="T223" i="138"/>
  <c r="T213" i="134"/>
  <c r="T120" i="147"/>
  <c r="T142" i="138"/>
  <c r="T131" i="134"/>
  <c r="U50" i="137"/>
  <c r="T58" i="137"/>
  <c r="T205" i="138"/>
  <c r="T86" i="137"/>
  <c r="T94" i="137" s="1"/>
  <c r="T47" i="147"/>
  <c r="T64" i="138"/>
  <c r="T52" i="134"/>
  <c r="S68" i="134"/>
  <c r="S130" i="147"/>
  <c r="S204" i="147"/>
  <c r="U88" i="137"/>
  <c r="V52" i="137"/>
  <c r="U207" i="138"/>
  <c r="V89" i="137"/>
  <c r="V208" i="138"/>
  <c r="U51" i="138"/>
  <c r="V28" i="137"/>
  <c r="U64" i="137"/>
  <c r="T191" i="147"/>
  <c r="T218" i="138"/>
  <c r="T208" i="134"/>
  <c r="T223" i="134"/>
  <c r="U80" i="137"/>
  <c r="U133" i="138"/>
  <c r="V44" i="137"/>
  <c r="V45" i="137"/>
  <c r="U134" i="138"/>
  <c r="U81" i="137"/>
  <c r="U77" i="137"/>
  <c r="V41" i="137"/>
  <c r="U130" i="138"/>
  <c r="S225" i="134"/>
  <c r="R220" i="134"/>
  <c r="S58" i="147"/>
  <c r="T212" i="134"/>
  <c r="T222" i="138"/>
  <c r="T195" i="147"/>
  <c r="U122" i="147"/>
  <c r="U144" i="138"/>
  <c r="U133" i="134"/>
  <c r="S148" i="134"/>
  <c r="S53" i="147"/>
  <c r="V33" i="137"/>
  <c r="U69" i="137"/>
  <c r="U56" i="138"/>
  <c r="T56" i="134"/>
  <c r="T51" i="147"/>
  <c r="T68" i="138"/>
  <c r="S62" i="147"/>
  <c r="S226" i="134"/>
  <c r="V27" i="137"/>
  <c r="U63" i="137"/>
  <c r="U50" i="138"/>
  <c r="T50" i="134"/>
  <c r="T45" i="147"/>
  <c r="T62" i="138"/>
  <c r="T192" i="147"/>
  <c r="T209" i="134"/>
  <c r="T219" i="138"/>
  <c r="T75" i="138"/>
  <c r="U220" i="138"/>
  <c r="U210" i="134"/>
  <c r="U193" i="147"/>
  <c r="T46" i="147"/>
  <c r="T63" i="138"/>
  <c r="T51" i="134"/>
  <c r="V79" i="137"/>
  <c r="V132" i="138"/>
  <c r="S61" i="147"/>
  <c r="T55" i="134"/>
  <c r="T67" i="138"/>
  <c r="T50" i="147"/>
  <c r="S63" i="147"/>
  <c r="S132" i="147"/>
  <c r="T205" i="147"/>
  <c r="V31" i="137"/>
  <c r="U67" i="137"/>
  <c r="U54" i="138"/>
  <c r="U92" i="137"/>
  <c r="V56" i="137"/>
  <c r="U211" i="138"/>
  <c r="S190" i="147"/>
  <c r="S207" i="134"/>
  <c r="S214" i="138"/>
  <c r="S231" i="138"/>
  <c r="S217" i="138"/>
  <c r="S226" i="138" s="1"/>
  <c r="S57" i="147"/>
  <c r="S66" i="134"/>
  <c r="U87" i="137"/>
  <c r="U206" i="138"/>
  <c r="V51" i="137"/>
  <c r="S147" i="134"/>
  <c r="U129" i="138"/>
  <c r="U76" i="137"/>
  <c r="V40" i="137"/>
  <c r="S135" i="147"/>
  <c r="T129" i="134"/>
  <c r="T118" i="147"/>
  <c r="T140" i="138"/>
  <c r="U44" i="147"/>
  <c r="T56" i="147"/>
  <c r="M129" i="147"/>
  <c r="T62" i="134"/>
  <c r="V62" i="137"/>
  <c r="V49" i="138"/>
  <c r="N74" i="137"/>
  <c r="N127" i="138"/>
  <c r="N117" i="147" s="1"/>
  <c r="U61" i="138"/>
  <c r="U49" i="134"/>
  <c r="M128" i="134"/>
  <c r="M139" i="138"/>
  <c r="M42" i="137"/>
  <c r="L46" i="137"/>
  <c r="O38" i="137"/>
  <c r="AE78" i="162" l="1"/>
  <c r="AF114" i="129"/>
  <c r="AF170" i="129"/>
  <c r="AN55" i="129"/>
  <c r="AL49" i="129"/>
  <c r="AO48" i="129"/>
  <c r="AM48" i="129" s="1"/>
  <c r="AJ49" i="129"/>
  <c r="AP49" i="129" s="1"/>
  <c r="AM62" i="162"/>
  <c r="AN55" i="162"/>
  <c r="AL55" i="162" s="1"/>
  <c r="AK56" i="162"/>
  <c r="AI55" i="162"/>
  <c r="AO55" i="162" s="1"/>
  <c r="R116" i="152"/>
  <c r="R123" i="152" s="1"/>
  <c r="R4" i="152"/>
  <c r="R60" i="152"/>
  <c r="R67" i="152" s="1"/>
  <c r="R65" i="147"/>
  <c r="S63" i="134"/>
  <c r="S60" i="144" s="1"/>
  <c r="R60" i="144"/>
  <c r="R67" i="144" s="1"/>
  <c r="R71" i="134"/>
  <c r="R116" i="144"/>
  <c r="R123" i="144" s="1"/>
  <c r="R4" i="144"/>
  <c r="R11" i="144" s="1"/>
  <c r="S58" i="134"/>
  <c r="Q159" i="152"/>
  <c r="Q215" i="152"/>
  <c r="Q47" i="152"/>
  <c r="Q103" i="144"/>
  <c r="Q215" i="144"/>
  <c r="Q159" i="144"/>
  <c r="R46" i="152"/>
  <c r="R214" i="152"/>
  <c r="R158" i="152"/>
  <c r="R216" i="134"/>
  <c r="R234" i="134"/>
  <c r="R236" i="134" s="1"/>
  <c r="R216" i="147"/>
  <c r="R218" i="147" s="1"/>
  <c r="R214" i="144"/>
  <c r="R199" i="147"/>
  <c r="R158" i="144"/>
  <c r="R102" i="144"/>
  <c r="T93" i="137"/>
  <c r="U57" i="137"/>
  <c r="T212" i="138"/>
  <c r="S197" i="147"/>
  <c r="S209" i="147" s="1"/>
  <c r="S158" i="152" s="1"/>
  <c r="S214" i="134"/>
  <c r="S227" i="134" s="1"/>
  <c r="S46" i="144" s="1"/>
  <c r="S224" i="138"/>
  <c r="R11" i="152"/>
  <c r="R179" i="152"/>
  <c r="R179" i="144"/>
  <c r="S121" i="152"/>
  <c r="S177" i="152"/>
  <c r="S65" i="152"/>
  <c r="S9" i="152"/>
  <c r="S28" i="152"/>
  <c r="S84" i="152"/>
  <c r="S196" i="152"/>
  <c r="S140" i="152"/>
  <c r="S4" i="152"/>
  <c r="S116" i="152"/>
  <c r="S172" i="152"/>
  <c r="S60" i="152"/>
  <c r="T171" i="144"/>
  <c r="T3" i="144"/>
  <c r="T115" i="144"/>
  <c r="T59" i="144"/>
  <c r="S209" i="144"/>
  <c r="S153" i="144"/>
  <c r="S41" i="144"/>
  <c r="S97" i="144"/>
  <c r="T115" i="152"/>
  <c r="T171" i="152"/>
  <c r="T3" i="152"/>
  <c r="T59" i="152"/>
  <c r="S192" i="144"/>
  <c r="S136" i="144"/>
  <c r="S80" i="144"/>
  <c r="S24" i="144"/>
  <c r="S96" i="144"/>
  <c r="S40" i="144"/>
  <c r="S208" i="144"/>
  <c r="S152" i="144"/>
  <c r="S196" i="144"/>
  <c r="S84" i="144"/>
  <c r="S28" i="144"/>
  <c r="S140" i="144"/>
  <c r="S122" i="144"/>
  <c r="S178" i="144"/>
  <c r="S66" i="144"/>
  <c r="S10" i="144"/>
  <c r="S96" i="152"/>
  <c r="S152" i="152"/>
  <c r="S208" i="152"/>
  <c r="S40" i="152"/>
  <c r="S173" i="144"/>
  <c r="S5" i="144"/>
  <c r="S117" i="144"/>
  <c r="S61" i="144"/>
  <c r="S5" i="152"/>
  <c r="S173" i="152"/>
  <c r="S61" i="152"/>
  <c r="S117" i="152"/>
  <c r="S63" i="144"/>
  <c r="S119" i="144"/>
  <c r="S7" i="144"/>
  <c r="S175" i="144"/>
  <c r="S155" i="152"/>
  <c r="S43" i="152"/>
  <c r="S99" i="152"/>
  <c r="S211" i="152"/>
  <c r="S190" i="144"/>
  <c r="S134" i="144"/>
  <c r="S78" i="144"/>
  <c r="S22" i="144"/>
  <c r="R211" i="147"/>
  <c r="R39" i="152"/>
  <c r="R207" i="152"/>
  <c r="R95" i="152"/>
  <c r="R103" i="152" s="1"/>
  <c r="R151" i="152"/>
  <c r="M21" i="152"/>
  <c r="M77" i="152"/>
  <c r="M133" i="152"/>
  <c r="M189" i="152"/>
  <c r="S22" i="152"/>
  <c r="S78" i="152"/>
  <c r="S134" i="152"/>
  <c r="S190" i="152"/>
  <c r="S174" i="144"/>
  <c r="S62" i="144"/>
  <c r="S6" i="144"/>
  <c r="S118" i="144"/>
  <c r="T210" i="144"/>
  <c r="T154" i="144"/>
  <c r="T42" i="144"/>
  <c r="T98" i="144"/>
  <c r="T194" i="144"/>
  <c r="T138" i="144"/>
  <c r="T82" i="144"/>
  <c r="T26" i="144"/>
  <c r="S80" i="152"/>
  <c r="S24" i="152"/>
  <c r="S192" i="152"/>
  <c r="S136" i="152"/>
  <c r="S83" i="144"/>
  <c r="S27" i="144"/>
  <c r="S139" i="144"/>
  <c r="S195" i="144"/>
  <c r="V34" i="137"/>
  <c r="S118" i="152"/>
  <c r="S6" i="152"/>
  <c r="S174" i="152"/>
  <c r="S62" i="152"/>
  <c r="S64" i="152"/>
  <c r="S120" i="152"/>
  <c r="S176" i="152"/>
  <c r="S8" i="152"/>
  <c r="S212" i="144"/>
  <c r="S100" i="144"/>
  <c r="S156" i="144"/>
  <c r="S44" i="144"/>
  <c r="S44" i="152"/>
  <c r="S212" i="152"/>
  <c r="S156" i="152"/>
  <c r="S100" i="152"/>
  <c r="T26" i="152"/>
  <c r="T194" i="152"/>
  <c r="T138" i="152"/>
  <c r="T82" i="152"/>
  <c r="S64" i="144"/>
  <c r="S120" i="144"/>
  <c r="S176" i="144"/>
  <c r="S8" i="144"/>
  <c r="S63" i="152"/>
  <c r="S175" i="152"/>
  <c r="S119" i="152"/>
  <c r="S7" i="152"/>
  <c r="S153" i="152"/>
  <c r="S41" i="152"/>
  <c r="S209" i="152"/>
  <c r="S97" i="152"/>
  <c r="S121" i="144"/>
  <c r="S65" i="144"/>
  <c r="S177" i="144"/>
  <c r="S9" i="144"/>
  <c r="S135" i="144"/>
  <c r="S79" i="144"/>
  <c r="S23" i="144"/>
  <c r="S191" i="144"/>
  <c r="S195" i="152"/>
  <c r="S139" i="152"/>
  <c r="S27" i="152"/>
  <c r="S83" i="152"/>
  <c r="T210" i="152"/>
  <c r="T154" i="152"/>
  <c r="T98" i="152"/>
  <c r="T42" i="152"/>
  <c r="S155" i="144"/>
  <c r="S99" i="144"/>
  <c r="S211" i="144"/>
  <c r="S43" i="144"/>
  <c r="S178" i="152"/>
  <c r="S66" i="152"/>
  <c r="S122" i="152"/>
  <c r="S10" i="152"/>
  <c r="S157" i="144"/>
  <c r="S45" i="144"/>
  <c r="S213" i="144"/>
  <c r="S101" i="144"/>
  <c r="R229" i="134"/>
  <c r="R207" i="144"/>
  <c r="R95" i="144"/>
  <c r="R39" i="144"/>
  <c r="R47" i="144" s="1"/>
  <c r="R151" i="144"/>
  <c r="S135" i="152"/>
  <c r="S23" i="152"/>
  <c r="S79" i="152"/>
  <c r="S191" i="152"/>
  <c r="S101" i="152"/>
  <c r="S157" i="152"/>
  <c r="S45" i="152"/>
  <c r="S213" i="152"/>
  <c r="U70" i="137"/>
  <c r="T53" i="147"/>
  <c r="T70" i="138"/>
  <c r="S65" i="147"/>
  <c r="U65" i="138"/>
  <c r="U48" i="147"/>
  <c r="U53" i="134"/>
  <c r="T62" i="147"/>
  <c r="T63" i="134"/>
  <c r="V130" i="138"/>
  <c r="V77" i="137"/>
  <c r="U194" i="147"/>
  <c r="U211" i="134"/>
  <c r="U221" i="138"/>
  <c r="U134" i="147"/>
  <c r="V210" i="138"/>
  <c r="V91" i="137"/>
  <c r="T130" i="147"/>
  <c r="S220" i="134"/>
  <c r="S202" i="147"/>
  <c r="V122" i="147"/>
  <c r="V144" i="138"/>
  <c r="V133" i="134"/>
  <c r="V210" i="134"/>
  <c r="V193" i="147"/>
  <c r="V220" i="138"/>
  <c r="T207" i="147"/>
  <c r="V211" i="138"/>
  <c r="V92" i="137"/>
  <c r="T64" i="134"/>
  <c r="T225" i="134"/>
  <c r="T208" i="147"/>
  <c r="T143" i="134"/>
  <c r="U49" i="147"/>
  <c r="U54" i="134"/>
  <c r="U66" i="138"/>
  <c r="T58" i="147"/>
  <c r="T148" i="134"/>
  <c r="T224" i="134"/>
  <c r="T76" i="134"/>
  <c r="T78" i="134" s="1"/>
  <c r="U119" i="147"/>
  <c r="U130" i="134"/>
  <c r="U141" i="138"/>
  <c r="U205" i="147"/>
  <c r="T63" i="147"/>
  <c r="T131" i="147"/>
  <c r="T206" i="147"/>
  <c r="V75" i="137"/>
  <c r="V128" i="138"/>
  <c r="U118" i="147"/>
  <c r="U140" i="138"/>
  <c r="U129" i="134"/>
  <c r="V68" i="137"/>
  <c r="V55" i="138"/>
  <c r="T57" i="147"/>
  <c r="U62" i="138"/>
  <c r="U45" i="147"/>
  <c r="U50" i="134"/>
  <c r="V64" i="137"/>
  <c r="V51" i="138"/>
  <c r="T190" i="147"/>
  <c r="T207" i="134"/>
  <c r="T214" i="138"/>
  <c r="T231" i="138"/>
  <c r="T217" i="138"/>
  <c r="T226" i="138" s="1"/>
  <c r="U212" i="134"/>
  <c r="U195" i="147"/>
  <c r="U222" i="138"/>
  <c r="V52" i="138"/>
  <c r="V65" i="137"/>
  <c r="U205" i="138"/>
  <c r="U58" i="137"/>
  <c r="U86" i="137"/>
  <c r="U94" i="137" s="1"/>
  <c r="V50" i="137"/>
  <c r="U123" i="147"/>
  <c r="U134" i="134"/>
  <c r="U145" i="138"/>
  <c r="U219" i="138"/>
  <c r="U192" i="147"/>
  <c r="U209" i="134"/>
  <c r="U75" i="138"/>
  <c r="V206" i="138"/>
  <c r="V87" i="137"/>
  <c r="T203" i="147"/>
  <c r="T147" i="134"/>
  <c r="U50" i="147"/>
  <c r="U55" i="134"/>
  <c r="U67" i="138"/>
  <c r="T66" i="134"/>
  <c r="V209" i="138"/>
  <c r="V90" i="137"/>
  <c r="T142" i="134"/>
  <c r="U124" i="147"/>
  <c r="U146" i="138"/>
  <c r="U135" i="134"/>
  <c r="V69" i="137"/>
  <c r="V56" i="138"/>
  <c r="T135" i="147"/>
  <c r="T60" i="147"/>
  <c r="U146" i="134"/>
  <c r="T144" i="134"/>
  <c r="V81" i="137"/>
  <c r="V134" i="138"/>
  <c r="V67" i="137"/>
  <c r="V54" i="138"/>
  <c r="T69" i="134"/>
  <c r="T221" i="134"/>
  <c r="U68" i="138"/>
  <c r="U56" i="134"/>
  <c r="U51" i="147"/>
  <c r="T67" i="134"/>
  <c r="V66" i="137"/>
  <c r="V53" i="138"/>
  <c r="T59" i="147"/>
  <c r="U120" i="147"/>
  <c r="U142" i="138"/>
  <c r="U131" i="134"/>
  <c r="T68" i="134"/>
  <c r="U63" i="138"/>
  <c r="U46" i="147"/>
  <c r="U51" i="134"/>
  <c r="U47" i="147"/>
  <c r="U64" i="138"/>
  <c r="U52" i="134"/>
  <c r="V63" i="137"/>
  <c r="V50" i="138"/>
  <c r="T132" i="147"/>
  <c r="U196" i="147"/>
  <c r="U213" i="134"/>
  <c r="U223" i="138"/>
  <c r="V80" i="137"/>
  <c r="V133" i="138"/>
  <c r="T226" i="134"/>
  <c r="T58" i="134"/>
  <c r="T70" i="147"/>
  <c r="T72" i="147" s="1"/>
  <c r="V129" i="138"/>
  <c r="V76" i="137"/>
  <c r="V88" i="137"/>
  <c r="V207" i="138"/>
  <c r="U223" i="134"/>
  <c r="T136" i="147"/>
  <c r="U218" i="138"/>
  <c r="U208" i="134"/>
  <c r="U191" i="147"/>
  <c r="U58" i="138"/>
  <c r="T222" i="134"/>
  <c r="T204" i="147"/>
  <c r="T65" i="134"/>
  <c r="T61" i="147"/>
  <c r="U56" i="147"/>
  <c r="V44" i="147"/>
  <c r="N129" i="147"/>
  <c r="M141" i="134"/>
  <c r="M78" i="137"/>
  <c r="M82" i="137" s="1"/>
  <c r="M131" i="138"/>
  <c r="M121" i="147" s="1"/>
  <c r="U62" i="134"/>
  <c r="N139" i="138"/>
  <c r="N128" i="134"/>
  <c r="V61" i="138"/>
  <c r="V49" i="134"/>
  <c r="O74" i="137"/>
  <c r="O127" i="138"/>
  <c r="O117" i="147" s="1"/>
  <c r="N42" i="137"/>
  <c r="M46" i="137"/>
  <c r="P38" i="137"/>
  <c r="AE79" i="162" l="1"/>
  <c r="AL50" i="129"/>
  <c r="AO49" i="129"/>
  <c r="AM49" i="129" s="1"/>
  <c r="AJ50" i="129"/>
  <c r="AP50" i="129" s="1"/>
  <c r="AI56" i="162"/>
  <c r="AO56" i="162" s="1"/>
  <c r="AK57" i="162"/>
  <c r="AK58" i="162" s="1"/>
  <c r="AN56" i="162"/>
  <c r="AL56" i="162" s="1"/>
  <c r="AM63" i="162"/>
  <c r="S172" i="144"/>
  <c r="S179" i="144" s="1"/>
  <c r="S71" i="134"/>
  <c r="S116" i="144"/>
  <c r="S123" i="144" s="1"/>
  <c r="S4" i="144"/>
  <c r="S11" i="144" s="1"/>
  <c r="R159" i="152"/>
  <c r="R215" i="152"/>
  <c r="R215" i="144"/>
  <c r="S216" i="134"/>
  <c r="R47" i="152"/>
  <c r="R103" i="144"/>
  <c r="S102" i="152"/>
  <c r="R159" i="144"/>
  <c r="S46" i="152"/>
  <c r="S214" i="152"/>
  <c r="S234" i="134"/>
  <c r="S236" i="134" s="1"/>
  <c r="S216" i="147"/>
  <c r="S218" i="147" s="1"/>
  <c r="S158" i="144"/>
  <c r="S199" i="147"/>
  <c r="S214" i="144"/>
  <c r="T224" i="138"/>
  <c r="T197" i="147"/>
  <c r="T209" i="147" s="1"/>
  <c r="T102" i="152" s="1"/>
  <c r="T214" i="134"/>
  <c r="T227" i="134" s="1"/>
  <c r="T102" i="144" s="1"/>
  <c r="U212" i="138"/>
  <c r="U93" i="137"/>
  <c r="V57" i="137"/>
  <c r="S102" i="144"/>
  <c r="S67" i="152"/>
  <c r="S67" i="144"/>
  <c r="S11" i="152"/>
  <c r="S179" i="152"/>
  <c r="S123" i="152"/>
  <c r="M77" i="144"/>
  <c r="M21" i="144"/>
  <c r="M189" i="144"/>
  <c r="M133" i="144"/>
  <c r="U171" i="152"/>
  <c r="U115" i="152"/>
  <c r="U59" i="152"/>
  <c r="U3" i="152"/>
  <c r="S229" i="134"/>
  <c r="S207" i="144"/>
  <c r="S95" i="144"/>
  <c r="S39" i="144"/>
  <c r="S47" i="144" s="1"/>
  <c r="S151" i="144"/>
  <c r="T120" i="152"/>
  <c r="T176" i="152"/>
  <c r="T64" i="152"/>
  <c r="T8" i="152"/>
  <c r="T174" i="144"/>
  <c r="T62" i="144"/>
  <c r="T6" i="144"/>
  <c r="T118" i="144"/>
  <c r="T153" i="152"/>
  <c r="T41" i="152"/>
  <c r="T209" i="152"/>
  <c r="T97" i="152"/>
  <c r="T209" i="144"/>
  <c r="T153" i="144"/>
  <c r="T41" i="144"/>
  <c r="T97" i="144"/>
  <c r="T175" i="144"/>
  <c r="T119" i="144"/>
  <c r="T63" i="144"/>
  <c r="T7" i="144"/>
  <c r="T101" i="152"/>
  <c r="T45" i="152"/>
  <c r="T157" i="152"/>
  <c r="T213" i="152"/>
  <c r="T139" i="144"/>
  <c r="T83" i="144"/>
  <c r="T27" i="144"/>
  <c r="T195" i="144"/>
  <c r="T84" i="152"/>
  <c r="T196" i="152"/>
  <c r="T28" i="152"/>
  <c r="T140" i="152"/>
  <c r="T44" i="152"/>
  <c r="T156" i="152"/>
  <c r="T212" i="152"/>
  <c r="T100" i="152"/>
  <c r="U210" i="144"/>
  <c r="U154" i="144"/>
  <c r="U42" i="144"/>
  <c r="U98" i="144"/>
  <c r="U194" i="144"/>
  <c r="U138" i="144"/>
  <c r="U26" i="144"/>
  <c r="U82" i="144"/>
  <c r="T178" i="152"/>
  <c r="T66" i="152"/>
  <c r="T10" i="152"/>
  <c r="T122" i="152"/>
  <c r="T6" i="152"/>
  <c r="T118" i="152"/>
  <c r="T174" i="152"/>
  <c r="T62" i="152"/>
  <c r="T213" i="144"/>
  <c r="T45" i="144"/>
  <c r="T101" i="144"/>
  <c r="T157" i="144"/>
  <c r="T4" i="152"/>
  <c r="T172" i="152"/>
  <c r="T116" i="152"/>
  <c r="T60" i="152"/>
  <c r="T84" i="144"/>
  <c r="T28" i="144"/>
  <c r="T196" i="144"/>
  <c r="T140" i="144"/>
  <c r="T5" i="152"/>
  <c r="T61" i="152"/>
  <c r="T173" i="152"/>
  <c r="T117" i="152"/>
  <c r="T96" i="144"/>
  <c r="T208" i="144"/>
  <c r="T40" i="144"/>
  <c r="T152" i="144"/>
  <c r="T22" i="152"/>
  <c r="T134" i="152"/>
  <c r="T190" i="152"/>
  <c r="T78" i="152"/>
  <c r="T44" i="144"/>
  <c r="T100" i="144"/>
  <c r="T156" i="144"/>
  <c r="T212" i="144"/>
  <c r="U138" i="152"/>
  <c r="U26" i="152"/>
  <c r="U194" i="152"/>
  <c r="U82" i="152"/>
  <c r="T155" i="152"/>
  <c r="T211" i="152"/>
  <c r="T99" i="152"/>
  <c r="T43" i="152"/>
  <c r="T135" i="152"/>
  <c r="T23" i="152"/>
  <c r="T79" i="152"/>
  <c r="T191" i="152"/>
  <c r="T121" i="144"/>
  <c r="T65" i="144"/>
  <c r="T177" i="144"/>
  <c r="T9" i="144"/>
  <c r="T175" i="152"/>
  <c r="T63" i="152"/>
  <c r="T119" i="152"/>
  <c r="T7" i="152"/>
  <c r="U98" i="152"/>
  <c r="U154" i="152"/>
  <c r="U210" i="152"/>
  <c r="U42" i="152"/>
  <c r="T121" i="152"/>
  <c r="T65" i="152"/>
  <c r="T177" i="152"/>
  <c r="T9" i="152"/>
  <c r="N21" i="152"/>
  <c r="N133" i="152"/>
  <c r="N189" i="152"/>
  <c r="N77" i="152"/>
  <c r="T211" i="144"/>
  <c r="T155" i="144"/>
  <c r="T99" i="144"/>
  <c r="T43" i="144"/>
  <c r="S211" i="147"/>
  <c r="S95" i="152"/>
  <c r="S207" i="152"/>
  <c r="S39" i="152"/>
  <c r="S151" i="152"/>
  <c r="S159" i="152" s="1"/>
  <c r="T64" i="144"/>
  <c r="T120" i="144"/>
  <c r="T176" i="144"/>
  <c r="T8" i="144"/>
  <c r="T78" i="144"/>
  <c r="T134" i="144"/>
  <c r="T190" i="144"/>
  <c r="T22" i="144"/>
  <c r="T80" i="152"/>
  <c r="T192" i="152"/>
  <c r="T24" i="152"/>
  <c r="T136" i="152"/>
  <c r="T135" i="144"/>
  <c r="T191" i="144"/>
  <c r="T23" i="144"/>
  <c r="T79" i="144"/>
  <c r="T122" i="144"/>
  <c r="T66" i="144"/>
  <c r="T178" i="144"/>
  <c r="T10" i="144"/>
  <c r="T61" i="144"/>
  <c r="T173" i="144"/>
  <c r="T5" i="144"/>
  <c r="T117" i="144"/>
  <c r="T96" i="152"/>
  <c r="T208" i="152"/>
  <c r="T152" i="152"/>
  <c r="T40" i="152"/>
  <c r="T192" i="144"/>
  <c r="T80" i="144"/>
  <c r="T136" i="144"/>
  <c r="T24" i="144"/>
  <c r="U171" i="144"/>
  <c r="U115" i="144"/>
  <c r="U3" i="144"/>
  <c r="U59" i="144"/>
  <c r="T195" i="152"/>
  <c r="T139" i="152"/>
  <c r="T27" i="152"/>
  <c r="T83" i="152"/>
  <c r="T60" i="144"/>
  <c r="T172" i="144"/>
  <c r="T116" i="144"/>
  <c r="T4" i="144"/>
  <c r="V75" i="138"/>
  <c r="V70" i="137"/>
  <c r="U53" i="147"/>
  <c r="T71" i="134"/>
  <c r="U70" i="138"/>
  <c r="T65" i="147"/>
  <c r="U225" i="134"/>
  <c r="U130" i="147"/>
  <c r="V196" i="147"/>
  <c r="V223" i="138"/>
  <c r="V213" i="134"/>
  <c r="V140" i="138"/>
  <c r="V118" i="147"/>
  <c r="V129" i="134"/>
  <c r="T220" i="134"/>
  <c r="V192" i="147"/>
  <c r="V219" i="138"/>
  <c r="V209" i="134"/>
  <c r="U64" i="134"/>
  <c r="V56" i="134"/>
  <c r="V68" i="138"/>
  <c r="V51" i="147"/>
  <c r="T202" i="147"/>
  <c r="V205" i="147"/>
  <c r="U58" i="147"/>
  <c r="V54" i="134"/>
  <c r="V49" i="147"/>
  <c r="V66" i="138"/>
  <c r="U204" i="147"/>
  <c r="U61" i="147"/>
  <c r="U147" i="134"/>
  <c r="U144" i="134"/>
  <c r="U135" i="147"/>
  <c r="V120" i="147"/>
  <c r="V142" i="138"/>
  <c r="V131" i="134"/>
  <c r="V86" i="137"/>
  <c r="V94" i="137" s="1"/>
  <c r="V205" i="138"/>
  <c r="V58" i="137"/>
  <c r="U65" i="134"/>
  <c r="U59" i="147"/>
  <c r="V223" i="134"/>
  <c r="U63" i="134"/>
  <c r="V134" i="147"/>
  <c r="V123" i="147"/>
  <c r="V145" i="138"/>
  <c r="V134" i="134"/>
  <c r="U190" i="147"/>
  <c r="U217" i="138"/>
  <c r="U226" i="138" s="1"/>
  <c r="U207" i="134"/>
  <c r="U231" i="138"/>
  <c r="U214" i="138"/>
  <c r="V45" i="147"/>
  <c r="V50" i="134"/>
  <c r="V62" i="138"/>
  <c r="U58" i="134"/>
  <c r="U76" i="134"/>
  <c r="U78" i="134" s="1"/>
  <c r="U206" i="147"/>
  <c r="V67" i="138"/>
  <c r="V55" i="134"/>
  <c r="V50" i="147"/>
  <c r="U66" i="134"/>
  <c r="U207" i="147"/>
  <c r="U63" i="147"/>
  <c r="U69" i="134"/>
  <c r="V195" i="147"/>
  <c r="V212" i="134"/>
  <c r="V222" i="138"/>
  <c r="V46" i="147"/>
  <c r="V63" i="138"/>
  <c r="V51" i="134"/>
  <c r="V146" i="134"/>
  <c r="V119" i="147"/>
  <c r="V141" i="138"/>
  <c r="V130" i="134"/>
  <c r="U132" i="147"/>
  <c r="U203" i="147"/>
  <c r="U226" i="134"/>
  <c r="V48" i="147"/>
  <c r="V65" i="138"/>
  <c r="V53" i="134"/>
  <c r="U208" i="147"/>
  <c r="U68" i="134"/>
  <c r="V47" i="147"/>
  <c r="V64" i="138"/>
  <c r="V52" i="134"/>
  <c r="U143" i="134"/>
  <c r="U60" i="147"/>
  <c r="V218" i="138"/>
  <c r="V208" i="134"/>
  <c r="V191" i="147"/>
  <c r="U222" i="134"/>
  <c r="U148" i="134"/>
  <c r="U67" i="134"/>
  <c r="U224" i="134"/>
  <c r="V124" i="147"/>
  <c r="V146" i="138"/>
  <c r="V135" i="134"/>
  <c r="U136" i="147"/>
  <c r="U57" i="147"/>
  <c r="V194" i="147"/>
  <c r="V211" i="134"/>
  <c r="V221" i="138"/>
  <c r="V58" i="138"/>
  <c r="U70" i="147"/>
  <c r="U72" i="147" s="1"/>
  <c r="U221" i="134"/>
  <c r="U62" i="147"/>
  <c r="U142" i="134"/>
  <c r="U131" i="147"/>
  <c r="O129" i="147"/>
  <c r="V56" i="147"/>
  <c r="M133" i="147"/>
  <c r="M143" i="147"/>
  <c r="M145" i="147" s="1"/>
  <c r="M126" i="147"/>
  <c r="N141" i="134"/>
  <c r="N78" i="137"/>
  <c r="N82" i="137" s="1"/>
  <c r="N131" i="138"/>
  <c r="N121" i="147" s="1"/>
  <c r="M143" i="138"/>
  <c r="M148" i="138" s="1"/>
  <c r="M216" i="134" s="1"/>
  <c r="M132" i="134"/>
  <c r="M136" i="138"/>
  <c r="M153" i="138"/>
  <c r="V62" i="134"/>
  <c r="P74" i="137"/>
  <c r="P127" i="138"/>
  <c r="P117" i="147" s="1"/>
  <c r="O128" i="134"/>
  <c r="O139" i="138"/>
  <c r="O42" i="137"/>
  <c r="N46" i="137"/>
  <c r="Q38" i="137"/>
  <c r="AE80" i="162" l="1"/>
  <c r="AL51" i="129"/>
  <c r="AO50" i="129"/>
  <c r="AM50" i="129" s="1"/>
  <c r="AJ51" i="129"/>
  <c r="AP51" i="129" s="1"/>
  <c r="AN58" i="162"/>
  <c r="AL58" i="162" s="1"/>
  <c r="AK59" i="162"/>
  <c r="AI58" i="162"/>
  <c r="AM64" i="162"/>
  <c r="AN57" i="162"/>
  <c r="AL57" i="162" s="1"/>
  <c r="AI57" i="162"/>
  <c r="AO57" i="162" s="1"/>
  <c r="S215" i="152"/>
  <c r="S103" i="152"/>
  <c r="T234" i="134"/>
  <c r="T236" i="134" s="1"/>
  <c r="S47" i="152"/>
  <c r="S159" i="144"/>
  <c r="T216" i="134"/>
  <c r="S215" i="144"/>
  <c r="T158" i="152"/>
  <c r="T214" i="152"/>
  <c r="T199" i="147"/>
  <c r="T214" i="144"/>
  <c r="T216" i="147"/>
  <c r="T218" i="147" s="1"/>
  <c r="T46" i="144"/>
  <c r="U214" i="134"/>
  <c r="U227" i="134" s="1"/>
  <c r="U214" i="144" s="1"/>
  <c r="U197" i="147"/>
  <c r="U209" i="147" s="1"/>
  <c r="U158" i="152" s="1"/>
  <c r="U224" i="138"/>
  <c r="T46" i="152"/>
  <c r="T158" i="144"/>
  <c r="S103" i="144"/>
  <c r="V212" i="138"/>
  <c r="V93" i="137"/>
  <c r="T123" i="152"/>
  <c r="T179" i="152"/>
  <c r="T11" i="144"/>
  <c r="T123" i="144"/>
  <c r="T179" i="144"/>
  <c r="T67" i="144"/>
  <c r="T67" i="152"/>
  <c r="T11" i="152"/>
  <c r="O189" i="152"/>
  <c r="O133" i="152"/>
  <c r="O21" i="152"/>
  <c r="O77" i="152"/>
  <c r="U97" i="144"/>
  <c r="U153" i="144"/>
  <c r="U209" i="144"/>
  <c r="U41" i="144"/>
  <c r="V194" i="144"/>
  <c r="V138" i="144"/>
  <c r="V82" i="144"/>
  <c r="V26" i="144"/>
  <c r="U192" i="144"/>
  <c r="U136" i="144"/>
  <c r="U80" i="144"/>
  <c r="U24" i="144"/>
  <c r="U139" i="144"/>
  <c r="U83" i="144"/>
  <c r="U27" i="144"/>
  <c r="U195" i="144"/>
  <c r="U64" i="152"/>
  <c r="U176" i="152"/>
  <c r="U8" i="152"/>
  <c r="U120" i="152"/>
  <c r="U66" i="144"/>
  <c r="U122" i="144"/>
  <c r="U178" i="144"/>
  <c r="U10" i="144"/>
  <c r="U117" i="152"/>
  <c r="U5" i="152"/>
  <c r="U173" i="152"/>
  <c r="U61" i="152"/>
  <c r="U63" i="144"/>
  <c r="U7" i="144"/>
  <c r="U175" i="144"/>
  <c r="U119" i="144"/>
  <c r="V154" i="152"/>
  <c r="V210" i="152"/>
  <c r="V98" i="152"/>
  <c r="V42" i="152"/>
  <c r="N77" i="144"/>
  <c r="N21" i="144"/>
  <c r="N189" i="144"/>
  <c r="N133" i="144"/>
  <c r="T211" i="147"/>
  <c r="T39" i="152"/>
  <c r="T95" i="152"/>
  <c r="T103" i="152" s="1"/>
  <c r="T151" i="152"/>
  <c r="T207" i="152"/>
  <c r="U62" i="144"/>
  <c r="U174" i="144"/>
  <c r="U6" i="144"/>
  <c r="U118" i="144"/>
  <c r="V115" i="152"/>
  <c r="V3" i="152"/>
  <c r="V59" i="152"/>
  <c r="V171" i="152"/>
  <c r="U135" i="152"/>
  <c r="U23" i="152"/>
  <c r="U191" i="152"/>
  <c r="U79" i="152"/>
  <c r="U195" i="152"/>
  <c r="U139" i="152"/>
  <c r="U83" i="152"/>
  <c r="U27" i="152"/>
  <c r="U7" i="152"/>
  <c r="U175" i="152"/>
  <c r="U63" i="152"/>
  <c r="U119" i="152"/>
  <c r="U208" i="144"/>
  <c r="U96" i="144"/>
  <c r="U152" i="144"/>
  <c r="U40" i="144"/>
  <c r="V59" i="144"/>
  <c r="V115" i="144"/>
  <c r="V3" i="144"/>
  <c r="V171" i="144"/>
  <c r="U122" i="152"/>
  <c r="U178" i="152"/>
  <c r="U66" i="152"/>
  <c r="U10" i="152"/>
  <c r="V138" i="152"/>
  <c r="V82" i="152"/>
  <c r="V26" i="152"/>
  <c r="V194" i="152"/>
  <c r="U60" i="144"/>
  <c r="U172" i="144"/>
  <c r="U116" i="144"/>
  <c r="U4" i="144"/>
  <c r="U60" i="152"/>
  <c r="U172" i="152"/>
  <c r="U4" i="152"/>
  <c r="U116" i="152"/>
  <c r="V154" i="144"/>
  <c r="V210" i="144"/>
  <c r="V98" i="144"/>
  <c r="V42" i="144"/>
  <c r="U212" i="144"/>
  <c r="U156" i="144"/>
  <c r="U100" i="144"/>
  <c r="U44" i="144"/>
  <c r="U174" i="152"/>
  <c r="U6" i="152"/>
  <c r="U118" i="152"/>
  <c r="U62" i="152"/>
  <c r="U45" i="144"/>
  <c r="U213" i="144"/>
  <c r="U157" i="144"/>
  <c r="U101" i="144"/>
  <c r="U40" i="152"/>
  <c r="U152" i="152"/>
  <c r="U96" i="152"/>
  <c r="U208" i="152"/>
  <c r="U155" i="152"/>
  <c r="U99" i="152"/>
  <c r="U43" i="152"/>
  <c r="U211" i="152"/>
  <c r="U176" i="144"/>
  <c r="U64" i="144"/>
  <c r="U120" i="144"/>
  <c r="U8" i="144"/>
  <c r="U196" i="144"/>
  <c r="U84" i="144"/>
  <c r="U28" i="144"/>
  <c r="U140" i="144"/>
  <c r="U61" i="144"/>
  <c r="U173" i="144"/>
  <c r="U5" i="144"/>
  <c r="U117" i="144"/>
  <c r="U134" i="144"/>
  <c r="U78" i="144"/>
  <c r="U190" i="144"/>
  <c r="U22" i="144"/>
  <c r="T229" i="134"/>
  <c r="T207" i="144"/>
  <c r="T95" i="144"/>
  <c r="T103" i="144" s="1"/>
  <c r="T39" i="144"/>
  <c r="T151" i="144"/>
  <c r="U65" i="152"/>
  <c r="U121" i="152"/>
  <c r="U177" i="152"/>
  <c r="U9" i="152"/>
  <c r="U191" i="144"/>
  <c r="U135" i="144"/>
  <c r="U23" i="144"/>
  <c r="U79" i="144"/>
  <c r="U41" i="152"/>
  <c r="U153" i="152"/>
  <c r="U209" i="152"/>
  <c r="U97" i="152"/>
  <c r="U65" i="144"/>
  <c r="U121" i="144"/>
  <c r="U177" i="144"/>
  <c r="U9" i="144"/>
  <c r="U101" i="152"/>
  <c r="U45" i="152"/>
  <c r="U157" i="152"/>
  <c r="U213" i="152"/>
  <c r="U44" i="152"/>
  <c r="U212" i="152"/>
  <c r="U156" i="152"/>
  <c r="U100" i="152"/>
  <c r="U190" i="152"/>
  <c r="U22" i="152"/>
  <c r="U78" i="152"/>
  <c r="U134" i="152"/>
  <c r="U140" i="152"/>
  <c r="U28" i="152"/>
  <c r="U84" i="152"/>
  <c r="U196" i="152"/>
  <c r="M138" i="147"/>
  <c r="M193" i="152"/>
  <c r="M197" i="152" s="1"/>
  <c r="M25" i="152"/>
  <c r="M29" i="152" s="1"/>
  <c r="M81" i="152"/>
  <c r="M85" i="152" s="1"/>
  <c r="M137" i="152"/>
  <c r="M141" i="152" s="1"/>
  <c r="U211" i="144"/>
  <c r="U155" i="144"/>
  <c r="U99" i="144"/>
  <c r="U43" i="144"/>
  <c r="U192" i="152"/>
  <c r="U136" i="152"/>
  <c r="U80" i="152"/>
  <c r="U24" i="152"/>
  <c r="V70" i="138"/>
  <c r="V70" i="147"/>
  <c r="V72" i="147" s="1"/>
  <c r="U71" i="134"/>
  <c r="V58" i="134"/>
  <c r="U65" i="147"/>
  <c r="V57" i="147"/>
  <c r="U220" i="134"/>
  <c r="V224" i="134"/>
  <c r="V76" i="134"/>
  <c r="V78" i="134" s="1"/>
  <c r="V62" i="147"/>
  <c r="V131" i="147"/>
  <c r="V68" i="134"/>
  <c r="V132" i="147"/>
  <c r="V148" i="134"/>
  <c r="V226" i="134"/>
  <c r="V207" i="134"/>
  <c r="V214" i="138"/>
  <c r="V231" i="138"/>
  <c r="V190" i="147"/>
  <c r="V217" i="138"/>
  <c r="V226" i="138" s="1"/>
  <c r="V144" i="134"/>
  <c r="V136" i="147"/>
  <c r="V64" i="134"/>
  <c r="V208" i="147"/>
  <c r="V60" i="147"/>
  <c r="V204" i="147"/>
  <c r="V206" i="147"/>
  <c r="V147" i="134"/>
  <c r="V130" i="147"/>
  <c r="V58" i="147"/>
  <c r="V63" i="147"/>
  <c r="V66" i="134"/>
  <c r="U202" i="147"/>
  <c r="V142" i="134"/>
  <c r="V207" i="147"/>
  <c r="V63" i="134"/>
  <c r="V222" i="134"/>
  <c r="V203" i="147"/>
  <c r="V221" i="134"/>
  <c r="V61" i="147"/>
  <c r="V67" i="134"/>
  <c r="V143" i="134"/>
  <c r="V135" i="147"/>
  <c r="V65" i="134"/>
  <c r="V59" i="147"/>
  <c r="V53" i="147"/>
  <c r="V225" i="134"/>
  <c r="V69" i="134"/>
  <c r="P129" i="147"/>
  <c r="N133" i="147"/>
  <c r="N143" i="147"/>
  <c r="N145" i="147" s="1"/>
  <c r="N126" i="147"/>
  <c r="O141" i="134"/>
  <c r="O78" i="137"/>
  <c r="O82" i="137" s="1"/>
  <c r="O131" i="138"/>
  <c r="O121" i="147" s="1"/>
  <c r="N143" i="138"/>
  <c r="N148" i="138" s="1"/>
  <c r="N132" i="134"/>
  <c r="N153" i="138"/>
  <c r="N136" i="138"/>
  <c r="M145" i="134"/>
  <c r="M155" i="134"/>
  <c r="M157" i="134" s="1"/>
  <c r="M137" i="134"/>
  <c r="P128" i="134"/>
  <c r="P139" i="138"/>
  <c r="Q127" i="138"/>
  <c r="Q117" i="147" s="1"/>
  <c r="Q74" i="137"/>
  <c r="P42" i="137"/>
  <c r="O46" i="137"/>
  <c r="R38" i="137"/>
  <c r="AE81" i="162" l="1"/>
  <c r="AL52" i="129"/>
  <c r="AJ52" i="129" s="1"/>
  <c r="AP52" i="129" s="1"/>
  <c r="AO51" i="129"/>
  <c r="AM51" i="129" s="1"/>
  <c r="AO58" i="162"/>
  <c r="AK60" i="162"/>
  <c r="AN59" i="162"/>
  <c r="AL59" i="162" s="1"/>
  <c r="AI59" i="162"/>
  <c r="AO59" i="162" s="1"/>
  <c r="AM65" i="162"/>
  <c r="U234" i="134"/>
  <c r="U236" i="134" s="1"/>
  <c r="T215" i="152"/>
  <c r="T159" i="152"/>
  <c r="T215" i="144"/>
  <c r="U216" i="147"/>
  <c r="U218" i="147" s="1"/>
  <c r="T47" i="144"/>
  <c r="U199" i="147"/>
  <c r="U158" i="144"/>
  <c r="T47" i="152"/>
  <c r="U102" i="152"/>
  <c r="U102" i="144"/>
  <c r="U46" i="144"/>
  <c r="U214" i="152"/>
  <c r="U46" i="152"/>
  <c r="T159" i="144"/>
  <c r="V197" i="147"/>
  <c r="V209" i="147" s="1"/>
  <c r="V46" i="152" s="1"/>
  <c r="V224" i="138"/>
  <c r="V214" i="134"/>
  <c r="V227" i="134" s="1"/>
  <c r="V102" i="144" s="1"/>
  <c r="U123" i="152"/>
  <c r="U11" i="144"/>
  <c r="U67" i="152"/>
  <c r="U123" i="144"/>
  <c r="U179" i="144"/>
  <c r="U179" i="152"/>
  <c r="U67" i="144"/>
  <c r="U11" i="152"/>
  <c r="V44" i="144"/>
  <c r="V100" i="144"/>
  <c r="V156" i="144"/>
  <c r="V212" i="144"/>
  <c r="V190" i="152"/>
  <c r="V134" i="152"/>
  <c r="V78" i="152"/>
  <c r="V22" i="152"/>
  <c r="V174" i="152"/>
  <c r="V6" i="152"/>
  <c r="V118" i="152"/>
  <c r="V62" i="152"/>
  <c r="V195" i="152"/>
  <c r="V83" i="152"/>
  <c r="V139" i="152"/>
  <c r="V27" i="152"/>
  <c r="V7" i="152"/>
  <c r="V175" i="152"/>
  <c r="V119" i="152"/>
  <c r="V63" i="152"/>
  <c r="V64" i="144"/>
  <c r="V120" i="144"/>
  <c r="V176" i="144"/>
  <c r="V8" i="144"/>
  <c r="U229" i="134"/>
  <c r="U207" i="144"/>
  <c r="U215" i="144" s="1"/>
  <c r="U95" i="144"/>
  <c r="U151" i="144"/>
  <c r="U39" i="144"/>
  <c r="V196" i="152"/>
  <c r="V140" i="152"/>
  <c r="V28" i="152"/>
  <c r="V84" i="152"/>
  <c r="O133" i="144"/>
  <c r="O77" i="144"/>
  <c r="O21" i="144"/>
  <c r="O189" i="144"/>
  <c r="V213" i="144"/>
  <c r="V157" i="144"/>
  <c r="V101" i="144"/>
  <c r="V45" i="144"/>
  <c r="V140" i="144"/>
  <c r="V196" i="144"/>
  <c r="V84" i="144"/>
  <c r="V28" i="144"/>
  <c r="V177" i="144"/>
  <c r="V65" i="144"/>
  <c r="V121" i="144"/>
  <c r="V9" i="144"/>
  <c r="V23" i="152"/>
  <c r="V191" i="152"/>
  <c r="V135" i="152"/>
  <c r="V79" i="152"/>
  <c r="V195" i="144"/>
  <c r="V139" i="144"/>
  <c r="V27" i="144"/>
  <c r="V83" i="144"/>
  <c r="V211" i="152"/>
  <c r="V99" i="152"/>
  <c r="V43" i="152"/>
  <c r="V155" i="152"/>
  <c r="V191" i="144"/>
  <c r="V135" i="144"/>
  <c r="V79" i="144"/>
  <c r="V23" i="144"/>
  <c r="V173" i="144"/>
  <c r="V5" i="144"/>
  <c r="V117" i="144"/>
  <c r="V61" i="144"/>
  <c r="V172" i="152"/>
  <c r="V116" i="152"/>
  <c r="V60" i="152"/>
  <c r="V4" i="152"/>
  <c r="V80" i="144"/>
  <c r="V24" i="144"/>
  <c r="V192" i="144"/>
  <c r="V136" i="144"/>
  <c r="V97" i="144"/>
  <c r="V209" i="144"/>
  <c r="V153" i="144"/>
  <c r="V41" i="144"/>
  <c r="V172" i="144"/>
  <c r="V60" i="144"/>
  <c r="V116" i="144"/>
  <c r="V4" i="144"/>
  <c r="V44" i="152"/>
  <c r="V212" i="152"/>
  <c r="V100" i="152"/>
  <c r="V156" i="152"/>
  <c r="V63" i="144"/>
  <c r="V175" i="144"/>
  <c r="V7" i="144"/>
  <c r="V119" i="144"/>
  <c r="P21" i="152"/>
  <c r="P77" i="152"/>
  <c r="P133" i="152"/>
  <c r="P189" i="152"/>
  <c r="V122" i="152"/>
  <c r="V178" i="152"/>
  <c r="V10" i="152"/>
  <c r="V66" i="152"/>
  <c r="V65" i="152"/>
  <c r="V121" i="152"/>
  <c r="V9" i="152"/>
  <c r="V177" i="152"/>
  <c r="V62" i="144"/>
  <c r="V174" i="144"/>
  <c r="V6" i="144"/>
  <c r="V118" i="144"/>
  <c r="V41" i="152"/>
  <c r="V97" i="152"/>
  <c r="V153" i="152"/>
  <c r="V209" i="152"/>
  <c r="V211" i="144"/>
  <c r="V155" i="144"/>
  <c r="V99" i="144"/>
  <c r="V43" i="144"/>
  <c r="V101" i="152"/>
  <c r="V157" i="152"/>
  <c r="V45" i="152"/>
  <c r="V213" i="152"/>
  <c r="M193" i="144"/>
  <c r="M197" i="144" s="1"/>
  <c r="M25" i="144"/>
  <c r="M29" i="144" s="1"/>
  <c r="M137" i="144"/>
  <c r="M141" i="144" s="1"/>
  <c r="M81" i="144"/>
  <c r="M85" i="144" s="1"/>
  <c r="V8" i="152"/>
  <c r="V64" i="152"/>
  <c r="V176" i="152"/>
  <c r="V120" i="152"/>
  <c r="V208" i="144"/>
  <c r="V96" i="144"/>
  <c r="V152" i="144"/>
  <c r="V40" i="144"/>
  <c r="V152" i="152"/>
  <c r="V208" i="152"/>
  <c r="V96" i="152"/>
  <c r="V40" i="152"/>
  <c r="V134" i="144"/>
  <c r="V78" i="144"/>
  <c r="V190" i="144"/>
  <c r="V22" i="144"/>
  <c r="U211" i="147"/>
  <c r="U39" i="152"/>
  <c r="U95" i="152"/>
  <c r="U207" i="152"/>
  <c r="U151" i="152"/>
  <c r="U159" i="152" s="1"/>
  <c r="N138" i="147"/>
  <c r="N193" i="152"/>
  <c r="N197" i="152" s="1"/>
  <c r="N25" i="152"/>
  <c r="N29" i="152" s="1"/>
  <c r="N81" i="152"/>
  <c r="N85" i="152" s="1"/>
  <c r="N137" i="152"/>
  <c r="N141" i="152" s="1"/>
  <c r="V122" i="144"/>
  <c r="V66" i="144"/>
  <c r="V10" i="144"/>
  <c r="V178" i="144"/>
  <c r="V117" i="152"/>
  <c r="V173" i="152"/>
  <c r="V61" i="152"/>
  <c r="V5" i="152"/>
  <c r="V192" i="152"/>
  <c r="V136" i="152"/>
  <c r="V80" i="152"/>
  <c r="V24" i="152"/>
  <c r="M150" i="134"/>
  <c r="V71" i="134"/>
  <c r="V65" i="147"/>
  <c r="V220" i="134"/>
  <c r="V202" i="147"/>
  <c r="Q129" i="147"/>
  <c r="O133" i="147"/>
  <c r="O143" i="147"/>
  <c r="O145" i="147" s="1"/>
  <c r="O126" i="147"/>
  <c r="P141" i="134"/>
  <c r="N145" i="134"/>
  <c r="N155" i="134"/>
  <c r="N157" i="134" s="1"/>
  <c r="N137" i="134"/>
  <c r="O143" i="138"/>
  <c r="O148" i="138" s="1"/>
  <c r="O132" i="134"/>
  <c r="O153" i="138"/>
  <c r="O136" i="138"/>
  <c r="P78" i="137"/>
  <c r="P82" i="137" s="1"/>
  <c r="P131" i="138"/>
  <c r="P121" i="147" s="1"/>
  <c r="Q128" i="134"/>
  <c r="Q139" i="138"/>
  <c r="R127" i="138"/>
  <c r="R117" i="147" s="1"/>
  <c r="R74" i="137"/>
  <c r="Q42" i="137"/>
  <c r="P46" i="137"/>
  <c r="S38" i="137"/>
  <c r="AE82" i="162" l="1"/>
  <c r="AL53" i="129"/>
  <c r="AJ53" i="129" s="1"/>
  <c r="AP53" i="129" s="1"/>
  <c r="AO52" i="129"/>
  <c r="AM52" i="129" s="1"/>
  <c r="AN60" i="162"/>
  <c r="AL60" i="162" s="1"/>
  <c r="AK61" i="162"/>
  <c r="AI60" i="162"/>
  <c r="AO60" i="162" s="1"/>
  <c r="AM66" i="162"/>
  <c r="U103" i="152"/>
  <c r="U103" i="144"/>
  <c r="U47" i="144"/>
  <c r="U159" i="144"/>
  <c r="V199" i="147"/>
  <c r="U215" i="152"/>
  <c r="V214" i="144"/>
  <c r="V216" i="147"/>
  <c r="V218" i="147" s="1"/>
  <c r="V234" i="134"/>
  <c r="V236" i="134" s="1"/>
  <c r="V216" i="134"/>
  <c r="U47" i="152"/>
  <c r="V46" i="144"/>
  <c r="V158" i="144"/>
  <c r="V102" i="152"/>
  <c r="V158" i="152"/>
  <c r="V214" i="152"/>
  <c r="V67" i="144"/>
  <c r="V123" i="152"/>
  <c r="V11" i="144"/>
  <c r="V11" i="152"/>
  <c r="V179" i="152"/>
  <c r="V179" i="144"/>
  <c r="V123" i="144"/>
  <c r="V67" i="152"/>
  <c r="Q189" i="152"/>
  <c r="Q77" i="152"/>
  <c r="Q21" i="152"/>
  <c r="Q133" i="152"/>
  <c r="O138" i="147"/>
  <c r="O193" i="152"/>
  <c r="O197" i="152" s="1"/>
  <c r="O81" i="152"/>
  <c r="O85" i="152" s="1"/>
  <c r="O137" i="152"/>
  <c r="O141" i="152" s="1"/>
  <c r="O25" i="152"/>
  <c r="O29" i="152" s="1"/>
  <c r="V229" i="134"/>
  <c r="V207" i="144"/>
  <c r="V151" i="144"/>
  <c r="V95" i="144"/>
  <c r="V103" i="144" s="1"/>
  <c r="V39" i="144"/>
  <c r="N193" i="144"/>
  <c r="N197" i="144" s="1"/>
  <c r="N137" i="144"/>
  <c r="N141" i="144" s="1"/>
  <c r="N25" i="144"/>
  <c r="N29" i="144" s="1"/>
  <c r="N81" i="144"/>
  <c r="N85" i="144" s="1"/>
  <c r="V211" i="147"/>
  <c r="V207" i="152"/>
  <c r="V151" i="152"/>
  <c r="V95" i="152"/>
  <c r="V39" i="152"/>
  <c r="V47" i="152" s="1"/>
  <c r="P189" i="144"/>
  <c r="P133" i="144"/>
  <c r="P77" i="144"/>
  <c r="P21" i="144"/>
  <c r="N150" i="134"/>
  <c r="R129" i="147"/>
  <c r="P133" i="147"/>
  <c r="P126" i="147"/>
  <c r="P143" i="147"/>
  <c r="P145" i="147" s="1"/>
  <c r="Q141" i="134"/>
  <c r="P143" i="138"/>
  <c r="P148" i="138" s="1"/>
  <c r="P132" i="134"/>
  <c r="P153" i="138"/>
  <c r="P136" i="138"/>
  <c r="O145" i="134"/>
  <c r="O137" i="134"/>
  <c r="O155" i="134"/>
  <c r="O157" i="134" s="1"/>
  <c r="Q78" i="137"/>
  <c r="Q82" i="137" s="1"/>
  <c r="Q131" i="138"/>
  <c r="Q121" i="147" s="1"/>
  <c r="S74" i="137"/>
  <c r="S127" i="138"/>
  <c r="S117" i="147" s="1"/>
  <c r="R128" i="134"/>
  <c r="R139" i="138"/>
  <c r="R42" i="137"/>
  <c r="Q46" i="137"/>
  <c r="T38" i="137"/>
  <c r="AE83" i="162" l="1"/>
  <c r="AL54" i="129"/>
  <c r="AJ54" i="129" s="1"/>
  <c r="AP54" i="129" s="1"/>
  <c r="AO53" i="129"/>
  <c r="AM53" i="129" s="1"/>
  <c r="AK62" i="162"/>
  <c r="AN61" i="162"/>
  <c r="AL61" i="162" s="1"/>
  <c r="AI61" i="162"/>
  <c r="AO61" i="162" s="1"/>
  <c r="AM67" i="162"/>
  <c r="V215" i="144"/>
  <c r="V47" i="144"/>
  <c r="V159" i="144"/>
  <c r="V215" i="152"/>
  <c r="V159" i="152"/>
  <c r="V103" i="152"/>
  <c r="O193" i="144"/>
  <c r="O197" i="144" s="1"/>
  <c r="O137" i="144"/>
  <c r="O141" i="144" s="1"/>
  <c r="O25" i="144"/>
  <c r="O29" i="144" s="1"/>
  <c r="O81" i="144"/>
  <c r="O85" i="144" s="1"/>
  <c r="R189" i="152"/>
  <c r="R21" i="152"/>
  <c r="R133" i="152"/>
  <c r="R77" i="152"/>
  <c r="Q189" i="144"/>
  <c r="Q21" i="144"/>
  <c r="Q77" i="144"/>
  <c r="Q133" i="144"/>
  <c r="P138" i="147"/>
  <c r="P81" i="152"/>
  <c r="P85" i="152" s="1"/>
  <c r="P193" i="152"/>
  <c r="P197" i="152" s="1"/>
  <c r="P137" i="152"/>
  <c r="P141" i="152" s="1"/>
  <c r="P25" i="152"/>
  <c r="P29" i="152" s="1"/>
  <c r="O150" i="134"/>
  <c r="S129" i="147"/>
  <c r="Q133" i="147"/>
  <c r="Q143" i="147"/>
  <c r="Q145" i="147" s="1"/>
  <c r="Q126" i="147"/>
  <c r="R141" i="134"/>
  <c r="Q143" i="138"/>
  <c r="Q148" i="138" s="1"/>
  <c r="Q216" i="134" s="1"/>
  <c r="Q132" i="134"/>
  <c r="Q153" i="138"/>
  <c r="Q136" i="138"/>
  <c r="P145" i="134"/>
  <c r="P137" i="134"/>
  <c r="P155" i="134"/>
  <c r="P157" i="134" s="1"/>
  <c r="R78" i="137"/>
  <c r="R82" i="137" s="1"/>
  <c r="R131" i="138"/>
  <c r="R121" i="147" s="1"/>
  <c r="S128" i="134"/>
  <c r="S139" i="138"/>
  <c r="T127" i="138"/>
  <c r="T117" i="147" s="1"/>
  <c r="T74" i="137"/>
  <c r="S42" i="137"/>
  <c r="R46" i="137"/>
  <c r="U38" i="137"/>
  <c r="AE84" i="162" l="1"/>
  <c r="AL55" i="129"/>
  <c r="AO55" i="129" s="1"/>
  <c r="AM55" i="129" s="1"/>
  <c r="AO54" i="129"/>
  <c r="AM54" i="129" s="1"/>
  <c r="AJ55" i="129"/>
  <c r="AP55" i="129" s="1"/>
  <c r="AN62" i="162"/>
  <c r="AL62" i="162" s="1"/>
  <c r="AK63" i="162"/>
  <c r="AI62" i="162"/>
  <c r="AO62" i="162" s="1"/>
  <c r="AM68" i="162"/>
  <c r="Q138" i="147"/>
  <c r="Q137" i="152"/>
  <c r="Q141" i="152" s="1"/>
  <c r="Q25" i="152"/>
  <c r="Q29" i="152" s="1"/>
  <c r="Q81" i="152"/>
  <c r="Q85" i="152" s="1"/>
  <c r="Q193" i="152"/>
  <c r="Q197" i="152" s="1"/>
  <c r="P137" i="144"/>
  <c r="P141" i="144" s="1"/>
  <c r="P81" i="144"/>
  <c r="P85" i="144" s="1"/>
  <c r="P25" i="144"/>
  <c r="P29" i="144" s="1"/>
  <c r="P193" i="144"/>
  <c r="P197" i="144" s="1"/>
  <c r="R189" i="144"/>
  <c r="R21" i="144"/>
  <c r="R77" i="144"/>
  <c r="R133" i="144"/>
  <c r="S189" i="152"/>
  <c r="S21" i="152"/>
  <c r="S133" i="152"/>
  <c r="S77" i="152"/>
  <c r="P150" i="134"/>
  <c r="R133" i="147"/>
  <c r="R126" i="147"/>
  <c r="R143" i="147"/>
  <c r="R145" i="147" s="1"/>
  <c r="T129" i="147"/>
  <c r="S141" i="134"/>
  <c r="R143" i="138"/>
  <c r="R148" i="138" s="1"/>
  <c r="R132" i="134"/>
  <c r="R136" i="138"/>
  <c r="R153" i="138"/>
  <c r="Q145" i="134"/>
  <c r="Q155" i="134"/>
  <c r="Q157" i="134" s="1"/>
  <c r="Q137" i="134"/>
  <c r="S78" i="137"/>
  <c r="S82" i="137" s="1"/>
  <c r="S131" i="138"/>
  <c r="S121" i="147" s="1"/>
  <c r="U74" i="137"/>
  <c r="U127" i="138"/>
  <c r="U117" i="147" s="1"/>
  <c r="T128" i="134"/>
  <c r="T139" i="138"/>
  <c r="T42" i="137"/>
  <c r="S46" i="137"/>
  <c r="V38" i="137"/>
  <c r="AE85" i="162" l="1"/>
  <c r="AK64" i="162"/>
  <c r="AN63" i="162"/>
  <c r="AL63" i="162" s="1"/>
  <c r="AI63" i="162"/>
  <c r="AO63" i="162" s="1"/>
  <c r="AM69" i="162"/>
  <c r="S189" i="144"/>
  <c r="S21" i="144"/>
  <c r="S77" i="144"/>
  <c r="S133" i="144"/>
  <c r="R138" i="147"/>
  <c r="R137" i="152"/>
  <c r="R141" i="152" s="1"/>
  <c r="R25" i="152"/>
  <c r="R29" i="152" s="1"/>
  <c r="R193" i="152"/>
  <c r="R197" i="152" s="1"/>
  <c r="R81" i="152"/>
  <c r="R85" i="152" s="1"/>
  <c r="Q193" i="144"/>
  <c r="Q197" i="144" s="1"/>
  <c r="Q137" i="144"/>
  <c r="Q141" i="144" s="1"/>
  <c r="Q81" i="144"/>
  <c r="Q85" i="144" s="1"/>
  <c r="Q25" i="144"/>
  <c r="Q29" i="144" s="1"/>
  <c r="T21" i="152"/>
  <c r="T189" i="152"/>
  <c r="T133" i="152"/>
  <c r="T77" i="152"/>
  <c r="Q150" i="134"/>
  <c r="U129" i="147"/>
  <c r="S133" i="147"/>
  <c r="S126" i="147"/>
  <c r="S143" i="147"/>
  <c r="S145" i="147" s="1"/>
  <c r="T141" i="134"/>
  <c r="S143" i="138"/>
  <c r="S148" i="138" s="1"/>
  <c r="S132" i="134"/>
  <c r="S153" i="138"/>
  <c r="S136" i="138"/>
  <c r="R145" i="134"/>
  <c r="R155" i="134"/>
  <c r="R157" i="134" s="1"/>
  <c r="R137" i="134"/>
  <c r="T78" i="137"/>
  <c r="T82" i="137" s="1"/>
  <c r="T131" i="138"/>
  <c r="T121" i="147" s="1"/>
  <c r="V127" i="138"/>
  <c r="V117" i="147" s="1"/>
  <c r="V74" i="137"/>
  <c r="U128" i="134"/>
  <c r="U139" i="138"/>
  <c r="U42" i="137"/>
  <c r="T46" i="137"/>
  <c r="AE86" i="162" l="1"/>
  <c r="AN64" i="162"/>
  <c r="AL64" i="162" s="1"/>
  <c r="AK65" i="162"/>
  <c r="AI64" i="162"/>
  <c r="AO64" i="162" s="1"/>
  <c r="AM70" i="162"/>
  <c r="T189" i="144"/>
  <c r="T21" i="144"/>
  <c r="T77" i="144"/>
  <c r="T133" i="144"/>
  <c r="U189" i="152"/>
  <c r="U133" i="152"/>
  <c r="U77" i="152"/>
  <c r="U21" i="152"/>
  <c r="R193" i="144"/>
  <c r="R197" i="144" s="1"/>
  <c r="R137" i="144"/>
  <c r="R141" i="144" s="1"/>
  <c r="R81" i="144"/>
  <c r="R85" i="144" s="1"/>
  <c r="R25" i="144"/>
  <c r="R29" i="144" s="1"/>
  <c r="S138" i="147"/>
  <c r="S137" i="152"/>
  <c r="S141" i="152" s="1"/>
  <c r="S25" i="152"/>
  <c r="S29" i="152" s="1"/>
  <c r="S81" i="152"/>
  <c r="S85" i="152" s="1"/>
  <c r="S193" i="152"/>
  <c r="S197" i="152" s="1"/>
  <c r="R150" i="134"/>
  <c r="V129" i="147"/>
  <c r="T133" i="147"/>
  <c r="T143" i="147"/>
  <c r="T145" i="147" s="1"/>
  <c r="T126" i="147"/>
  <c r="U141" i="134"/>
  <c r="S145" i="134"/>
  <c r="S155" i="134"/>
  <c r="S157" i="134" s="1"/>
  <c r="S137" i="134"/>
  <c r="T132" i="134"/>
  <c r="T143" i="138"/>
  <c r="T148" i="138" s="1"/>
  <c r="T153" i="138"/>
  <c r="T136" i="138"/>
  <c r="U78" i="137"/>
  <c r="U82" i="137" s="1"/>
  <c r="U131" i="138"/>
  <c r="U121" i="147" s="1"/>
  <c r="V128" i="134"/>
  <c r="V139" i="138"/>
  <c r="V42" i="137"/>
  <c r="U46" i="137"/>
  <c r="AE87" i="162" l="1"/>
  <c r="AN65" i="162"/>
  <c r="AL65" i="162" s="1"/>
  <c r="AK66" i="162"/>
  <c r="AI65" i="162"/>
  <c r="AO65" i="162" s="1"/>
  <c r="AM71" i="162"/>
  <c r="U189" i="144"/>
  <c r="U21" i="144"/>
  <c r="U77" i="144"/>
  <c r="U133" i="144"/>
  <c r="T138" i="147"/>
  <c r="T25" i="152"/>
  <c r="T29" i="152" s="1"/>
  <c r="T137" i="152"/>
  <c r="T141" i="152" s="1"/>
  <c r="T193" i="152"/>
  <c r="T197" i="152" s="1"/>
  <c r="T81" i="152"/>
  <c r="T85" i="152" s="1"/>
  <c r="S193" i="144"/>
  <c r="S197" i="144" s="1"/>
  <c r="S137" i="144"/>
  <c r="S141" i="144" s="1"/>
  <c r="S81" i="144"/>
  <c r="S85" i="144" s="1"/>
  <c r="S25" i="144"/>
  <c r="S29" i="144" s="1"/>
  <c r="V133" i="152"/>
  <c r="V21" i="152"/>
  <c r="V189" i="152"/>
  <c r="V77" i="152"/>
  <c r="S150" i="134"/>
  <c r="U133" i="147"/>
  <c r="U143" i="147"/>
  <c r="U145" i="147" s="1"/>
  <c r="U126" i="147"/>
  <c r="V141" i="134"/>
  <c r="V46" i="137"/>
  <c r="V78" i="137"/>
  <c r="V82" i="137" s="1"/>
  <c r="V131" i="138"/>
  <c r="V121" i="147" s="1"/>
  <c r="T145" i="134"/>
  <c r="T137" i="134"/>
  <c r="T155" i="134"/>
  <c r="T157" i="134" s="1"/>
  <c r="U143" i="138"/>
  <c r="U148" i="138" s="1"/>
  <c r="U216" i="134" s="1"/>
  <c r="U132" i="134"/>
  <c r="U153" i="138"/>
  <c r="U136" i="138"/>
  <c r="AE88" i="162" l="1"/>
  <c r="AI66" i="162"/>
  <c r="AO66" i="162" s="1"/>
  <c r="AN66" i="162"/>
  <c r="AL66" i="162" s="1"/>
  <c r="AK67" i="162"/>
  <c r="AM72" i="162"/>
  <c r="T193" i="144"/>
  <c r="T197" i="144" s="1"/>
  <c r="T137" i="144"/>
  <c r="T141" i="144" s="1"/>
  <c r="T81" i="144"/>
  <c r="T85" i="144" s="1"/>
  <c r="T25" i="144"/>
  <c r="T29" i="144" s="1"/>
  <c r="V189" i="144"/>
  <c r="V21" i="144"/>
  <c r="V133" i="144"/>
  <c r="V77" i="144"/>
  <c r="U138" i="147"/>
  <c r="U81" i="152"/>
  <c r="U85" i="152" s="1"/>
  <c r="U25" i="152"/>
  <c r="U29" i="152" s="1"/>
  <c r="U137" i="152"/>
  <c r="U141" i="152" s="1"/>
  <c r="U193" i="152"/>
  <c r="U197" i="152" s="1"/>
  <c r="T150" i="134"/>
  <c r="V133" i="147"/>
  <c r="V143" i="147"/>
  <c r="V145" i="147" s="1"/>
  <c r="V126" i="147"/>
  <c r="U145" i="134"/>
  <c r="U155" i="134"/>
  <c r="U157" i="134" s="1"/>
  <c r="U137" i="134"/>
  <c r="V143" i="138"/>
  <c r="V148" i="138" s="1"/>
  <c r="V132" i="134"/>
  <c r="V153" i="138"/>
  <c r="V136" i="138"/>
  <c r="AE89" i="162" l="1"/>
  <c r="AK68" i="162"/>
  <c r="AN67" i="162"/>
  <c r="AL67" i="162" s="1"/>
  <c r="AI67" i="162"/>
  <c r="AO67" i="162" s="1"/>
  <c r="AM73" i="162"/>
  <c r="V138" i="147"/>
  <c r="V81" i="152"/>
  <c r="V85" i="152" s="1"/>
  <c r="V25" i="152"/>
  <c r="V29" i="152" s="1"/>
  <c r="V193" i="152"/>
  <c r="V197" i="152" s="1"/>
  <c r="V137" i="152"/>
  <c r="V141" i="152" s="1"/>
  <c r="U193" i="144"/>
  <c r="U197" i="144" s="1"/>
  <c r="U137" i="144"/>
  <c r="U141" i="144" s="1"/>
  <c r="U25" i="144"/>
  <c r="U29" i="144" s="1"/>
  <c r="U81" i="144"/>
  <c r="U85" i="144" s="1"/>
  <c r="U150" i="134"/>
  <c r="V145" i="134"/>
  <c r="V155" i="134"/>
  <c r="V157" i="134" s="1"/>
  <c r="V137" i="134"/>
  <c r="AE90" i="162" l="1"/>
  <c r="AK69" i="162"/>
  <c r="AI68" i="162"/>
  <c r="AO68" i="162" s="1"/>
  <c r="AN68" i="162"/>
  <c r="AL68" i="162" s="1"/>
  <c r="AM74" i="162"/>
  <c r="V193" i="144"/>
  <c r="V197" i="144" s="1"/>
  <c r="V25" i="144"/>
  <c r="V29" i="144" s="1"/>
  <c r="V137" i="144"/>
  <c r="V141" i="144" s="1"/>
  <c r="V81" i="144"/>
  <c r="V85" i="144" s="1"/>
  <c r="V150" i="134"/>
  <c r="AE91" i="162" l="1"/>
  <c r="AN69" i="162"/>
  <c r="AL69" i="162" s="1"/>
  <c r="AK70" i="162"/>
  <c r="AI69" i="162"/>
  <c r="AO69" i="162" s="1"/>
  <c r="AM75" i="162"/>
  <c r="AE92" i="162" l="1"/>
  <c r="AK71" i="162"/>
  <c r="AN70" i="162"/>
  <c r="AL70" i="162" s="1"/>
  <c r="AI70" i="162"/>
  <c r="AO70" i="162" s="1"/>
  <c r="AM76" i="162"/>
  <c r="AE93" i="162" l="1"/>
  <c r="AK72" i="162"/>
  <c r="AN71" i="162"/>
  <c r="AL71" i="162" s="1"/>
  <c r="AI71" i="162"/>
  <c r="AO71" i="162" s="1"/>
  <c r="AM77" i="162"/>
  <c r="AE94" i="162" l="1"/>
  <c r="AK73" i="162"/>
  <c r="AN72" i="162"/>
  <c r="AL72" i="162" s="1"/>
  <c r="AI72" i="162"/>
  <c r="AO72" i="162" s="1"/>
  <c r="AM78" i="162"/>
  <c r="AE95" i="162" l="1"/>
  <c r="AN73" i="162"/>
  <c r="AL73" i="162" s="1"/>
  <c r="AI73" i="162"/>
  <c r="AO73" i="162" s="1"/>
  <c r="AK74" i="162"/>
  <c r="AM79" i="162"/>
  <c r="AE96" i="162" l="1"/>
  <c r="AK75" i="162"/>
  <c r="AN74" i="162"/>
  <c r="AL74" i="162" s="1"/>
  <c r="AI74" i="162"/>
  <c r="AO74" i="162" s="1"/>
  <c r="AM80" i="162"/>
  <c r="AE97" i="162" l="1"/>
  <c r="AN75" i="162"/>
  <c r="AL75" i="162" s="1"/>
  <c r="AK76" i="162"/>
  <c r="AI75" i="162"/>
  <c r="AO75" i="162" s="1"/>
  <c r="AM81" i="162"/>
  <c r="AE98" i="162" l="1"/>
  <c r="AI76" i="162"/>
  <c r="AO76" i="162" s="1"/>
  <c r="AK77" i="162"/>
  <c r="AN76" i="162"/>
  <c r="AL76" i="162" s="1"/>
  <c r="AM82" i="162"/>
  <c r="AE99" i="162" l="1"/>
  <c r="AK78" i="162"/>
  <c r="AN77" i="162"/>
  <c r="AL77" i="162" s="1"/>
  <c r="AI77" i="162"/>
  <c r="AO77" i="162" s="1"/>
  <c r="AM83" i="162"/>
  <c r="AE100" i="162" l="1"/>
  <c r="AI78" i="162"/>
  <c r="AO78" i="162" s="1"/>
  <c r="AN78" i="162"/>
  <c r="AL78" i="162" s="1"/>
  <c r="AK79" i="162"/>
  <c r="AM84" i="162"/>
  <c r="AE101" i="162" l="1"/>
  <c r="AK80" i="162"/>
  <c r="AN79" i="162"/>
  <c r="AL79" i="162" s="1"/>
  <c r="AI79" i="162"/>
  <c r="AO79" i="162" s="1"/>
  <c r="AM85" i="162"/>
  <c r="AE102" i="162" l="1"/>
  <c r="AK81" i="162"/>
  <c r="AN80" i="162"/>
  <c r="AL80" i="162" s="1"/>
  <c r="AI80" i="162"/>
  <c r="AO80" i="162" s="1"/>
  <c r="AM86" i="162"/>
  <c r="AE103" i="162" l="1"/>
  <c r="AK82" i="162"/>
  <c r="AN81" i="162"/>
  <c r="AL81" i="162" s="1"/>
  <c r="AI81" i="162"/>
  <c r="AO81" i="162" s="1"/>
  <c r="AM87" i="162"/>
  <c r="AE104" i="162" l="1"/>
  <c r="AN82" i="162"/>
  <c r="AL82" i="162" s="1"/>
  <c r="AK83" i="162"/>
  <c r="AI82" i="162"/>
  <c r="AO82" i="162" s="1"/>
  <c r="AM88" i="162"/>
  <c r="AE105" i="162" l="1"/>
  <c r="AN83" i="162"/>
  <c r="AL83" i="162" s="1"/>
  <c r="AK84" i="162"/>
  <c r="AI83" i="162"/>
  <c r="AO83" i="162" s="1"/>
  <c r="AM89" i="162"/>
  <c r="AE106" i="162" l="1"/>
  <c r="AN84" i="162"/>
  <c r="AL84" i="162" s="1"/>
  <c r="AK85" i="162"/>
  <c r="AI84" i="162"/>
  <c r="AO84" i="162" s="1"/>
  <c r="AM90" i="162"/>
  <c r="AE107" i="162" l="1"/>
  <c r="AK86" i="162"/>
  <c r="AN85" i="162"/>
  <c r="AL85" i="162" s="1"/>
  <c r="AI85" i="162"/>
  <c r="AO85" i="162" s="1"/>
  <c r="AM91" i="162"/>
  <c r="AE108" i="162" l="1"/>
  <c r="AK87" i="162"/>
  <c r="AN86" i="162"/>
  <c r="AL86" i="162" s="1"/>
  <c r="AI86" i="162"/>
  <c r="AO86" i="162" s="1"/>
  <c r="AM92" i="162"/>
  <c r="AE109" i="162" l="1"/>
  <c r="AN87" i="162"/>
  <c r="AL87" i="162" s="1"/>
  <c r="AK88" i="162"/>
  <c r="AI87" i="162"/>
  <c r="AO87" i="162" s="1"/>
  <c r="AM93" i="162"/>
  <c r="AE110" i="162" l="1"/>
  <c r="AK89" i="162"/>
  <c r="AN88" i="162"/>
  <c r="AL88" i="162" s="1"/>
  <c r="AI88" i="162"/>
  <c r="AO88" i="162" s="1"/>
  <c r="AM94" i="162"/>
  <c r="AE111" i="162" l="1"/>
  <c r="AK90" i="162"/>
  <c r="AN89" i="162"/>
  <c r="AL89" i="162" s="1"/>
  <c r="AI89" i="162"/>
  <c r="AO89" i="162" s="1"/>
  <c r="AM95" i="162"/>
  <c r="AE112" i="162" l="1"/>
  <c r="AK91" i="162"/>
  <c r="AN90" i="162"/>
  <c r="AL90" i="162" s="1"/>
  <c r="AI90" i="162"/>
  <c r="AO90" i="162" s="1"/>
  <c r="AM96" i="162"/>
  <c r="AE113" i="162" l="1"/>
  <c r="AI91" i="162"/>
  <c r="AO91" i="162" s="1"/>
  <c r="AN91" i="162"/>
  <c r="AL91" i="162" s="1"/>
  <c r="AK92" i="162"/>
  <c r="AM97" i="162"/>
  <c r="AE114" i="162" l="1"/>
  <c r="AK93" i="162"/>
  <c r="AN92" i="162"/>
  <c r="AL92" i="162" s="1"/>
  <c r="AI92" i="162"/>
  <c r="AO92" i="162" s="1"/>
  <c r="AM98" i="162"/>
  <c r="AE115" i="162" l="1"/>
  <c r="AN93" i="162"/>
  <c r="AL93" i="162" s="1"/>
  <c r="AK94" i="162"/>
  <c r="AI93" i="162"/>
  <c r="AO93" i="162" s="1"/>
  <c r="AM99" i="162"/>
  <c r="AE116" i="162" l="1"/>
  <c r="AK95" i="162"/>
  <c r="AN94" i="162"/>
  <c r="AL94" i="162" s="1"/>
  <c r="AI94" i="162"/>
  <c r="AO94" i="162" s="1"/>
  <c r="AM100" i="162"/>
  <c r="AE117" i="162" l="1"/>
  <c r="AN95" i="162"/>
  <c r="AL95" i="162" s="1"/>
  <c r="AK96" i="162"/>
  <c r="AI95" i="162"/>
  <c r="AO95" i="162" s="1"/>
  <c r="AM101" i="162"/>
  <c r="AE118" i="162" l="1"/>
  <c r="AN96" i="162"/>
  <c r="AL96" i="162" s="1"/>
  <c r="AK97" i="162"/>
  <c r="AI96" i="162"/>
  <c r="AO96" i="162" s="1"/>
  <c r="AM102" i="162"/>
  <c r="AE119" i="162" l="1"/>
  <c r="AN97" i="162"/>
  <c r="AL97" i="162" s="1"/>
  <c r="AK98" i="162"/>
  <c r="AI97" i="162"/>
  <c r="AO97" i="162" s="1"/>
  <c r="AM103" i="162"/>
  <c r="AE120" i="162" l="1"/>
  <c r="AI98" i="162"/>
  <c r="AO98" i="162" s="1"/>
  <c r="AN98" i="162"/>
  <c r="AL98" i="162" s="1"/>
  <c r="AK99" i="162"/>
  <c r="AM104" i="162"/>
  <c r="AE121" i="162" l="1"/>
  <c r="AK100" i="162"/>
  <c r="AN99" i="162"/>
  <c r="AL99" i="162" s="1"/>
  <c r="AI99" i="162"/>
  <c r="AO99" i="162" s="1"/>
  <c r="AM105" i="162"/>
  <c r="AE122" i="162" l="1"/>
  <c r="AK101" i="162"/>
  <c r="AN100" i="162"/>
  <c r="AL100" i="162" s="1"/>
  <c r="AI100" i="162"/>
  <c r="AO100" i="162" s="1"/>
  <c r="AM106" i="162"/>
  <c r="AE123" i="162" l="1"/>
  <c r="AK102" i="162"/>
  <c r="AN101" i="162"/>
  <c r="AL101" i="162" s="1"/>
  <c r="AI101" i="162"/>
  <c r="AO101" i="162" s="1"/>
  <c r="AM107" i="162"/>
  <c r="AE124" i="162" l="1"/>
  <c r="AN102" i="162"/>
  <c r="AL102" i="162" s="1"/>
  <c r="AK103" i="162"/>
  <c r="AI102" i="162"/>
  <c r="AO102" i="162" s="1"/>
  <c r="AM108" i="162"/>
  <c r="AE125" i="162" l="1"/>
  <c r="AK104" i="162"/>
  <c r="AN103" i="162"/>
  <c r="AL103" i="162" s="1"/>
  <c r="AI103" i="162"/>
  <c r="AO103" i="162" s="1"/>
  <c r="AM109" i="162"/>
  <c r="AE126" i="162" l="1"/>
  <c r="AN104" i="162"/>
  <c r="AL104" i="162" s="1"/>
  <c r="AK105" i="162"/>
  <c r="AI104" i="162"/>
  <c r="AO104" i="162" s="1"/>
  <c r="AM110" i="162"/>
  <c r="AE127" i="162" l="1"/>
  <c r="AN105" i="162"/>
  <c r="AL105" i="162" s="1"/>
  <c r="AK106" i="162"/>
  <c r="AI105" i="162"/>
  <c r="AO105" i="162" s="1"/>
  <c r="AM111" i="162"/>
  <c r="AE128" i="162" l="1"/>
  <c r="AN106" i="162"/>
  <c r="AL106" i="162" s="1"/>
  <c r="AK107" i="162"/>
  <c r="AI106" i="162"/>
  <c r="AO106" i="162" s="1"/>
  <c r="AM112" i="162"/>
  <c r="AE129" i="162" l="1"/>
  <c r="AN107" i="162"/>
  <c r="AL107" i="162" s="1"/>
  <c r="AK108" i="162"/>
  <c r="AI107" i="162"/>
  <c r="AO107" i="162" s="1"/>
  <c r="AM113" i="162"/>
  <c r="AE130" i="162" l="1"/>
  <c r="AK109" i="162"/>
  <c r="AN108" i="162"/>
  <c r="AL108" i="162" s="1"/>
  <c r="AI108" i="162"/>
  <c r="AO108" i="162" s="1"/>
  <c r="AM114" i="162"/>
  <c r="AE131" i="162" l="1"/>
  <c r="AN109" i="162"/>
  <c r="AL109" i="162" s="1"/>
  <c r="AK110" i="162"/>
  <c r="AI109" i="162"/>
  <c r="AO109" i="162" s="1"/>
  <c r="AM115" i="162"/>
  <c r="AE132" i="162" l="1"/>
  <c r="AK111" i="162"/>
  <c r="AN110" i="162"/>
  <c r="AL110" i="162" s="1"/>
  <c r="AI110" i="162"/>
  <c r="AO110" i="162" s="1"/>
  <c r="AM116" i="162"/>
  <c r="AE133" i="162" l="1"/>
  <c r="AI111" i="162"/>
  <c r="AO111" i="162" s="1"/>
  <c r="AN111" i="162"/>
  <c r="AL111" i="162" s="1"/>
  <c r="AK112" i="162"/>
  <c r="AM117" i="162"/>
  <c r="AE134" i="162" l="1"/>
  <c r="AK113" i="162"/>
  <c r="AN112" i="162"/>
  <c r="AL112" i="162" s="1"/>
  <c r="AI112" i="162"/>
  <c r="AO112" i="162" s="1"/>
  <c r="AM118" i="162"/>
  <c r="AE135" i="162" l="1"/>
  <c r="AN113" i="162"/>
  <c r="AL113" i="162" s="1"/>
  <c r="AK114" i="162"/>
  <c r="AI113" i="162"/>
  <c r="AO113" i="162" s="1"/>
  <c r="AM119" i="162"/>
  <c r="AE136" i="162" l="1"/>
  <c r="AN114" i="162"/>
  <c r="AL114" i="162" s="1"/>
  <c r="AK115" i="162"/>
  <c r="AI114" i="162"/>
  <c r="AO114" i="162" s="1"/>
  <c r="AM120" i="162"/>
  <c r="AE137" i="162" l="1"/>
  <c r="AI115" i="162"/>
  <c r="AO115" i="162" s="1"/>
  <c r="AN115" i="162"/>
  <c r="AL115" i="162" s="1"/>
  <c r="AK116" i="162"/>
  <c r="AM121" i="162"/>
  <c r="AE138" i="162" l="1"/>
  <c r="AN116" i="162"/>
  <c r="AL116" i="162" s="1"/>
  <c r="AI116" i="162"/>
  <c r="AO116" i="162" s="1"/>
  <c r="AK117" i="162"/>
  <c r="AM122" i="162"/>
  <c r="AE139" i="162" l="1"/>
  <c r="AI117" i="162"/>
  <c r="AO117" i="162" s="1"/>
  <c r="AN117" i="162"/>
  <c r="AL117" i="162" s="1"/>
  <c r="AK118" i="162"/>
  <c r="AM123" i="162"/>
  <c r="AE140" i="162" l="1"/>
  <c r="AK119" i="162"/>
  <c r="AN118" i="162"/>
  <c r="AL118" i="162" s="1"/>
  <c r="AI118" i="162"/>
  <c r="AO118" i="162" s="1"/>
  <c r="AM124" i="162"/>
  <c r="AE141" i="162" l="1"/>
  <c r="AK120" i="162"/>
  <c r="AN119" i="162"/>
  <c r="AL119" i="162" s="1"/>
  <c r="AI119" i="162"/>
  <c r="AO119" i="162" s="1"/>
  <c r="AM125" i="162"/>
  <c r="AE142" i="162" l="1"/>
  <c r="AI120" i="162"/>
  <c r="AO120" i="162" s="1"/>
  <c r="AN120" i="162"/>
  <c r="AL120" i="162" s="1"/>
  <c r="AK121" i="162"/>
  <c r="AM126" i="162"/>
  <c r="AE143" i="162" l="1"/>
  <c r="AK122" i="162"/>
  <c r="AI121" i="162"/>
  <c r="AO121" i="162" s="1"/>
  <c r="AN121" i="162"/>
  <c r="AL121" i="162" s="1"/>
  <c r="AM127" i="162"/>
  <c r="AE144" i="162" l="1"/>
  <c r="AN122" i="162"/>
  <c r="AL122" i="162" s="1"/>
  <c r="AK123" i="162"/>
  <c r="AI122" i="162"/>
  <c r="AO122" i="162" s="1"/>
  <c r="AM128" i="162"/>
  <c r="AE145" i="162" l="1"/>
  <c r="AN123" i="162"/>
  <c r="AL123" i="162" s="1"/>
  <c r="AK124" i="162"/>
  <c r="AI123" i="162"/>
  <c r="AO123" i="162" s="1"/>
  <c r="AM129" i="162"/>
  <c r="AE146" i="162" l="1"/>
  <c r="AN124" i="162"/>
  <c r="AL124" i="162" s="1"/>
  <c r="AK125" i="162"/>
  <c r="AI124" i="162"/>
  <c r="AO124" i="162" s="1"/>
  <c r="AM130" i="162"/>
  <c r="AE147" i="162" l="1"/>
  <c r="AK126" i="162"/>
  <c r="AI125" i="162"/>
  <c r="AO125" i="162" s="1"/>
  <c r="AN125" i="162"/>
  <c r="AL125" i="162" s="1"/>
  <c r="AM131" i="162"/>
  <c r="AE148" i="162" l="1"/>
  <c r="AI126" i="162"/>
  <c r="AO126" i="162" s="1"/>
  <c r="AK127" i="162"/>
  <c r="AN126" i="162"/>
  <c r="AL126" i="162" s="1"/>
  <c r="AM132" i="162"/>
  <c r="AE149" i="162" l="1"/>
  <c r="AN127" i="162"/>
  <c r="AL127" i="162" s="1"/>
  <c r="AK128" i="162"/>
  <c r="AI127" i="162"/>
  <c r="AO127" i="162" s="1"/>
  <c r="AM133" i="162"/>
  <c r="AE150" i="162" l="1"/>
  <c r="AN128" i="162"/>
  <c r="AL128" i="162" s="1"/>
  <c r="AK129" i="162"/>
  <c r="AI128" i="162"/>
  <c r="AO128" i="162" s="1"/>
  <c r="AM134" i="162"/>
  <c r="AE151" i="162" l="1"/>
  <c r="AK130" i="162"/>
  <c r="AN129" i="162"/>
  <c r="AL129" i="162" s="1"/>
  <c r="AI129" i="162"/>
  <c r="AO129" i="162" s="1"/>
  <c r="AM135" i="162"/>
  <c r="AE152" i="162" l="1"/>
  <c r="AK131" i="162"/>
  <c r="AN130" i="162"/>
  <c r="AL130" i="162" s="1"/>
  <c r="AI130" i="162"/>
  <c r="AO130" i="162" s="1"/>
  <c r="AM136" i="162"/>
  <c r="AE153" i="162" l="1"/>
  <c r="AK132" i="162"/>
  <c r="AI131" i="162"/>
  <c r="AO131" i="162" s="1"/>
  <c r="AN131" i="162"/>
  <c r="AL131" i="162" s="1"/>
  <c r="AM137" i="162"/>
  <c r="AE154" i="162" l="1"/>
  <c r="AN132" i="162"/>
  <c r="AL132" i="162" s="1"/>
  <c r="AK133" i="162"/>
  <c r="AI132" i="162"/>
  <c r="AO132" i="162" s="1"/>
  <c r="AM138" i="162"/>
  <c r="AE155" i="162" l="1"/>
  <c r="AN133" i="162"/>
  <c r="AL133" i="162" s="1"/>
  <c r="AK134" i="162"/>
  <c r="AI133" i="162"/>
  <c r="AO133" i="162" s="1"/>
  <c r="AM139" i="162"/>
  <c r="AE156" i="162" l="1"/>
  <c r="AK135" i="162"/>
  <c r="AN134" i="162"/>
  <c r="AL134" i="162" s="1"/>
  <c r="AI134" i="162"/>
  <c r="AO134" i="162" s="1"/>
  <c r="AM140" i="162"/>
  <c r="AE157" i="162" l="1"/>
  <c r="AN135" i="162"/>
  <c r="AL135" i="162" s="1"/>
  <c r="AI135" i="162"/>
  <c r="AO135" i="162" s="1"/>
  <c r="AK136" i="162"/>
  <c r="AM141" i="162"/>
  <c r="AE158" i="162" l="1"/>
  <c r="AK137" i="162"/>
  <c r="AI136" i="162"/>
  <c r="AO136" i="162" s="1"/>
  <c r="AN136" i="162"/>
  <c r="AL136" i="162" s="1"/>
  <c r="AM142" i="162"/>
  <c r="AE159" i="162" l="1"/>
  <c r="AN137" i="162"/>
  <c r="AL137" i="162" s="1"/>
  <c r="AK138" i="162"/>
  <c r="AI137" i="162"/>
  <c r="AO137" i="162" s="1"/>
  <c r="AM143" i="162"/>
  <c r="AE160" i="162" l="1"/>
  <c r="AI138" i="162"/>
  <c r="AO138" i="162" s="1"/>
  <c r="AK139" i="162"/>
  <c r="AN138" i="162"/>
  <c r="AL138" i="162" s="1"/>
  <c r="AM144" i="162"/>
  <c r="AE161" i="162" l="1"/>
  <c r="AK140" i="162"/>
  <c r="AN139" i="162"/>
  <c r="AL139" i="162" s="1"/>
  <c r="AI139" i="162"/>
  <c r="AO139" i="162" s="1"/>
  <c r="AM145" i="162"/>
  <c r="AE162" i="162" l="1"/>
  <c r="AN140" i="162"/>
  <c r="AL140" i="162" s="1"/>
  <c r="AK141" i="162"/>
  <c r="AI140" i="162"/>
  <c r="AO140" i="162" s="1"/>
  <c r="AM146" i="162"/>
  <c r="AE163" i="162" l="1"/>
  <c r="AK142" i="162"/>
  <c r="AN141" i="162"/>
  <c r="AL141" i="162" s="1"/>
  <c r="AI141" i="162"/>
  <c r="AO141" i="162" s="1"/>
  <c r="AM147" i="162"/>
  <c r="AE164" i="162" l="1"/>
  <c r="AN142" i="162"/>
  <c r="AL142" i="162" s="1"/>
  <c r="AI142" i="162"/>
  <c r="AO142" i="162" s="1"/>
  <c r="AK143" i="162"/>
  <c r="AM148" i="162"/>
  <c r="AE165" i="162" l="1"/>
  <c r="AN143" i="162"/>
  <c r="AL143" i="162" s="1"/>
  <c r="AK144" i="162"/>
  <c r="AI143" i="162"/>
  <c r="AO143" i="162" s="1"/>
  <c r="AM149" i="162"/>
  <c r="AE166" i="162" l="1"/>
  <c r="AN144" i="162"/>
  <c r="AL144" i="162" s="1"/>
  <c r="AK145" i="162"/>
  <c r="AI144" i="162"/>
  <c r="AO144" i="162" s="1"/>
  <c r="AM150" i="162"/>
  <c r="AE167" i="162" l="1"/>
  <c r="AN145" i="162"/>
  <c r="AL145" i="162" s="1"/>
  <c r="AK146" i="162"/>
  <c r="AI145" i="162"/>
  <c r="AO145" i="162" s="1"/>
  <c r="AM151" i="162"/>
  <c r="AE168" i="162" l="1"/>
  <c r="AN146" i="162"/>
  <c r="AL146" i="162" s="1"/>
  <c r="AK147" i="162"/>
  <c r="AI146" i="162"/>
  <c r="AO146" i="162" s="1"/>
  <c r="AM152" i="162"/>
  <c r="AE169" i="162" l="1"/>
  <c r="AN147" i="162"/>
  <c r="AL147" i="162" s="1"/>
  <c r="AK148" i="162"/>
  <c r="AI147" i="162"/>
  <c r="AO147" i="162" s="1"/>
  <c r="AM153" i="162"/>
  <c r="AE170" i="162" l="1"/>
  <c r="AK149" i="162"/>
  <c r="AN148" i="162"/>
  <c r="AL148" i="162" s="1"/>
  <c r="AI148" i="162"/>
  <c r="AO148" i="162" s="1"/>
  <c r="AM154" i="162"/>
  <c r="AE171" i="162" l="1"/>
  <c r="AK150" i="162"/>
  <c r="AN149" i="162"/>
  <c r="AL149" i="162" s="1"/>
  <c r="AI149" i="162"/>
  <c r="AO149" i="162" s="1"/>
  <c r="AM155" i="162"/>
  <c r="AE172" i="162" l="1"/>
  <c r="AK151" i="162"/>
  <c r="AI150" i="162"/>
  <c r="AO150" i="162" s="1"/>
  <c r="AN150" i="162"/>
  <c r="AL150" i="162" s="1"/>
  <c r="AM156" i="162"/>
  <c r="AE173" i="162" l="1"/>
  <c r="AN151" i="162"/>
  <c r="AL151" i="162" s="1"/>
  <c r="AK152" i="162"/>
  <c r="AI151" i="162"/>
  <c r="AO151" i="162" s="1"/>
  <c r="AM157" i="162"/>
  <c r="AE174" i="162" l="1"/>
  <c r="AN152" i="162"/>
  <c r="AL152" i="162" s="1"/>
  <c r="AK153" i="162"/>
  <c r="AI152" i="162"/>
  <c r="AO152" i="162" s="1"/>
  <c r="AM158" i="162"/>
  <c r="AE175" i="162" l="1"/>
  <c r="AN153" i="162"/>
  <c r="AL153" i="162" s="1"/>
  <c r="AK154" i="162"/>
  <c r="AI153" i="162"/>
  <c r="AO153" i="162" s="1"/>
  <c r="AM159" i="162"/>
  <c r="AE176" i="162" l="1"/>
  <c r="AN154" i="162"/>
  <c r="AL154" i="162" s="1"/>
  <c r="AK155" i="162"/>
  <c r="AI154" i="162"/>
  <c r="AO154" i="162" s="1"/>
  <c r="AM160" i="162"/>
  <c r="AE177" i="162" l="1"/>
  <c r="AN155" i="162"/>
  <c r="AL155" i="162" s="1"/>
  <c r="AK156" i="162"/>
  <c r="AI155" i="162"/>
  <c r="AO155" i="162" s="1"/>
  <c r="AM161" i="162"/>
  <c r="AE178" i="162" l="1"/>
  <c r="AN156" i="162"/>
  <c r="AL156" i="162" s="1"/>
  <c r="AI156" i="162"/>
  <c r="AO156" i="162" s="1"/>
  <c r="AK157" i="162"/>
  <c r="AM162" i="162"/>
  <c r="AE179" i="162" l="1"/>
  <c r="AK158" i="162"/>
  <c r="AI157" i="162"/>
  <c r="AO157" i="162" s="1"/>
  <c r="AN157" i="162"/>
  <c r="AL157" i="162" s="1"/>
  <c r="AM163" i="162"/>
  <c r="AE180" i="162" l="1"/>
  <c r="AI158" i="162"/>
  <c r="AO158" i="162" s="1"/>
  <c r="AN158" i="162"/>
  <c r="AL158" i="162" s="1"/>
  <c r="AK159" i="162"/>
  <c r="AM164" i="162"/>
  <c r="AK160" i="162" l="1"/>
  <c r="AN159" i="162"/>
  <c r="AL159" i="162" s="1"/>
  <c r="AI159" i="162"/>
  <c r="AO159" i="162" s="1"/>
  <c r="AM165" i="162"/>
  <c r="AK161" i="162" l="1"/>
  <c r="AN160" i="162"/>
  <c r="AL160" i="162" s="1"/>
  <c r="AI160" i="162"/>
  <c r="AO160" i="162" s="1"/>
  <c r="AM166" i="162"/>
  <c r="AK162" i="162" l="1"/>
  <c r="AN161" i="162"/>
  <c r="AL161" i="162" s="1"/>
  <c r="AI161" i="162"/>
  <c r="AO161" i="162" s="1"/>
  <c r="AM167" i="162"/>
  <c r="AN162" i="162" l="1"/>
  <c r="AL162" i="162" s="1"/>
  <c r="AK163" i="162"/>
  <c r="AI162" i="162"/>
  <c r="AO162" i="162" s="1"/>
  <c r="AM168" i="162"/>
  <c r="AI163" i="162" l="1"/>
  <c r="AO163" i="162" s="1"/>
  <c r="AN163" i="162"/>
  <c r="AL163" i="162" s="1"/>
  <c r="AK164" i="162"/>
  <c r="AM169" i="162"/>
  <c r="AN164" i="162" l="1"/>
  <c r="AL164" i="162" s="1"/>
  <c r="AK165" i="162"/>
  <c r="AI164" i="162"/>
  <c r="AO164" i="162" s="1"/>
  <c r="AM170" i="162"/>
  <c r="AI165" i="162" l="1"/>
  <c r="AO165" i="162" s="1"/>
  <c r="AK166" i="162"/>
  <c r="AN165" i="162"/>
  <c r="AL165" i="162" s="1"/>
  <c r="AM171" i="162"/>
  <c r="AK167" i="162" l="1"/>
  <c r="AI166" i="162"/>
  <c r="AO166" i="162" s="1"/>
  <c r="AN166" i="162"/>
  <c r="AL166" i="162" s="1"/>
  <c r="AM172" i="162"/>
  <c r="AI167" i="162" l="1"/>
  <c r="AO167" i="162" s="1"/>
  <c r="AK168" i="162"/>
  <c r="AN167" i="162"/>
  <c r="AL167" i="162" s="1"/>
  <c r="AM173" i="162"/>
  <c r="AK169" i="162" l="1"/>
  <c r="AN168" i="162"/>
  <c r="AL168" i="162" s="1"/>
  <c r="AI168" i="162"/>
  <c r="AO168" i="162" s="1"/>
  <c r="AM174" i="162"/>
  <c r="AI169" i="162" l="1"/>
  <c r="AO169" i="162" s="1"/>
  <c r="AN169" i="162"/>
  <c r="AL169" i="162" s="1"/>
  <c r="AK170" i="162"/>
  <c r="AM175" i="162"/>
  <c r="AK171" i="162" l="1"/>
  <c r="AN170" i="162"/>
  <c r="AL170" i="162" s="1"/>
  <c r="AI170" i="162"/>
  <c r="AO170" i="162" s="1"/>
  <c r="AM176" i="162"/>
  <c r="AN171" i="162" l="1"/>
  <c r="AL171" i="162" s="1"/>
  <c r="AK172" i="162"/>
  <c r="AI171" i="162"/>
  <c r="AO171" i="162" s="1"/>
  <c r="AM177" i="162"/>
  <c r="AI172" i="162" l="1"/>
  <c r="AO172" i="162" s="1"/>
  <c r="AK173" i="162"/>
  <c r="AN172" i="162"/>
  <c r="AL172" i="162" s="1"/>
  <c r="AM178" i="162"/>
  <c r="AI173" i="162" l="1"/>
  <c r="AO173" i="162" s="1"/>
  <c r="AN173" i="162"/>
  <c r="AL173" i="162" s="1"/>
  <c r="AK174" i="162"/>
  <c r="AM179" i="162"/>
  <c r="AK175" i="162" l="1"/>
  <c r="AI174" i="162"/>
  <c r="AO174" i="162" s="1"/>
  <c r="AN174" i="162"/>
  <c r="AL174" i="162" s="1"/>
  <c r="AM180" i="162" l="1"/>
  <c r="AI175" i="162"/>
  <c r="AO175" i="162" s="1"/>
  <c r="AN175" i="162"/>
  <c r="AL175" i="162" s="1"/>
  <c r="AK176" i="162"/>
  <c r="AK177" i="162" l="1"/>
  <c r="AN176" i="162"/>
  <c r="AL176" i="162" s="1"/>
  <c r="AI176" i="162"/>
  <c r="AO176" i="162" s="1"/>
  <c r="AN177" i="162" l="1"/>
  <c r="AL177" i="162" s="1"/>
  <c r="AK178" i="162"/>
  <c r="AI177" i="162"/>
  <c r="AO177" i="162" s="1"/>
  <c r="AI178" i="162" l="1"/>
  <c r="AO178" i="162" s="1"/>
  <c r="AN178" i="162"/>
  <c r="AL178" i="162" s="1"/>
  <c r="AK179" i="162"/>
  <c r="AK180" i="162" l="1"/>
  <c r="AI179" i="162"/>
  <c r="AO179" i="162" s="1"/>
  <c r="AN179" i="162"/>
  <c r="AL179" i="162" s="1"/>
  <c r="AN180" i="162" l="1"/>
  <c r="AL180" i="162" s="1"/>
  <c r="AI180" i="162"/>
  <c r="AO180" i="16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<sst xmlns="http://schemas.openxmlformats.org/spreadsheetml/2006/main" count="3911" uniqueCount="573">
  <si>
    <t>Capabilities/Uses:</t>
  </si>
  <si>
    <t>Main Datasets:</t>
  </si>
  <si>
    <t>Reference:</t>
  </si>
  <si>
    <t>Read Me</t>
  </si>
  <si>
    <t>Approach</t>
  </si>
  <si>
    <t>Parameter</t>
  </si>
  <si>
    <t>High</t>
  </si>
  <si>
    <t>Low</t>
  </si>
  <si>
    <t>Unit</t>
  </si>
  <si>
    <t>Value</t>
  </si>
  <si>
    <t>-</t>
  </si>
  <si>
    <t>Contact: Edward Oughton (eoughton@teltrium.com); Erica Weir (eweir@teltrium.com).</t>
  </si>
  <si>
    <t>Developed by Teltrium Inc. for NASA SCaN</t>
  </si>
  <si>
    <t>Caveats to using ASCEND:</t>
  </si>
  <si>
    <t>Assessing Commercialization Strategies for Evolving Network Demand (ASCEND)</t>
  </si>
  <si>
    <t xml:space="preserve">    - ASCEND utilizes parameter assumptions when reliable scientific data are not available, if there are questions regarding the approach, reach out to the model creators (eoughton@teltrium.com; eweir@teltrium.com).</t>
  </si>
  <si>
    <t>User</t>
  </si>
  <si>
    <t>AIM</t>
  </si>
  <si>
    <t>BRTS</t>
  </si>
  <si>
    <t>FGST</t>
  </si>
  <si>
    <t>GPM</t>
  </si>
  <si>
    <t>HST</t>
  </si>
  <si>
    <t>ICON</t>
  </si>
  <si>
    <t>ISS</t>
  </si>
  <si>
    <t>HTV</t>
  </si>
  <si>
    <t>JPSS-1</t>
  </si>
  <si>
    <t>LDB</t>
  </si>
  <si>
    <t>MTRS-2</t>
  </si>
  <si>
    <t>NPP</t>
  </si>
  <si>
    <t>OCO-2</t>
  </si>
  <si>
    <t>ORION</t>
  </si>
  <si>
    <t>RBSP-A</t>
  </si>
  <si>
    <t>RBSP-B</t>
  </si>
  <si>
    <t>SORCE</t>
  </si>
  <si>
    <t>SPTR-2</t>
  </si>
  <si>
    <t>THEMIS-A</t>
  </si>
  <si>
    <t>THEMIS-D</t>
  </si>
  <si>
    <t>THEMIS-E</t>
  </si>
  <si>
    <t>TIMED</t>
  </si>
  <si>
    <t>NEOWISE</t>
  </si>
  <si>
    <t>Near Earth Robotic - GEO and Near Earth</t>
  </si>
  <si>
    <t>Near Earth Robotic - LEO Science</t>
  </si>
  <si>
    <t>Launch Events</t>
  </si>
  <si>
    <t>Human Space Flight</t>
  </si>
  <si>
    <t>Near Earth Robotic - Low Latency &amp; Complex Needs</t>
  </si>
  <si>
    <t>Terrestrial &amp; Aerial</t>
  </si>
  <si>
    <t>Near Earth Robotic - Low Latency and Complex Needs</t>
  </si>
  <si>
    <t>ACE</t>
  </si>
  <si>
    <t>???</t>
  </si>
  <si>
    <t>AQUA</t>
  </si>
  <si>
    <t>ARTEMIS I</t>
  </si>
  <si>
    <t>ATLAS V</t>
  </si>
  <si>
    <t>AURA</t>
  </si>
  <si>
    <t>CLICK-A</t>
  </si>
  <si>
    <t>CYGNUS</t>
  </si>
  <si>
    <t>DELTA IV</t>
  </si>
  <si>
    <t>DRAGON</t>
  </si>
  <si>
    <t>ICESAT-2</t>
  </si>
  <si>
    <t>LANDSAT-7</t>
  </si>
  <si>
    <t>LANDSAT-8</t>
  </si>
  <si>
    <t>LANDSAT-9</t>
  </si>
  <si>
    <t>MINOTAUR</t>
  </si>
  <si>
    <t>NUSTAR</t>
  </si>
  <si>
    <t>STARLINER</t>
  </si>
  <si>
    <t>SWIFT</t>
  </si>
  <si>
    <t>TERRA</t>
  </si>
  <si>
    <t>DSCOVR</t>
  </si>
  <si>
    <t>GOES-14</t>
  </si>
  <si>
    <t>GOES-16</t>
  </si>
  <si>
    <t>GOES-17</t>
  </si>
  <si>
    <t>GOES-18</t>
  </si>
  <si>
    <t>MMS (ALL)</t>
  </si>
  <si>
    <t>January 2020 - Dec 2022</t>
  </si>
  <si>
    <t>Near-Future (Jan 2023-Dec 2027)</t>
  </si>
  <si>
    <t>Mission Count</t>
  </si>
  <si>
    <t>Direct to Earth (DTE)</t>
  </si>
  <si>
    <t>Baseline</t>
  </si>
  <si>
    <t>Space Relay (SR)</t>
  </si>
  <si>
    <t>Passes Per Day (Per Mission)</t>
  </si>
  <si>
    <t>Service Time Per Year (Minutes)</t>
  </si>
  <si>
    <t>Deep Space Robotic</t>
  </si>
  <si>
    <t>Mission Operations</t>
  </si>
  <si>
    <t>Use Case</t>
  </si>
  <si>
    <t>Count</t>
  </si>
  <si>
    <t>Total</t>
  </si>
  <si>
    <t>End of life missions</t>
  </si>
  <si>
    <t>Replacement new missions</t>
  </si>
  <si>
    <t>Total missions</t>
  </si>
  <si>
    <t>New</t>
  </si>
  <si>
    <t>Existing Missions</t>
  </si>
  <si>
    <t>Share</t>
  </si>
  <si>
    <t>Future DTE</t>
  </si>
  <si>
    <t>Additional new missions</t>
  </si>
  <si>
    <t>Existing</t>
  </si>
  <si>
    <t>Replacement</t>
  </si>
  <si>
    <t>Month 1</t>
  </si>
  <si>
    <t>Month 2</t>
  </si>
  <si>
    <t>Month 3</t>
  </si>
  <si>
    <t>Month 4</t>
  </si>
  <si>
    <t>Month 5</t>
  </si>
  <si>
    <t>Month 6</t>
  </si>
  <si>
    <t>Month 7</t>
  </si>
  <si>
    <t>Month 8</t>
  </si>
  <si>
    <t>Month 9</t>
  </si>
  <si>
    <t>Month 10</t>
  </si>
  <si>
    <t>Month 11</t>
  </si>
  <si>
    <t>Month 12</t>
  </si>
  <si>
    <t>0 </t>
  </si>
  <si>
    <t>MMS-1</t>
  </si>
  <si>
    <t>MMS-2</t>
  </si>
  <si>
    <t>MMS-3</t>
  </si>
  <si>
    <t>MMS-4</t>
  </si>
  <si>
    <t>TOTAL</t>
  </si>
  <si>
    <t xml:space="preserve">Aggregate use cases, so that we have a single graph with the low, baseline and high on a single plot. </t>
  </si>
  <si>
    <t>Excludes any missions with empty minute usage data.</t>
  </si>
  <si>
    <t>Total missions in the low demand scenario</t>
  </si>
  <si>
    <t>Total missions in the baseline demand scenario</t>
  </si>
  <si>
    <t>Total missions in the high demand scenario</t>
  </si>
  <si>
    <t>Additional new missions in the low demand scenario</t>
  </si>
  <si>
    <t>Additional new missions in the baseline demand scenario</t>
  </si>
  <si>
    <t>Additional new missions in the high demand scenario</t>
  </si>
  <si>
    <t>Use case</t>
  </si>
  <si>
    <t>DTE Average (Minutes)</t>
  </si>
  <si>
    <t>SR Average (Minutes)</t>
  </si>
  <si>
    <t>This sheet is an estimate of lifespans for all existing missions.</t>
  </si>
  <si>
    <t>This sheet reflects lifespan estimates for all existing missions, but by use case.</t>
  </si>
  <si>
    <t xml:space="preserve">This sheet helps to estimate the number of additional missions, when accouting for the end of life of various missions, so that total future missions matches NASA's low, baseline and high mission forecasts. </t>
  </si>
  <si>
    <t xml:space="preserve">This sheet details all lifespans, broken down by use case and existing/replacement missions, given NASA's low, baseline and high mission forecast. </t>
  </si>
  <si>
    <t>This sheet details the current and future DTE usage by mission.</t>
  </si>
  <si>
    <t xml:space="preserve">This sheed aims to generate the average minutes by use case for DTE and SR services. </t>
  </si>
  <si>
    <t xml:space="preserve">The DTE mean is based on annual data, whereas the SR mean is based on one year of monthly data. </t>
  </si>
  <si>
    <t>This is an estimate of the mean DTE minutes per mission or use case.</t>
  </si>
  <si>
    <t>Estimate of the number of minutes by mission/use case, accounting for lifespans/new missions, and an annual demand increase factor (reflected only in new missions, e.g., from increasing technological demands resulting from higher resolution data).</t>
  </si>
  <si>
    <t xml:space="preserve">This sheet represents SR usage in minutes. </t>
  </si>
  <si>
    <t>These estimates come from the excel file entitled: "CutOffsWorking.xlsx".</t>
  </si>
  <si>
    <t>Data taken from "User_Data_Vol_20210409.xlsx".</t>
  </si>
  <si>
    <t>This sheet represents the number of minutes of SR usage, based on the mean.</t>
  </si>
  <si>
    <t>ICT equipment</t>
  </si>
  <si>
    <t>Civil engineering structure</t>
  </si>
  <si>
    <t>Fixed fiber connection</t>
  </si>
  <si>
    <t>Staff labor</t>
  </si>
  <si>
    <t>Discount rate</t>
  </si>
  <si>
    <t>Capex</t>
  </si>
  <si>
    <t>Opex</t>
  </si>
  <si>
    <t>Variable Type</t>
  </si>
  <si>
    <t>Site purchase</t>
  </si>
  <si>
    <t>THIS IS SR DATA NOT DTE (where can I find the DTE minutes broken down by mission/use case please?)</t>
  </si>
  <si>
    <t>Average (Hours)</t>
  </si>
  <si>
    <t>Total (Minutes)</t>
  </si>
  <si>
    <t>Low Demand</t>
  </si>
  <si>
    <t>Baseline Demand</t>
  </si>
  <si>
    <t>High Demand</t>
  </si>
  <si>
    <t>AM1</t>
  </si>
  <si>
    <t>AQA</t>
  </si>
  <si>
    <t>AUR</t>
  </si>
  <si>
    <t>C18</t>
  </si>
  <si>
    <t>C19</t>
  </si>
  <si>
    <t>CAL</t>
  </si>
  <si>
    <t>CLA</t>
  </si>
  <si>
    <t>COB</t>
  </si>
  <si>
    <t>COBE</t>
  </si>
  <si>
    <t>DSCO</t>
  </si>
  <si>
    <t>G13</t>
  </si>
  <si>
    <t>G14</t>
  </si>
  <si>
    <t>G15</t>
  </si>
  <si>
    <t>G16</t>
  </si>
  <si>
    <t>G17</t>
  </si>
  <si>
    <t>G18</t>
  </si>
  <si>
    <t>GF1</t>
  </si>
  <si>
    <t>GF2</t>
  </si>
  <si>
    <t>GOES-13</t>
  </si>
  <si>
    <t>IC2</t>
  </si>
  <si>
    <t>ICN</t>
  </si>
  <si>
    <t>IRI</t>
  </si>
  <si>
    <t>IXP</t>
  </si>
  <si>
    <t>L7</t>
  </si>
  <si>
    <t>LRO</t>
  </si>
  <si>
    <t>LS7</t>
  </si>
  <si>
    <t>LS8</t>
  </si>
  <si>
    <t>LS9</t>
  </si>
  <si>
    <t>MEB</t>
  </si>
  <si>
    <t>MS1</t>
  </si>
  <si>
    <t>MS2</t>
  </si>
  <si>
    <t>MS3</t>
  </si>
  <si>
    <t>MS4</t>
  </si>
  <si>
    <t>NUS</t>
  </si>
  <si>
    <t>OC2</t>
  </si>
  <si>
    <t>PT1</t>
  </si>
  <si>
    <t>S69</t>
  </si>
  <si>
    <t>S70</t>
  </si>
  <si>
    <t>SCI</t>
  </si>
  <si>
    <t>SE1</t>
  </si>
  <si>
    <t>SMP</t>
  </si>
  <si>
    <t>SNB</t>
  </si>
  <si>
    <t>SND</t>
  </si>
  <si>
    <t>SOLB</t>
  </si>
  <si>
    <t>ST6</t>
  </si>
  <si>
    <t>STATION</t>
  </si>
  <si>
    <t>T10</t>
  </si>
  <si>
    <t>T13</t>
  </si>
  <si>
    <t>TD3</t>
  </si>
  <si>
    <t>TD5</t>
  </si>
  <si>
    <t>TD7</t>
  </si>
  <si>
    <t>TD8</t>
  </si>
  <si>
    <t>TD9</t>
  </si>
  <si>
    <t>THA</t>
  </si>
  <si>
    <t>THB</t>
  </si>
  <si>
    <t>THC</t>
  </si>
  <si>
    <t>THD</t>
  </si>
  <si>
    <t>THE</t>
  </si>
  <si>
    <t>XRI</t>
  </si>
  <si>
    <t>DTE Minutes 2023</t>
  </si>
  <si>
    <t>Name</t>
  </si>
  <si>
    <t>Code</t>
  </si>
  <si>
    <t>GOES</t>
  </si>
  <si>
    <r>
      <t>Advanced Composition Explorer (</t>
    </r>
    <r>
      <rPr>
        <b/>
        <sz val="8"/>
        <color rgb="FFBCC0C3"/>
        <rFont val="Roboto"/>
      </rPr>
      <t>ACE</t>
    </r>
    <r>
      <rPr>
        <sz val="8"/>
        <color rgb="FFBDC1C6"/>
        <rFont val="Roboto"/>
      </rPr>
      <t>)</t>
    </r>
  </si>
  <si>
    <t>Full</t>
  </si>
  <si>
    <t>Aeronomy of Ice in the Mesosphere</t>
  </si>
  <si>
    <t>Cosmic Background Explorer</t>
  </si>
  <si>
    <t>?</t>
  </si>
  <si>
    <t>Imaging X-ray Polarimetry Explorer</t>
  </si>
  <si>
    <t>Lunar Reconnaissance Orbiter</t>
  </si>
  <si>
    <t>Magnetospheric Multiscale (MMS) Mission</t>
  </si>
  <si>
    <t>Orbiting Carbon Observatory</t>
  </si>
  <si>
    <t>Parker Solar Probe</t>
  </si>
  <si>
    <t>Space Technology 6</t>
  </si>
  <si>
    <t>X-Ray Imaging and Spectroscopy Mission (XRISM)</t>
  </si>
  <si>
    <t>ATLAS-V</t>
  </si>
  <si>
    <t>BLSM POINT</t>
  </si>
  <si>
    <t>BURSTCUBE</t>
  </si>
  <si>
    <t>CYGNUS NG-16</t>
  </si>
  <si>
    <t>CYGNUS NG-18</t>
  </si>
  <si>
    <t>CYGNUS NG-19</t>
  </si>
  <si>
    <t>ESBT</t>
  </si>
  <si>
    <t>FERMI</t>
  </si>
  <si>
    <t>GRC ACNT DEMO</t>
  </si>
  <si>
    <t>GRGT TO&amp;A</t>
  </si>
  <si>
    <t>GRS TOA</t>
  </si>
  <si>
    <t>H-IIA/EMM</t>
  </si>
  <si>
    <t>H-IIA/XRISM</t>
  </si>
  <si>
    <t>HSF LANDING SV</t>
  </si>
  <si>
    <t>ICESAT2</t>
  </si>
  <si>
    <t>ICPS</t>
  </si>
  <si>
    <t>JPSS-2</t>
  </si>
  <si>
    <t>LDB EUSO</t>
  </si>
  <si>
    <t>LDB GUSTO</t>
  </si>
  <si>
    <t>LDB HIWIND</t>
  </si>
  <si>
    <t>LDB SPB</t>
  </si>
  <si>
    <t>LDB SPB 1</t>
  </si>
  <si>
    <t>LDB SPB 2</t>
  </si>
  <si>
    <t>LDB SUPERBIT</t>
  </si>
  <si>
    <t>LDBP2</t>
  </si>
  <si>
    <t>LDBP3</t>
  </si>
  <si>
    <t>LDBP4</t>
  </si>
  <si>
    <t>LDBP5</t>
  </si>
  <si>
    <t>LSAT-7</t>
  </si>
  <si>
    <t>LSAT-8</t>
  </si>
  <si>
    <t>LSAT-9</t>
  </si>
  <si>
    <t>NO CUSTOMER ID</t>
  </si>
  <si>
    <t>PACE</t>
  </si>
  <si>
    <t>SPACEX CREW-4</t>
  </si>
  <si>
    <t>SPACEX CREW-5</t>
  </si>
  <si>
    <t>SPACEX CREW-6</t>
  </si>
  <si>
    <t>SPACEX CREW-7</t>
  </si>
  <si>
    <t>SPB</t>
  </si>
  <si>
    <t>SPX STARSHIP</t>
  </si>
  <si>
    <t>SPX-26</t>
  </si>
  <si>
    <t>SPX-27</t>
  </si>
  <si>
    <t>SPX-28</t>
  </si>
  <si>
    <t>SPX-29</t>
  </si>
  <si>
    <t>STGT SGSS</t>
  </si>
  <si>
    <t>STGT TEST</t>
  </si>
  <si>
    <t>STGT TO&amp;A</t>
  </si>
  <si>
    <t>SUNRISE III</t>
  </si>
  <si>
    <t>TECHOPS</t>
  </si>
  <si>
    <t>TECHOPS TEST</t>
  </si>
  <si>
    <t>TO&amp;A</t>
  </si>
  <si>
    <t>VULCAN</t>
  </si>
  <si>
    <t>WSGT</t>
  </si>
  <si>
    <t>XTD</t>
  </si>
  <si>
    <t>Fermi Gamma-ray Space Telescope</t>
  </si>
  <si>
    <t xml:space="preserve">Global Precipitation Measurement Mission </t>
  </si>
  <si>
    <t>Emirates Mars Mission</t>
  </si>
  <si>
    <t>Hubble Space Telescope</t>
  </si>
  <si>
    <t>Ionospheric Connection Explorer</t>
  </si>
  <si>
    <t>Interim Cryogenic Propulsion Stage</t>
  </si>
  <si>
    <t xml:space="preserve">Joint Polar Satellite System </t>
  </si>
  <si>
    <t>Near-Earth Object Wide-field Infrared Survey Explorer</t>
  </si>
  <si>
    <t>Nuclear Spectroscopic Telescope Array</t>
  </si>
  <si>
    <t>Plankton, Aerosol, Cloud, ocean Ecosystem</t>
  </si>
  <si>
    <t>Super Pressure Balloon</t>
  </si>
  <si>
    <t>South Pole Tracking and Data Relay Satellite (TDRS) Relay 2</t>
  </si>
  <si>
    <t xml:space="preserve">Technical Operations and Analysis </t>
  </si>
  <si>
    <t>White Sands Ground Terminal</t>
  </si>
  <si>
    <t>Bilateration Ranging Transponder System</t>
  </si>
  <si>
    <t>Blossom Point Research Facility</t>
  </si>
  <si>
    <t>SR Minutes 2023</t>
  </si>
  <si>
    <t>Total (excluding Launch Events)</t>
  </si>
  <si>
    <t>Future SR</t>
  </si>
  <si>
    <t>Launch Events DTE</t>
  </si>
  <si>
    <t>Launch Events SR</t>
  </si>
  <si>
    <t>Assured Data Delivery (ADD) Service Mission Projections</t>
  </si>
  <si>
    <t>File Data Delivery and Networking (FDDN) Service Mission Projections</t>
  </si>
  <si>
    <t>Launch Events (LE)</t>
  </si>
  <si>
    <t xml:space="preserve">Total </t>
  </si>
  <si>
    <t>Future LE</t>
  </si>
  <si>
    <t>Service Time Per Year (Per Mission)</t>
  </si>
  <si>
    <t>Mean Minutes Per Pass (Per Mission)</t>
  </si>
  <si>
    <t>Service Time (Minutes)</t>
  </si>
  <si>
    <t xml:space="preserve"> Annual Service Cost (USD)</t>
  </si>
  <si>
    <t>Annual Service Cost (USD)</t>
  </si>
  <si>
    <t xml:space="preserve"> 2023-2027 Service Cost (USD)</t>
  </si>
  <si>
    <t>Nasa aggregate Assured Data Delivery (ADD) mission forecast</t>
  </si>
  <si>
    <t>Estimated new Assured Data Delivery (ADD) users by use case - Direct To Earth (DTE)</t>
  </si>
  <si>
    <t>Estimated new Assured Data Delivery (ADD) users by use case - Space Relay (SR)</t>
  </si>
  <si>
    <t>Estimated new Assured Data Delivery (ADD) users by use case - Launch Events (LE)</t>
  </si>
  <si>
    <t>Nasa aggregate File Data Delivery and Networking (FDDN) mission forecast</t>
  </si>
  <si>
    <t>Estimated new File Data Delivery and Networking (FDDN) users by use case - DTE</t>
  </si>
  <si>
    <t>Estimated new File Data Delivery and Networking (FDDN) users by use case - SR</t>
  </si>
  <si>
    <t>Assured Data Delivery (ADD)</t>
  </si>
  <si>
    <t>File Data Delivery and Networking (FDDN)</t>
  </si>
  <si>
    <t>Service</t>
  </si>
  <si>
    <t>Method</t>
  </si>
  <si>
    <t>ADD Direct to Earth (DTE)</t>
  </si>
  <si>
    <t>ADD Space Relay (SR)</t>
  </si>
  <si>
    <t>ADD Launch Events (LE)</t>
  </si>
  <si>
    <t>FDDN Direct to Earth (DTE)</t>
  </si>
  <si>
    <t>FDDN Space Relay (SR)</t>
  </si>
  <si>
    <t>Type</t>
  </si>
  <si>
    <t>DTE</t>
  </si>
  <si>
    <t>SR</t>
  </si>
  <si>
    <t>Cost/Minute (USD/min)</t>
  </si>
  <si>
    <t>CALIPSO</t>
  </si>
  <si>
    <t>Cloud-Aerosol Lidar and Infrared Pathfinder Satellite Observations</t>
  </si>
  <si>
    <t>Deep Space Climate Observatory</t>
  </si>
  <si>
    <t>Interface Region Imaging Spectrograph</t>
  </si>
  <si>
    <t>Landsat</t>
  </si>
  <si>
    <t>Landsat - Duplicate</t>
  </si>
  <si>
    <t>MetOp-B</t>
  </si>
  <si>
    <t>Assume Soyuz</t>
  </si>
  <si>
    <t>SciSat-1 (CHECKING)</t>
  </si>
  <si>
    <t>(asking)</t>
  </si>
  <si>
    <t>SMAP (CHECKING)</t>
  </si>
  <si>
    <t>Solar-B/Hinode</t>
  </si>
  <si>
    <t>Assume dup of ISS</t>
  </si>
  <si>
    <t>TDRS</t>
  </si>
  <si>
    <t>THEMIS</t>
  </si>
  <si>
    <t>(Asking)</t>
  </si>
  <si>
    <t>Fermi Gamma-ray Space Telescope (DUP)</t>
  </si>
  <si>
    <t>REMOVE</t>
  </si>
  <si>
    <t>These is testing related to TDRS - I think we should remove</t>
  </si>
  <si>
    <t>Balloon program mission</t>
  </si>
  <si>
    <t>Suomi NPP</t>
  </si>
  <si>
    <t>this is all test stuff for TDRS - to ground assets - should probably remove</t>
  </si>
  <si>
    <t>Minutes</t>
  </si>
  <si>
    <t>Exclude from mission count</t>
  </si>
  <si>
    <t>Exclude from minutes count</t>
  </si>
  <si>
    <t>ADD (%)</t>
  </si>
  <si>
    <t>FDDN (%)</t>
  </si>
  <si>
    <t>Metric</t>
  </si>
  <si>
    <t>ADD (Minutes)</t>
  </si>
  <si>
    <t>FDDN (Minutes)</t>
  </si>
  <si>
    <t>Ground station</t>
  </si>
  <si>
    <t>Staff</t>
  </si>
  <si>
    <t>Satellites</t>
  </si>
  <si>
    <t>Category</t>
  </si>
  <si>
    <t>Cost type</t>
  </si>
  <si>
    <t>Network ID</t>
  </si>
  <si>
    <t>Manufacturing (Sats)</t>
  </si>
  <si>
    <t>Launch (Sats)</t>
  </si>
  <si>
    <t>Ground satations</t>
  </si>
  <si>
    <t>Fiber (km)</t>
  </si>
  <si>
    <t>Reg. Fees (planes)</t>
  </si>
  <si>
    <t>O&amp;M</t>
  </si>
  <si>
    <t>Satellite manufacturing (per sat)</t>
  </si>
  <si>
    <t>$m</t>
  </si>
  <si>
    <t>LEO</t>
  </si>
  <si>
    <t>Satellite launch (per sat)</t>
  </si>
  <si>
    <t>Fiber infrastructure</t>
  </si>
  <si>
    <t>$m/km</t>
  </si>
  <si>
    <t>Regulatory fees</t>
  </si>
  <si>
    <t>$m/plane/year</t>
  </si>
  <si>
    <t xml:space="preserve">Operation and maintenance </t>
  </si>
  <si>
    <t>% of capex/year</t>
  </si>
  <si>
    <t>$m/year</t>
  </si>
  <si>
    <t>%/year</t>
  </si>
  <si>
    <t>All networks are designed for 20 years (LEO sats each last 5 years, GEO sats last 20 years).</t>
  </si>
  <si>
    <t xml:space="preserve">The number of launch spots is proportional to the number of manufactured satellites. </t>
  </si>
  <si>
    <t>10 ground stations are required as a minimum, with one added per the scaling factor.</t>
  </si>
  <si>
    <t xml:space="preserve">Each ground station needs 10 km of new fiber. </t>
  </si>
  <si>
    <t xml:space="preserve">A constellation has a minimum of 2 orbital planes, with one plane added per 100 satellites. </t>
  </si>
  <si>
    <t xml:space="preserve">O&amp;M is 10% of the manufacturing, launch, ground station and fiber cost. </t>
  </si>
  <si>
    <t xml:space="preserve">Staff is a minimum of 100, and then increases per the scaling factor. </t>
  </si>
  <si>
    <t>Constellation</t>
  </si>
  <si>
    <t>Ground stations</t>
  </si>
  <si>
    <t>GS/satellite</t>
  </si>
  <si>
    <t>Kuiper</t>
  </si>
  <si>
    <t>OneWeb</t>
  </si>
  <si>
    <t>Manufacturing ($m)</t>
  </si>
  <si>
    <t>Launch ($m)</t>
  </si>
  <si>
    <t>Ground satations ($m)</t>
  </si>
  <si>
    <t>Fiber ($m)</t>
  </si>
  <si>
    <t>Reg. Fees ($m)</t>
  </si>
  <si>
    <t>O&amp;M ($m)</t>
  </si>
  <si>
    <t>Staff ($m)</t>
  </si>
  <si>
    <t>Total ($m)</t>
  </si>
  <si>
    <t>Starlink</t>
  </si>
  <si>
    <t>GEO</t>
  </si>
  <si>
    <t>LEO mean</t>
  </si>
  <si>
    <t>GEO mean</t>
  </si>
  <si>
    <t>MHz</t>
  </si>
  <si>
    <t>MHz/satellite</t>
  </si>
  <si>
    <t>Staff/satellite</t>
  </si>
  <si>
    <t>Total cost ($m)</t>
  </si>
  <si>
    <t>Fixed cost ($m)</t>
  </si>
  <si>
    <t>Variable cost ($m)</t>
  </si>
  <si>
    <t>Average total cost ($/Min)</t>
  </si>
  <si>
    <t>Marginal cost ($/min)</t>
  </si>
  <si>
    <t>Fixed costs - costs that do not change with the amount produced</t>
  </si>
  <si>
    <t>Variable costs - costs that do change with the amount produced</t>
  </si>
  <si>
    <t>Total cost - fixed costs plus variable costs</t>
  </si>
  <si>
    <t xml:space="preserve">Marginal cost - additional cost of producing one more unit. </t>
  </si>
  <si>
    <t>Antennas</t>
  </si>
  <si>
    <t>Antenna (per antenna)</t>
  </si>
  <si>
    <t>$m/Acre</t>
  </si>
  <si>
    <t>$mUSD</t>
  </si>
  <si>
    <t>Operation and maintenance</t>
  </si>
  <si>
    <t>The site is designed for a 20 year lifespan.</t>
  </si>
  <si>
    <t>Economic Metrics</t>
  </si>
  <si>
    <t>A site starts with one antenna and has more added as the network expands</t>
  </si>
  <si>
    <t>Civil engineering structure is a concrete slab, with a steel fence, operational building and space for atennas</t>
  </si>
  <si>
    <t xml:space="preserve">Each site needs 10 km of new fiber. </t>
  </si>
  <si>
    <t>Antenna ID</t>
  </si>
  <si>
    <t xml:space="preserve">    - ASCEND is not a replacement for detailed bottom-up network-specific modeling. The aim is to provide a generalized understanding of incremental cost for different network suppliers.</t>
  </si>
  <si>
    <t xml:space="preserve">    - ASCEND is not an exact measurement tool but a scenario-based decision-support model which helps to understand future (unknown) demand and pricing scenarios.</t>
  </si>
  <si>
    <t xml:space="preserve">- NASA SCaN operational data for Direct-To-Earth (DTE) and Space Relay (SR) services. </t>
  </si>
  <si>
    <t>ASCEND informs high-level decisions pertaining to commercialization strategies of NASA's Near Space Network.</t>
  </si>
  <si>
    <t xml:space="preserve">    - Assessing commercial costs using top-down exogenous pricing (e.g., a given price/minute).</t>
  </si>
  <si>
    <t xml:space="preserve">    - Evaluating commercial costs using bottom-up endogenous pricing (e.g., based on estimated costs of production). </t>
  </si>
  <si>
    <t>- NASA SCaN aggregate forecast of mission demand</t>
  </si>
  <si>
    <t>Oughton, E.J., Weir, E.L. et al. (2024) “Assessing Commercialization Strategies for Evolving Network Demand in NASA's Space Communications and Networking (SCaN) program”, Working Paper 24/XX.</t>
  </si>
  <si>
    <t xml:space="preserve">    - Appraising cost scenarios for awarding contracts to different wireless communication service providers.</t>
  </si>
  <si>
    <t>By using ASCEND an analyst is able to answer the following specific questions:</t>
  </si>
  <si>
    <t>- What is the impact on total cost of a supplier quoting a specific service price (in US$/minute)?</t>
  </si>
  <si>
    <t>- How do the costs of production change based on awarding contracts to a different number of suppliers (in US$)?</t>
  </si>
  <si>
    <t xml:space="preserve">- Current operational demand is based on real 2023 network usage data. </t>
  </si>
  <si>
    <t xml:space="preserve">- Future demand is based on NASA's stated (i) aggregate 2024-2027 missions and (ii) mean minutes per mission. </t>
  </si>
  <si>
    <t xml:space="preserve">- Endogenous prices are estimated in ASCEND, based on cost inputs from the literature, for hypothetical network operators. </t>
  </si>
  <si>
    <t>- Exogenous prices are based on NASA's Mission Operations and Communications Services (MOCS) prices.</t>
  </si>
  <si>
    <t>- Within these general services there are three communication methods, Direct-To-Earth (DTE), Space Relay (SR) and Launch Events (LE).</t>
  </si>
  <si>
    <t>- ASCEND considers Assured Data Delivery (ADD) and File Data Delivery and Networking (FDDN) services.</t>
  </si>
  <si>
    <t>- How much would it cost to purchase these services from commercial providers (in US$)?</t>
  </si>
  <si>
    <t>The ASCEND Modeling Approach</t>
  </si>
  <si>
    <t>DTE $/Min</t>
  </si>
  <si>
    <t>SR $/Min</t>
  </si>
  <si>
    <t>Service Method</t>
  </si>
  <si>
    <t>Mean DTE service time per mission</t>
  </si>
  <si>
    <t>Mean DTE service time per mission w/o Human Space Flight</t>
  </si>
  <si>
    <t>Mean SR service time per mission</t>
  </si>
  <si>
    <t>Mean SR service time per mission w/o Human Space Flight</t>
  </si>
  <si>
    <t>Current Annual Operational Demand (based on NASA SCaN 2023 usage data)</t>
  </si>
  <si>
    <t>There are no spectrum costs (unlike terrestrial which often requires an exclusive license).</t>
  </si>
  <si>
    <t>Average fixed cost (US$/Min)</t>
  </si>
  <si>
    <t>Average variable cost (US$/Min)</t>
  </si>
  <si>
    <t>Starlink*</t>
  </si>
  <si>
    <t>*only 10% of staff work on Starlink</t>
  </si>
  <si>
    <t xml:space="preserve">Staff is a minimum of 200, and then increases per the staff scaling factor. </t>
  </si>
  <si>
    <t>19 $/Min (NASA MOCS)</t>
  </si>
  <si>
    <t>91 $/Min (NASA MOCS)</t>
  </si>
  <si>
    <t>User-defined price</t>
  </si>
  <si>
    <t>- Select "User-defined price" in the left-hand yellow boxes.</t>
  </si>
  <si>
    <t>- Enter your chosen value in the yellow boxes below.</t>
  </si>
  <si>
    <t>Specify a user-defined price.</t>
  </si>
  <si>
    <t xml:space="preserve">Specify a pre-defined price.  </t>
  </si>
  <si>
    <t>Instructions for setting a user-defined price:</t>
  </si>
  <si>
    <t>The price to be used is:</t>
  </si>
  <si>
    <t>SR - LEO</t>
  </si>
  <si>
    <t>SR - GEO</t>
  </si>
  <si>
    <t xml:space="preserve">DTE </t>
  </si>
  <si>
    <t>Here we calculate the current commercial cost, based on annual DTE/SR operational demand from 2023. The service split (for ADD/FDDN) is applied from the NASA SCaN forecast.</t>
  </si>
  <si>
    <t>Here we calculate the commercial cost for NASA's future mission demand forecast for 2023-2027 (using mean minutes per mission from 2023 operational data).</t>
  </si>
  <si>
    <t xml:space="preserve">The model now has the main relationships specified between the key variables. </t>
  </si>
  <si>
    <t xml:space="preserve">Disclaimer </t>
  </si>
  <si>
    <t>However, the model is still unvalidated, and will be re-parameterized once there is general agreement on the approach proposed here.</t>
  </si>
  <si>
    <t>Current Operational Demand</t>
  </si>
  <si>
    <t>Yes</t>
  </si>
  <si>
    <t xml:space="preserve">Include? </t>
  </si>
  <si>
    <t>No</t>
  </si>
  <si>
    <t>Select use cases to include/exclude</t>
  </si>
  <si>
    <t>Current Mission Count</t>
  </si>
  <si>
    <t>Near-Future Missions (Jan 2023-Dec 2027)</t>
  </si>
  <si>
    <t>Low (Δ%)</t>
  </si>
  <si>
    <t>Baseline (Δ%)</t>
  </si>
  <si>
    <t>High (Δ%)</t>
  </si>
  <si>
    <t>Select mission quantities by scenario</t>
  </si>
  <si>
    <t>Current DTE Minutes (2023)</t>
  </si>
  <si>
    <t>Future DTE Minutes</t>
  </si>
  <si>
    <t>Current SR Minutes (2023)</t>
  </si>
  <si>
    <t>Future SR Minutes</t>
  </si>
  <si>
    <t>Set the quantity of future DTE minutes</t>
  </si>
  <si>
    <t>Set the quantity of future SR minutes</t>
  </si>
  <si>
    <t>S1</t>
  </si>
  <si>
    <t>S2</t>
  </si>
  <si>
    <t>S3</t>
  </si>
  <si>
    <t>LE</t>
  </si>
  <si>
    <t>Suppliers</t>
  </si>
  <si>
    <t>Scenario</t>
  </si>
  <si>
    <t>S4</t>
  </si>
  <si>
    <t>S5</t>
  </si>
  <si>
    <t>S6</t>
  </si>
  <si>
    <t>Scenario Minutes</t>
  </si>
  <si>
    <t>O&amp;M (% of terrestrial capex)</t>
  </si>
  <si>
    <t>Staff (headcount)</t>
  </si>
  <si>
    <t>Constellation size (sats)</t>
  </si>
  <si>
    <t>Manufacturing ($M)</t>
  </si>
  <si>
    <t>Launch ($M)</t>
  </si>
  <si>
    <t>Fiber ($M)</t>
  </si>
  <si>
    <t>Reg. Fees ($M)</t>
  </si>
  <si>
    <t>O&amp;M ($M)</t>
  </si>
  <si>
    <t>Staff ($M)</t>
  </si>
  <si>
    <t>Total ($M)</t>
  </si>
  <si>
    <t>Costs of Production</t>
  </si>
  <si>
    <t>Unit Quantities</t>
  </si>
  <si>
    <t>Costs by Cost Type ($Millions)</t>
  </si>
  <si>
    <t>Calculate Lifetime Opex Costs ($Millions)</t>
  </si>
  <si>
    <t>Total cost ($M)</t>
  </si>
  <si>
    <t>Fixed cost ($M)</t>
  </si>
  <si>
    <t>Variable cost ($M)</t>
  </si>
  <si>
    <t>Marginal cost ($/Min)</t>
  </si>
  <si>
    <t>Ground stations ($M)</t>
  </si>
  <si>
    <t>Unit Costs</t>
  </si>
  <si>
    <t>Estimate GS Scaling Factor</t>
  </si>
  <si>
    <t>Estimate Spectrum Scaling Factor</t>
  </si>
  <si>
    <t>Estimate Staff Scaling Factor</t>
  </si>
  <si>
    <t xml:space="preserve">Yellow cells represent either drop-down boxes, or user-defined values. </t>
  </si>
  <si>
    <t xml:space="preserve">    - Estimating the commercial cost of meeting current operational, and future demand for wireless communication services.</t>
  </si>
  <si>
    <t xml:space="preserve">    - Quantifying current operational, and future NASA demand for wireless communication services.</t>
  </si>
  <si>
    <t>- What is NASA SCaN's current operational and future network demand (in minutes)?</t>
  </si>
  <si>
    <t>Or specify a user-defined price.</t>
  </si>
  <si>
    <t xml:space="preserve">SR - GEO </t>
  </si>
  <si>
    <t>Unknown Use Case</t>
  </si>
  <si>
    <t>Scenario Cost</t>
  </si>
  <si>
    <t>Total Current Minutes</t>
  </si>
  <si>
    <t>2 LEO</t>
  </si>
  <si>
    <t>1 LEO, 1 GEO</t>
  </si>
  <si>
    <t>2 LEO, 2 GEO</t>
  </si>
  <si>
    <t>2 LEO 4 GEO</t>
  </si>
  <si>
    <t>Description</t>
  </si>
  <si>
    <t>Mean Cost ($/Min)</t>
  </si>
  <si>
    <t>Total Future Minutes</t>
  </si>
  <si>
    <t>3 LEO 3 GEO</t>
  </si>
  <si>
    <t>4 LEO 2 GEO</t>
  </si>
  <si>
    <t>S5 (6 Providers)</t>
  </si>
  <si>
    <t>ICT equipment provides all onsite networking equipment (servers, routers, monitors, software etc.)</t>
  </si>
  <si>
    <t xml:space="preserve">O&amp;M is 10% of the terrestrial infrastructure capex cost, annually. </t>
  </si>
  <si>
    <t>DTE S1 (2 Providers)</t>
  </si>
  <si>
    <t>DTE S2 (3 Providers)</t>
  </si>
  <si>
    <t>DTE S3 (4 Providers)</t>
  </si>
  <si>
    <t>DTE S4 (5 Providers)</t>
  </si>
  <si>
    <t>DTE S5 (6 Providers)</t>
  </si>
  <si>
    <t>DTE S6 (7 Providers)</t>
  </si>
  <si>
    <t>SR S1 (2 LEO)</t>
  </si>
  <si>
    <t>SR S2 (1 LEO, 1 GEO)</t>
  </si>
  <si>
    <t>SR S4 (3 LEO 3 GEO)</t>
  </si>
  <si>
    <t>SR S5 (4 LEO 2 GEO)</t>
  </si>
  <si>
    <t>SR S6 (2 LEO 4 GEO)</t>
  </si>
  <si>
    <t>SR S3 (2 LEO, 2 GEO)</t>
  </si>
  <si>
    <t>DTE Mean Cost ($/Min)</t>
  </si>
  <si>
    <t>SR Mean Cost ($/Min)</t>
  </si>
  <si>
    <t>Profit margin</t>
  </si>
  <si>
    <t>Profit Margin (%)</t>
  </si>
  <si>
    <t>Final Scenario Mean Cost</t>
  </si>
  <si>
    <t>DTE Scenario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</si>
</sst>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_-* #,##0.00_-;\-* #,##0.00_-;_-* &quot;-&quot;??_-;_-@_-"/>
    <numFmt numFmtId="165" formatCode="0.0"/>
    <numFmt numFmtId="166" formatCode="_(* #,##0_);_(* \(#,##0\);_(* &quot;-&quot;??_);_(@_)"/>
    <numFmt numFmtId="167" formatCode="0.0%"/>
    <numFmt numFmtId="168" formatCode="_(* #,##0.0_);_(* \(#,##0.0\);_(* &quot;-&quot;??_);_(@_)"/>
    <numFmt numFmtId="169" formatCode="0.000"/>
    <numFmt numFmtId="170" formatCode="0.0000000"/>
    <numFmt numFmtId="171" formatCode="_(&quot;$&quot;* #,##0_);_(&quot;$&quot;* \(#,##0\);_(&quot;$&quot;* &quot;-&quot;??_);_(@_)"/>
  </numFmts>
  <fonts count="53" x14ac:knownFonts="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name val="Helvetica"/>
    </font>
    <font>
      <sz val="11"/>
      <color theme="1"/>
      <name val="Helvetica"/>
    </font>
    <font>
      <sz val="20"/>
      <color rgb="FFFFFFFF"/>
      <name val="Helvetica"/>
    </font>
    <font>
      <b/>
      <sz val="11"/>
      <name val="Helvetica"/>
    </font>
    <font>
      <sz val="20"/>
      <name val="Helvetica"/>
    </font>
    <font>
      <u/>
      <sz val="11"/>
      <color theme="10"/>
      <name val="Helvetica"/>
    </font>
    <font>
      <sz val="11"/>
      <color theme="0"/>
      <name val="Helvetica"/>
    </font>
    <font>
      <sz val="9"/>
      <color theme="0"/>
      <name val="Helvetica"/>
    </font>
    <font>
      <sz val="10"/>
      <color theme="0"/>
      <name val="Helvetica"/>
    </font>
    <font>
      <b/>
      <sz val="11"/>
      <color theme="1"/>
      <name val="Helvetica"/>
    </font>
    <font>
      <sz val="11"/>
      <color rgb="FF000000"/>
      <name val="Helvetica"/>
    </font>
    <font>
      <sz val="11"/>
      <color rgb="FFFF0000"/>
      <name val="Helvetica"/>
    </font>
    <font>
      <i/>
      <sz val="11"/>
      <color theme="1"/>
      <name val="Helvetica"/>
    </font>
    <font>
      <b/>
      <sz val="11"/>
      <color rgb="FF000000"/>
      <name val="Helvetica"/>
    </font>
    <font>
      <i/>
      <sz val="11"/>
      <color rgb="FF000000"/>
      <name val="Helvetica"/>
    </font>
    <font>
      <b/>
      <sz val="11"/>
      <color theme="0"/>
      <name val="Helvetica"/>
    </font>
    <font>
      <b/>
      <sz val="12"/>
      <color rgb="FFFF0000"/>
      <name val="Helvetica"/>
    </font>
    <font>
      <sz val="8"/>
      <color rgb="FFBDC1C6"/>
      <name val="Roboto"/>
    </font>
    <font>
      <b/>
      <sz val="8"/>
      <color rgb="FFBCC0C3"/>
      <name val="Roboto"/>
    </font>
    <font>
      <sz val="11"/>
      <name val="Calibri"/>
      <family val="2"/>
      <scheme val="minor"/>
    </font>
    <font>
      <b/>
      <sz val="11"/>
      <color rgb="FFFF0000"/>
      <name val="Helvetica"/>
    </font>
    <font>
      <b/>
      <sz val="12"/>
      <name val="Helvetica"/>
    </font>
    <font>
      <sz val="8"/>
      <name val="Calibri"/>
      <family val="2"/>
      <scheme val="minor"/>
    </font>
    <font>
      <b/>
      <sz val="12"/>
      <color theme="1"/>
      <name val="Helvetica"/>
    </font>
    <font>
      <i/>
      <sz val="14"/>
      <name val="Helvetica"/>
    </font>
    <font>
      <b/>
      <sz val="14"/>
      <color theme="1"/>
      <name val="Helvetica"/>
    </font>
    <font>
      <sz val="12"/>
      <name val="Helvetica"/>
    </font>
    <font>
      <b/>
      <sz val="10"/>
      <color theme="1"/>
      <name val="Helvetica"/>
    </font>
    <font>
      <b/>
      <sz val="9"/>
      <color theme="1"/>
      <name val="Helvetica"/>
    </font>
    <font>
      <sz val="12"/>
      <color theme="1"/>
      <name val="Helvetica"/>
    </font>
    <font>
      <sz val="9"/>
      <name val="Helvetica"/>
    </font>
    <font>
      <sz val="10"/>
      <name val="Helvetica"/>
    </font>
    <font>
      <sz val="11"/>
      <color theme="1"/>
      <name val="Helvetical"/>
    </font>
  </fonts>
  <fills count="43">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05BD8"/>
        <bgColor rgb="FF004C97"/>
      </patternFill>
    </fill>
    <fill>
      <patternFill patternType="solid">
        <fgColor rgb="FF105BD8"/>
        <bgColor indexed="64"/>
      </patternFill>
    </fill>
    <fill>
      <patternFill patternType="solid">
        <fgColor rgb="FF061F4A"/>
        <bgColor rgb="FFC00000"/>
      </patternFill>
    </fill>
    <fill>
      <patternFill patternType="solid">
        <fgColor rgb="FF061F4A"/>
        <bgColor indexed="64"/>
      </patternFill>
    </fill>
    <fill>
      <patternFill patternType="solid">
        <fgColor rgb="FF061F4A"/>
        <bgColor rgb="FF004C97"/>
      </patternFill>
    </fill>
    <fill>
      <patternFill patternType="solid">
        <fgColor theme="8"/>
        <bgColor indexed="64"/>
      </patternFill>
    </fill>
    <fill>
      <patternFill patternType="solid">
        <fgColor theme="3"/>
        <bgColor indexed="64"/>
      </patternFill>
    </fill>
    <fill>
      <patternFill patternType="solid">
        <fgColor theme="0" tint="-4.9989318521683403E-2"/>
        <bgColor indexed="64"/>
      </patternFill>
    </fill>
  </fills>
  <borders count="5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bottom/>
      <diagonal/>
    </border>
    <border>
      <left style="thin">
        <color indexed="64"/>
      </left>
      <right style="thick">
        <color indexed="64"/>
      </right>
      <top style="medium">
        <color indexed="64"/>
      </top>
      <bottom style="thin">
        <color indexed="64"/>
      </bottom>
      <diagonal/>
    </border>
    <border>
      <left/>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style="thin">
        <color indexed="64"/>
      </right>
      <top/>
      <bottom style="medium">
        <color indexed="64"/>
      </bottom>
      <diagonal/>
    </border>
  </borders>
  <cellStyleXfs count="48">
    <xf numFmtId="0" fontId="0" fillId="0" borderId="0"/>
    <xf numFmtId="9" fontId="1" fillId="0" borderId="0"/>
    <xf numFmtId="43" fontId="2" fillId="0" borderId="0" applyFont="0" applyFill="0" applyBorder="0" applyAlignment="0" applyProtection="0"/>
    <xf numFmtId="0" fontId="4" fillId="0" borderId="0" applyNumberFormat="0" applyFill="0" applyBorder="0" applyAlignment="0" applyProtection="0"/>
    <xf numFmtId="0" fontId="5" fillId="0" borderId="10" applyNumberFormat="0" applyFill="0" applyAlignment="0" applyProtection="0"/>
    <xf numFmtId="0" fontId="6" fillId="0" borderId="11" applyNumberFormat="0" applyFill="0" applyAlignment="0" applyProtection="0"/>
    <xf numFmtId="0" fontId="7" fillId="0" borderId="12"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13" applyNumberFormat="0" applyAlignment="0" applyProtection="0"/>
    <xf numFmtId="0" fontId="12" fillId="8" borderId="14" applyNumberFormat="0" applyAlignment="0" applyProtection="0"/>
    <xf numFmtId="0" fontId="13" fillId="8" borderId="13" applyNumberFormat="0" applyAlignment="0" applyProtection="0"/>
    <xf numFmtId="0" fontId="14" fillId="0" borderId="15" applyNumberFormat="0" applyFill="0" applyAlignment="0" applyProtection="0"/>
    <xf numFmtId="0" fontId="15" fillId="9" borderId="16" applyNumberFormat="0" applyAlignment="0" applyProtection="0"/>
    <xf numFmtId="0" fontId="16" fillId="0" borderId="0" applyNumberFormat="0" applyFill="0" applyBorder="0" applyAlignment="0" applyProtection="0"/>
    <xf numFmtId="0" fontId="2" fillId="10" borderId="17" applyNumberFormat="0" applyFont="0" applyAlignment="0" applyProtection="0"/>
    <xf numFmtId="0" fontId="17" fillId="0" borderId="0" applyNumberFormat="0" applyFill="0" applyBorder="0" applyAlignment="0" applyProtection="0"/>
    <xf numFmtId="0" fontId="3" fillId="0" borderId="18" applyNumberFormat="0" applyFill="0" applyAlignment="0" applyProtection="0"/>
    <xf numFmtId="0" fontId="18"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8"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8"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8"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18"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18"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164" fontId="2" fillId="0" borderId="0" applyFont="0" applyFill="0" applyBorder="0" applyAlignment="0" applyProtection="0"/>
    <xf numFmtId="0" fontId="19" fillId="0" borderId="0" applyNumberFormat="0" applyFill="0" applyBorder="0" applyAlignment="0" applyProtection="0"/>
    <xf numFmtId="0" fontId="2" fillId="0" borderId="0"/>
    <xf numFmtId="44" fontId="2" fillId="0" borderId="0" applyFont="0" applyFill="0" applyBorder="0" applyAlignment="0" applyProtection="0"/>
  </cellStyleXfs>
  <cellXfs count="549">
    <xf numFmtId="0" fontId="0" fillId="0" borderId="0" xfId="0"/>
    <xf numFmtId="0" fontId="20" fillId="0" borderId="0" xfId="0" applyFont="1"/>
    <xf numFmtId="0" fontId="21" fillId="0" borderId="0" xfId="0" applyFont="1"/>
    <xf numFmtId="0" fontId="23" fillId="0" borderId="0" xfId="0" applyFont="1"/>
    <xf numFmtId="0" fontId="20" fillId="0" borderId="0" xfId="0" quotePrefix="1" applyFont="1"/>
    <xf numFmtId="0" fontId="20" fillId="35" borderId="0" xfId="0" applyFont="1" applyFill="1"/>
    <xf numFmtId="0" fontId="21" fillId="36" borderId="0" xfId="0" applyFont="1" applyFill="1"/>
    <xf numFmtId="0" fontId="20" fillId="37" borderId="0" xfId="0" applyFont="1" applyFill="1"/>
    <xf numFmtId="0" fontId="21" fillId="38" borderId="0" xfId="0" applyFont="1" applyFill="1"/>
    <xf numFmtId="0" fontId="24" fillId="0" borderId="0" xfId="0" applyFont="1"/>
    <xf numFmtId="0" fontId="25" fillId="0" borderId="0" xfId="45" applyFont="1"/>
    <xf numFmtId="0" fontId="26" fillId="38" borderId="0" xfId="0" applyFont="1" applyFill="1"/>
    <xf numFmtId="0" fontId="0" fillId="0" borderId="0" xfId="0"/>
    <xf numFmtId="0" fontId="27" fillId="38" borderId="1" xfId="0" applyFont="1" applyFill="1" applyBorder="1" applyAlignment="1">
      <alignment horizontal="center" vertical="center"/>
    </xf>
    <xf numFmtId="0" fontId="21" fillId="3" borderId="1" xfId="0" applyFont="1" applyFill="1" applyBorder="1" applyAlignment="1">
      <alignment horizontal="center"/>
    </xf>
    <xf numFmtId="0" fontId="21" fillId="3" borderId="1" xfId="0" applyFont="1" applyFill="1" applyBorder="1" applyAlignment="1">
      <alignment horizontal="center" vertical="center"/>
    </xf>
    <xf numFmtId="9" fontId="21" fillId="0" borderId="1" xfId="1" applyFont="1" applyBorder="1"/>
    <xf numFmtId="166" fontId="0" fillId="0" borderId="0" xfId="2" applyNumberFormat="1" applyFont="1" applyAlignment="1">
      <alignment horizontal="center"/>
    </xf>
    <xf numFmtId="166" fontId="0" fillId="0" borderId="0" xfId="2" applyNumberFormat="1" applyFont="1" applyBorder="1" applyAlignment="1">
      <alignment horizontal="center"/>
    </xf>
    <xf numFmtId="166" fontId="21" fillId="0" borderId="0" xfId="2" applyNumberFormat="1" applyFont="1"/>
    <xf numFmtId="1" fontId="21" fillId="0" borderId="1" xfId="0" applyNumberFormat="1" applyFont="1" applyBorder="1"/>
    <xf numFmtId="0" fontId="21" fillId="0" borderId="1" xfId="0" applyFont="1" applyBorder="1"/>
    <xf numFmtId="166" fontId="21" fillId="0" borderId="0" xfId="0" applyNumberFormat="1" applyFont="1"/>
    <xf numFmtId="166" fontId="21" fillId="0" borderId="0" xfId="2" applyNumberFormat="1" applyFont="1" applyAlignment="1">
      <alignment horizontal="center"/>
    </xf>
    <xf numFmtId="166" fontId="21" fillId="0" borderId="25" xfId="2" applyNumberFormat="1" applyFont="1" applyBorder="1" applyAlignment="1">
      <alignment horizontal="center"/>
    </xf>
    <xf numFmtId="166" fontId="21" fillId="0" borderId="1" xfId="2" applyNumberFormat="1" applyFont="1" applyBorder="1" applyAlignment="1">
      <alignment horizontal="center"/>
    </xf>
    <xf numFmtId="0" fontId="16" fillId="0" borderId="0" xfId="0" applyFont="1"/>
    <xf numFmtId="0" fontId="26" fillId="38" borderId="1" xfId="0" applyFont="1" applyFill="1" applyBorder="1" applyAlignment="1">
      <alignment horizontal="center" vertical="center" wrapText="1" readingOrder="1"/>
    </xf>
    <xf numFmtId="0" fontId="26" fillId="38" borderId="1" xfId="0" applyFont="1" applyFill="1" applyBorder="1" applyAlignment="1">
      <alignment horizontal="center" vertical="center"/>
    </xf>
    <xf numFmtId="0" fontId="30" fillId="3" borderId="1" xfId="0" applyFont="1" applyFill="1" applyBorder="1" applyAlignment="1">
      <alignment horizontal="center" vertical="center" wrapText="1" readingOrder="1"/>
    </xf>
    <xf numFmtId="14" fontId="21" fillId="3" borderId="1" xfId="0" applyNumberFormat="1" applyFont="1" applyFill="1" applyBorder="1" applyAlignment="1">
      <alignment horizontal="center" vertical="center" wrapText="1"/>
    </xf>
    <xf numFmtId="0" fontId="0" fillId="0" borderId="1" xfId="0" applyFont="1" applyBorder="1" applyAlignment="1">
      <alignment horizontal="center" vertical="center"/>
    </xf>
    <xf numFmtId="0" fontId="0" fillId="0" borderId="0" xfId="0" applyFont="1"/>
    <xf numFmtId="14" fontId="21" fillId="3" borderId="4" xfId="0" applyNumberFormat="1" applyFont="1" applyFill="1" applyBorder="1" applyAlignment="1">
      <alignment horizontal="center" vertical="center" wrapText="1"/>
    </xf>
    <xf numFmtId="1" fontId="21" fillId="3" borderId="1" xfId="0" applyNumberFormat="1" applyFont="1" applyFill="1" applyBorder="1" applyAlignment="1">
      <alignment horizontal="center" vertical="center" wrapText="1"/>
    </xf>
    <xf numFmtId="9" fontId="21" fillId="0" borderId="5" xfId="1" applyFont="1" applyBorder="1"/>
    <xf numFmtId="0" fontId="20" fillId="3" borderId="1" xfId="0" applyFont="1" applyFill="1" applyBorder="1" applyAlignment="1">
      <alignment horizontal="center" vertical="center" wrapText="1"/>
    </xf>
    <xf numFmtId="0" fontId="21" fillId="3" borderId="1" xfId="0" applyFont="1" applyFill="1" applyBorder="1" applyAlignment="1">
      <alignment horizontal="center" vertical="center" wrapText="1"/>
    </xf>
    <xf numFmtId="0" fontId="31" fillId="3" borderId="1" xfId="0" applyFont="1" applyFill="1" applyBorder="1" applyAlignment="1">
      <alignment horizontal="center" vertical="center" wrapText="1" readingOrder="1"/>
    </xf>
    <xf numFmtId="14" fontId="21" fillId="3" borderId="6" xfId="0" applyNumberFormat="1" applyFont="1" applyFill="1" applyBorder="1" applyAlignment="1">
      <alignment horizontal="center" vertical="center" wrapText="1"/>
    </xf>
    <xf numFmtId="14" fontId="29" fillId="3" borderId="1" xfId="0" applyNumberFormat="1" applyFont="1" applyFill="1" applyBorder="1" applyAlignment="1">
      <alignment horizontal="right" vertical="center" wrapText="1"/>
    </xf>
    <xf numFmtId="0" fontId="21" fillId="0" borderId="1" xfId="0" applyFont="1" applyBorder="1" applyAlignment="1">
      <alignment horizontal="center" vertical="center"/>
    </xf>
    <xf numFmtId="14" fontId="21" fillId="3" borderId="1" xfId="0" applyNumberFormat="1" applyFont="1" applyFill="1" applyBorder="1" applyAlignment="1">
      <alignment horizontal="center" vertical="center"/>
    </xf>
    <xf numFmtId="0" fontId="26" fillId="38" borderId="0" xfId="0" applyFont="1" applyFill="1" applyAlignment="1">
      <alignment horizontal="center" vertical="center"/>
    </xf>
    <xf numFmtId="9" fontId="21" fillId="0" borderId="5" xfId="1" applyFont="1" applyBorder="1" applyAlignment="1">
      <alignment horizontal="center" vertical="center"/>
    </xf>
    <xf numFmtId="0" fontId="21" fillId="0" borderId="0" xfId="0" applyFont="1" applyBorder="1"/>
    <xf numFmtId="0" fontId="21" fillId="0" borderId="0" xfId="0" applyFont="1" applyBorder="1" applyAlignment="1">
      <alignment horizontal="center"/>
    </xf>
    <xf numFmtId="0" fontId="29" fillId="3" borderId="1" xfId="0" applyFont="1" applyFill="1" applyBorder="1" applyAlignment="1">
      <alignment horizontal="center" vertical="center" wrapText="1"/>
    </xf>
    <xf numFmtId="1" fontId="31" fillId="3" borderId="1" xfId="0" applyNumberFormat="1" applyFont="1" applyFill="1" applyBorder="1" applyAlignment="1">
      <alignment horizontal="center" vertical="center" wrapText="1" readingOrder="1"/>
    </xf>
    <xf numFmtId="165" fontId="21" fillId="3" borderId="1" xfId="0" applyNumberFormat="1" applyFont="1" applyFill="1" applyBorder="1" applyAlignment="1">
      <alignment horizontal="center" vertical="center" wrapText="1"/>
    </xf>
    <xf numFmtId="0" fontId="26" fillId="38" borderId="22" xfId="0" applyFont="1" applyFill="1" applyBorder="1" applyAlignment="1">
      <alignment horizontal="center" vertical="center" wrapText="1" readingOrder="1"/>
    </xf>
    <xf numFmtId="0" fontId="26" fillId="38" borderId="22" xfId="0" applyFont="1" applyFill="1" applyBorder="1" applyAlignment="1">
      <alignment horizontal="center" vertical="center"/>
    </xf>
    <xf numFmtId="0" fontId="0" fillId="0" borderId="0" xfId="0" applyFont="1" applyAlignment="1">
      <alignment horizontal="center"/>
    </xf>
    <xf numFmtId="0" fontId="20" fillId="3" borderId="1" xfId="0" applyFont="1" applyFill="1" applyBorder="1" applyAlignment="1">
      <alignment horizontal="center" vertical="center" wrapText="1" readingOrder="1"/>
    </xf>
    <xf numFmtId="0" fontId="23" fillId="0" borderId="2" xfId="0" applyFont="1" applyFill="1" applyBorder="1" applyAlignment="1">
      <alignment horizontal="center" vertical="center" wrapText="1" readingOrder="1"/>
    </xf>
    <xf numFmtId="0" fontId="23" fillId="0" borderId="8" xfId="0" applyFont="1" applyFill="1" applyBorder="1" applyAlignment="1">
      <alignment horizontal="center" vertical="center" wrapText="1" readingOrder="1"/>
    </xf>
    <xf numFmtId="0" fontId="23" fillId="0" borderId="3" xfId="0" applyFont="1" applyFill="1" applyBorder="1" applyAlignment="1">
      <alignment horizontal="center" vertical="center" wrapText="1" readingOrder="1"/>
    </xf>
    <xf numFmtId="0" fontId="21" fillId="0" borderId="0" xfId="0" applyFont="1" applyFill="1" applyBorder="1" applyAlignment="1">
      <alignment horizontal="center" vertical="center"/>
    </xf>
    <xf numFmtId="14" fontId="21" fillId="0" borderId="0" xfId="0" applyNumberFormat="1" applyFont="1" applyFill="1" applyBorder="1" applyAlignment="1">
      <alignment horizontal="center" vertical="center" wrapText="1"/>
    </xf>
    <xf numFmtId="0" fontId="31" fillId="0" borderId="0" xfId="0" applyFont="1" applyFill="1" applyBorder="1" applyAlignment="1">
      <alignment horizontal="center" vertical="center" wrapText="1" readingOrder="1"/>
    </xf>
    <xf numFmtId="0" fontId="21" fillId="0" borderId="0" xfId="0" applyFont="1" applyFill="1"/>
    <xf numFmtId="0" fontId="30" fillId="0" borderId="0" xfId="0" applyFont="1" applyFill="1" applyBorder="1" applyAlignment="1">
      <alignment horizontal="center" vertical="center" wrapText="1" readingOrder="1"/>
    </xf>
    <xf numFmtId="0" fontId="21" fillId="0" borderId="0" xfId="0" applyFont="1" applyFill="1" applyBorder="1" applyAlignment="1">
      <alignment horizontal="center" vertical="center" wrapText="1"/>
    </xf>
    <xf numFmtId="0" fontId="21" fillId="0" borderId="0" xfId="0" applyFont="1" applyFill="1" applyBorder="1"/>
    <xf numFmtId="0" fontId="26" fillId="38" borderId="24" xfId="0" applyFont="1" applyFill="1" applyBorder="1" applyAlignment="1">
      <alignment horizontal="center" vertical="center"/>
    </xf>
    <xf numFmtId="0" fontId="26" fillId="38" borderId="20" xfId="0" applyFont="1" applyFill="1" applyBorder="1" applyAlignment="1">
      <alignment horizontal="center" vertical="center" wrapText="1" readingOrder="1"/>
    </xf>
    <xf numFmtId="0" fontId="31" fillId="3" borderId="24" xfId="0" applyFont="1" applyFill="1" applyBorder="1" applyAlignment="1">
      <alignment horizontal="center" vertical="center" wrapText="1" readingOrder="1"/>
    </xf>
    <xf numFmtId="0" fontId="31" fillId="3" borderId="20" xfId="0" applyFont="1" applyFill="1" applyBorder="1" applyAlignment="1">
      <alignment horizontal="center" vertical="center" wrapText="1" readingOrder="1"/>
    </xf>
    <xf numFmtId="0" fontId="20" fillId="3" borderId="24" xfId="0" applyFont="1" applyFill="1" applyBorder="1" applyAlignment="1">
      <alignment horizontal="center" vertical="center" wrapText="1" readingOrder="1"/>
    </xf>
    <xf numFmtId="0" fontId="20" fillId="3" borderId="20" xfId="0" applyFont="1" applyFill="1" applyBorder="1" applyAlignment="1">
      <alignment horizontal="center" vertical="center" wrapText="1" readingOrder="1"/>
    </xf>
    <xf numFmtId="0" fontId="30" fillId="3" borderId="24" xfId="0" applyFont="1" applyFill="1" applyBorder="1" applyAlignment="1">
      <alignment horizontal="center" vertical="center" wrapText="1" readingOrder="1"/>
    </xf>
    <xf numFmtId="0" fontId="30" fillId="3" borderId="20" xfId="0" applyFont="1" applyFill="1" applyBorder="1" applyAlignment="1">
      <alignment horizontal="center" vertical="center" wrapText="1" readingOrder="1"/>
    </xf>
    <xf numFmtId="0" fontId="23" fillId="0" borderId="26" xfId="0" applyFont="1" applyFill="1" applyBorder="1" applyAlignment="1">
      <alignment horizontal="center" vertical="center" wrapText="1" readingOrder="1"/>
    </xf>
    <xf numFmtId="0" fontId="23" fillId="0" borderId="23" xfId="0" applyFont="1" applyFill="1" applyBorder="1" applyAlignment="1">
      <alignment horizontal="center" vertical="center" wrapText="1" readingOrder="1"/>
    </xf>
    <xf numFmtId="0" fontId="23" fillId="0" borderId="1" xfId="0" applyFont="1" applyFill="1" applyBorder="1" applyAlignment="1">
      <alignment horizontal="center" vertical="center" wrapText="1" readingOrder="1"/>
    </xf>
    <xf numFmtId="0" fontId="26" fillId="38" borderId="1" xfId="2" applyNumberFormat="1" applyFont="1" applyFill="1" applyBorder="1" applyAlignment="1">
      <alignment horizontal="center" vertical="center" wrapText="1" readingOrder="1"/>
    </xf>
    <xf numFmtId="0" fontId="26" fillId="38" borderId="1" xfId="2" applyNumberFormat="1" applyFont="1" applyFill="1" applyBorder="1" applyAlignment="1">
      <alignment horizontal="center" vertical="center"/>
    </xf>
    <xf numFmtId="0" fontId="26" fillId="38" borderId="0" xfId="0" applyFont="1" applyFill="1" applyBorder="1" applyAlignment="1">
      <alignment horizontal="center" vertical="center"/>
    </xf>
    <xf numFmtId="166" fontId="21" fillId="3" borderId="1" xfId="2" applyNumberFormat="1" applyFont="1" applyFill="1" applyBorder="1" applyAlignment="1">
      <alignment horizontal="center" vertical="center" wrapText="1"/>
    </xf>
    <xf numFmtId="14" fontId="29" fillId="3" borderId="1" xfId="0" applyNumberFormat="1" applyFont="1" applyFill="1" applyBorder="1" applyAlignment="1">
      <alignment horizontal="center" vertical="center" wrapText="1"/>
    </xf>
    <xf numFmtId="166" fontId="26" fillId="38" borderId="1" xfId="2" applyNumberFormat="1" applyFont="1" applyFill="1" applyBorder="1" applyAlignment="1">
      <alignment horizontal="center" vertical="center" wrapText="1"/>
    </xf>
    <xf numFmtId="43" fontId="21" fillId="0" borderId="0" xfId="0" applyNumberFormat="1" applyFont="1"/>
    <xf numFmtId="0" fontId="21" fillId="0" borderId="0" xfId="0" applyFont="1" applyAlignment="1">
      <alignment horizontal="center"/>
    </xf>
    <xf numFmtId="0" fontId="34" fillId="3" borderId="0" xfId="0" applyFont="1" applyFill="1" applyBorder="1" applyAlignment="1">
      <alignment horizontal="left" vertical="center" readingOrder="1"/>
    </xf>
    <xf numFmtId="0" fontId="26" fillId="38" borderId="1" xfId="0" applyFont="1" applyFill="1" applyBorder="1" applyAlignment="1">
      <alignment horizontal="center" vertical="center" readingOrder="1"/>
    </xf>
    <xf numFmtId="0" fontId="31" fillId="3" borderId="1" xfId="0" applyFont="1" applyFill="1" applyBorder="1" applyAlignment="1">
      <alignment horizontal="center" vertical="center" readingOrder="1"/>
    </xf>
    <xf numFmtId="0" fontId="0" fillId="0" borderId="0" xfId="0" applyFont="1" applyFill="1"/>
    <xf numFmtId="0" fontId="34" fillId="0" borderId="0" xfId="0" applyFont="1" applyFill="1" applyBorder="1" applyAlignment="1">
      <alignment horizontal="left" vertical="center" readingOrder="1"/>
    </xf>
    <xf numFmtId="0" fontId="21" fillId="0" borderId="1" xfId="0" applyFont="1" applyBorder="1" applyAlignment="1">
      <alignment horizontal="center"/>
    </xf>
    <xf numFmtId="14" fontId="21" fillId="0" borderId="0" xfId="0" applyNumberFormat="1" applyFont="1"/>
    <xf numFmtId="0" fontId="21" fillId="0" borderId="25" xfId="0" applyFont="1" applyBorder="1" applyAlignment="1">
      <alignment horizontal="center"/>
    </xf>
    <xf numFmtId="0" fontId="31" fillId="0" borderId="0" xfId="0" applyFont="1" applyAlignment="1">
      <alignment horizontal="center"/>
    </xf>
    <xf numFmtId="0" fontId="31" fillId="0" borderId="25" xfId="0" applyFont="1" applyBorder="1" applyAlignment="1">
      <alignment horizontal="center"/>
    </xf>
    <xf numFmtId="1" fontId="21" fillId="0" borderId="0" xfId="0" applyNumberFormat="1" applyFont="1" applyAlignment="1">
      <alignment horizontal="center"/>
    </xf>
    <xf numFmtId="1" fontId="21" fillId="0" borderId="25" xfId="0" applyNumberFormat="1" applyFont="1" applyBorder="1" applyAlignment="1">
      <alignment horizontal="center"/>
    </xf>
    <xf numFmtId="1" fontId="21" fillId="0" borderId="1" xfId="0" applyNumberFormat="1" applyFont="1" applyBorder="1" applyAlignment="1">
      <alignment horizontal="center"/>
    </xf>
    <xf numFmtId="0" fontId="32" fillId="0" borderId="0" xfId="0" applyFont="1"/>
    <xf numFmtId="0" fontId="32" fillId="0" borderId="0" xfId="0" applyFont="1" applyBorder="1"/>
    <xf numFmtId="166" fontId="31" fillId="3" borderId="1" xfId="2" applyNumberFormat="1" applyFont="1" applyFill="1" applyBorder="1" applyAlignment="1">
      <alignment horizontal="center" vertical="center" wrapText="1" readingOrder="1"/>
    </xf>
    <xf numFmtId="166" fontId="31" fillId="0" borderId="1" xfId="2" applyNumberFormat="1" applyFont="1" applyBorder="1" applyAlignment="1">
      <alignment horizontal="center" vertical="center"/>
    </xf>
    <xf numFmtId="0" fontId="30" fillId="0" borderId="1" xfId="0" applyFont="1" applyFill="1" applyBorder="1" applyAlignment="1">
      <alignment horizontal="center" vertical="center" wrapText="1" readingOrder="1"/>
    </xf>
    <xf numFmtId="0" fontId="21" fillId="0" borderId="1" xfId="0" applyFont="1" applyFill="1" applyBorder="1" applyAlignment="1">
      <alignment horizontal="center" vertical="center" wrapText="1"/>
    </xf>
    <xf numFmtId="166" fontId="31" fillId="0" borderId="1" xfId="2" applyNumberFormat="1" applyFont="1" applyFill="1" applyBorder="1" applyAlignment="1">
      <alignment horizontal="center" vertical="center"/>
    </xf>
    <xf numFmtId="0" fontId="21" fillId="0" borderId="0" xfId="0" applyFont="1" applyAlignment="1">
      <alignment horizontal="center" vertical="center"/>
    </xf>
    <xf numFmtId="0" fontId="29" fillId="0" borderId="0" xfId="0" applyFont="1"/>
    <xf numFmtId="166" fontId="20" fillId="3" borderId="1" xfId="2" applyNumberFormat="1" applyFont="1" applyFill="1" applyBorder="1" applyAlignment="1">
      <alignment horizontal="center" vertical="center" wrapText="1" readingOrder="1"/>
    </xf>
    <xf numFmtId="2" fontId="21" fillId="0" borderId="1" xfId="0" applyNumberFormat="1" applyFont="1" applyBorder="1" applyAlignment="1">
      <alignment horizontal="center"/>
    </xf>
    <xf numFmtId="1" fontId="21" fillId="0" borderId="0" xfId="0" applyNumberFormat="1" applyFont="1" applyBorder="1" applyAlignment="1">
      <alignment horizontal="center"/>
    </xf>
    <xf numFmtId="166" fontId="21" fillId="0" borderId="0" xfId="2" applyNumberFormat="1" applyFont="1" applyBorder="1" applyAlignment="1">
      <alignment horizontal="center"/>
    </xf>
    <xf numFmtId="0" fontId="32" fillId="0" borderId="0" xfId="0" applyFont="1" applyFill="1" applyBorder="1" applyAlignment="1">
      <alignment horizontal="left"/>
    </xf>
    <xf numFmtId="0" fontId="35" fillId="41" borderId="1" xfId="0" applyFont="1" applyFill="1" applyBorder="1" applyAlignment="1">
      <alignment horizontal="center" vertical="center" wrapText="1" readingOrder="1"/>
    </xf>
    <xf numFmtId="16" fontId="35" fillId="41" borderId="1" xfId="0" applyNumberFormat="1" applyFont="1" applyFill="1" applyBorder="1" applyAlignment="1">
      <alignment horizontal="center" vertical="center" wrapText="1" readingOrder="1"/>
    </xf>
    <xf numFmtId="166" fontId="30" fillId="3" borderId="1" xfId="2" applyNumberFormat="1" applyFont="1" applyFill="1" applyBorder="1" applyAlignment="1">
      <alignment horizontal="center" wrapText="1" readingOrder="1"/>
    </xf>
    <xf numFmtId="166" fontId="30" fillId="3" borderId="1" xfId="2" applyNumberFormat="1" applyFont="1" applyFill="1" applyBorder="1" applyAlignment="1">
      <alignment horizontal="center" vertical="center" wrapText="1" readingOrder="1"/>
    </xf>
    <xf numFmtId="166" fontId="30" fillId="0" borderId="1" xfId="2" applyNumberFormat="1" applyFont="1" applyFill="1" applyBorder="1" applyAlignment="1">
      <alignment horizontal="center" wrapText="1" readingOrder="1"/>
    </xf>
    <xf numFmtId="166" fontId="30" fillId="0" borderId="1" xfId="2" applyNumberFormat="1" applyFont="1" applyFill="1" applyBorder="1" applyAlignment="1">
      <alignment horizontal="center" vertical="center" wrapText="1" readingOrder="1"/>
    </xf>
    <xf numFmtId="43" fontId="21" fillId="0" borderId="0" xfId="0" applyNumberFormat="1" applyFont="1" applyFill="1"/>
    <xf numFmtId="166" fontId="33" fillId="3" borderId="1" xfId="2" applyNumberFormat="1" applyFont="1" applyFill="1" applyBorder="1" applyAlignment="1">
      <alignment horizontal="center" wrapText="1" readingOrder="1"/>
    </xf>
    <xf numFmtId="166" fontId="20" fillId="3" borderId="0" xfId="2" applyNumberFormat="1" applyFont="1" applyFill="1" applyBorder="1" applyAlignment="1">
      <alignment horizontal="center" vertical="center" wrapText="1" readingOrder="1"/>
    </xf>
    <xf numFmtId="0" fontId="0" fillId="0" borderId="1" xfId="0" applyBorder="1"/>
    <xf numFmtId="0" fontId="36" fillId="0" borderId="0" xfId="0" applyFont="1"/>
    <xf numFmtId="166" fontId="31" fillId="0" borderId="0" xfId="2" applyNumberFormat="1" applyFont="1" applyAlignment="1">
      <alignment horizontal="center" vertical="center"/>
    </xf>
    <xf numFmtId="166" fontId="21" fillId="0" borderId="0" xfId="2" applyNumberFormat="1" applyFont="1" applyAlignment="1">
      <alignment horizontal="center" vertical="center"/>
    </xf>
    <xf numFmtId="166" fontId="21" fillId="3" borderId="1" xfId="2" applyNumberFormat="1" applyFont="1" applyFill="1" applyBorder="1" applyAlignment="1">
      <alignment horizontal="center" wrapText="1"/>
    </xf>
    <xf numFmtId="166" fontId="0" fillId="0" borderId="1" xfId="2" applyNumberFormat="1" applyFont="1" applyBorder="1" applyAlignment="1">
      <alignment horizontal="center" vertical="center"/>
    </xf>
    <xf numFmtId="0" fontId="0" fillId="0" borderId="0" xfId="0" applyFont="1" applyBorder="1" applyAlignment="1">
      <alignment horizontal="center" vertical="center"/>
    </xf>
    <xf numFmtId="166" fontId="0" fillId="0" borderId="0" xfId="2" applyNumberFormat="1" applyFont="1" applyBorder="1" applyAlignment="1">
      <alignment horizontal="center" vertical="center"/>
    </xf>
    <xf numFmtId="0" fontId="26" fillId="38" borderId="0" xfId="0" applyFont="1" applyFill="1" applyBorder="1"/>
    <xf numFmtId="0" fontId="26" fillId="0" borderId="0" xfId="0" applyFont="1" applyFill="1" applyBorder="1"/>
    <xf numFmtId="0" fontId="20" fillId="0" borderId="0" xfId="0" applyFont="1" applyFill="1" applyBorder="1"/>
    <xf numFmtId="0" fontId="21" fillId="3" borderId="0" xfId="0" applyFont="1" applyFill="1" applyBorder="1"/>
    <xf numFmtId="9" fontId="21" fillId="0" borderId="0" xfId="1" applyFont="1" applyBorder="1"/>
    <xf numFmtId="0" fontId="29" fillId="3" borderId="0" xfId="0" applyFont="1" applyFill="1" applyBorder="1"/>
    <xf numFmtId="0" fontId="26" fillId="38" borderId="1" xfId="0" applyFont="1" applyFill="1" applyBorder="1"/>
    <xf numFmtId="0" fontId="28" fillId="38" borderId="1" xfId="0" applyFont="1" applyFill="1" applyBorder="1"/>
    <xf numFmtId="9" fontId="21" fillId="0" borderId="1" xfId="1" applyFont="1" applyBorder="1" applyAlignment="1">
      <alignment horizontal="center" vertical="center"/>
    </xf>
    <xf numFmtId="166" fontId="21" fillId="3" borderId="9" xfId="2" applyNumberFormat="1" applyFont="1" applyFill="1" applyBorder="1" applyAlignment="1">
      <alignment horizontal="center" vertical="center"/>
    </xf>
    <xf numFmtId="0" fontId="29" fillId="42" borderId="5" xfId="0" applyFont="1" applyFill="1" applyBorder="1" applyAlignment="1">
      <alignment horizontal="center" vertical="center"/>
    </xf>
    <xf numFmtId="0" fontId="0" fillId="0" borderId="1" xfId="0" applyBorder="1" applyAlignment="1">
      <alignment horizontal="left"/>
    </xf>
    <xf numFmtId="0" fontId="0" fillId="0" borderId="4" xfId="0" applyBorder="1" applyAlignment="1">
      <alignment horizontal="left"/>
    </xf>
    <xf numFmtId="0" fontId="0" fillId="0" borderId="9" xfId="0" applyBorder="1" applyAlignment="1">
      <alignment horizontal="left"/>
    </xf>
    <xf numFmtId="0" fontId="0" fillId="0" borderId="29" xfId="0" applyBorder="1" applyAlignment="1">
      <alignment horizontal="left"/>
    </xf>
    <xf numFmtId="0" fontId="0" fillId="0" borderId="6" xfId="0" applyBorder="1" applyAlignment="1">
      <alignment horizontal="left"/>
    </xf>
    <xf numFmtId="0" fontId="3" fillId="0" borderId="30" xfId="0" applyFont="1" applyBorder="1" applyAlignment="1">
      <alignment horizontal="center"/>
    </xf>
    <xf numFmtId="166" fontId="0" fillId="0" borderId="31" xfId="2" applyNumberFormat="1" applyFont="1" applyBorder="1" applyAlignment="1">
      <alignment horizontal="center"/>
    </xf>
    <xf numFmtId="0" fontId="0" fillId="0" borderId="0" xfId="0"/>
    <xf numFmtId="0" fontId="3" fillId="0" borderId="32" xfId="0" applyFont="1" applyBorder="1" applyAlignment="1">
      <alignment horizontal="center"/>
    </xf>
    <xf numFmtId="1" fontId="21" fillId="3" borderId="9" xfId="0" applyNumberFormat="1" applyFont="1" applyFill="1" applyBorder="1" applyAlignment="1">
      <alignment horizontal="center" vertical="center"/>
    </xf>
    <xf numFmtId="0" fontId="0" fillId="0" borderId="9" xfId="0" applyBorder="1"/>
    <xf numFmtId="1" fontId="21" fillId="3" borderId="1" xfId="0" applyNumberFormat="1" applyFont="1" applyFill="1" applyBorder="1" applyAlignment="1">
      <alignment horizontal="center" vertical="center"/>
    </xf>
    <xf numFmtId="0" fontId="39" fillId="0" borderId="1" xfId="0" applyFont="1" applyBorder="1" applyAlignment="1">
      <alignment horizontal="left"/>
    </xf>
    <xf numFmtId="14" fontId="23" fillId="42" borderId="6" xfId="0" applyNumberFormat="1" applyFont="1" applyFill="1" applyBorder="1" applyAlignment="1">
      <alignment horizontal="center" vertical="center"/>
    </xf>
    <xf numFmtId="14" fontId="23" fillId="42" borderId="4" xfId="0" applyNumberFormat="1" applyFont="1" applyFill="1" applyBorder="1" applyAlignment="1">
      <alignment horizontal="center" vertical="center"/>
    </xf>
    <xf numFmtId="14" fontId="23" fillId="42" borderId="1" xfId="0" applyNumberFormat="1" applyFont="1" applyFill="1" applyBorder="1" applyAlignment="1">
      <alignment horizontal="center" vertical="center"/>
    </xf>
    <xf numFmtId="0" fontId="20" fillId="0" borderId="1" xfId="0" applyFont="1" applyFill="1" applyBorder="1" applyAlignment="1">
      <alignment horizontal="center" vertical="center"/>
    </xf>
    <xf numFmtId="1" fontId="20" fillId="0" borderId="1" xfId="0" applyNumberFormat="1" applyFont="1" applyFill="1" applyBorder="1" applyAlignment="1">
      <alignment horizontal="center" vertical="center"/>
    </xf>
    <xf numFmtId="9" fontId="21" fillId="0" borderId="9" xfId="1" applyFont="1" applyBorder="1" applyAlignment="1">
      <alignment horizontal="center" vertical="center"/>
    </xf>
    <xf numFmtId="166" fontId="21" fillId="0" borderId="9" xfId="2" applyNumberFormat="1" applyFont="1" applyBorder="1" applyAlignment="1">
      <alignment horizontal="center" vertical="center"/>
    </xf>
    <xf numFmtId="166" fontId="21" fillId="0" borderId="1" xfId="2" applyNumberFormat="1" applyFont="1" applyBorder="1" applyAlignment="1">
      <alignment horizontal="center" vertical="center"/>
    </xf>
    <xf numFmtId="166" fontId="21" fillId="0" borderId="9" xfId="1" applyNumberFormat="1" applyFont="1" applyBorder="1" applyAlignment="1">
      <alignment horizontal="center" vertical="center"/>
    </xf>
    <xf numFmtId="166" fontId="21" fillId="0" borderId="7" xfId="1" applyNumberFormat="1" applyFont="1" applyBorder="1" applyAlignment="1">
      <alignment horizontal="center" vertical="center"/>
    </xf>
    <xf numFmtId="9" fontId="21" fillId="0" borderId="1" xfId="1" quotePrefix="1" applyFont="1" applyBorder="1" applyAlignment="1">
      <alignment horizontal="center" vertical="center"/>
    </xf>
    <xf numFmtId="1" fontId="21" fillId="3" borderId="0" xfId="0" applyNumberFormat="1" applyFont="1" applyFill="1" applyBorder="1" applyAlignment="1">
      <alignment horizontal="center" vertical="center"/>
    </xf>
    <xf numFmtId="9" fontId="21" fillId="0" borderId="0" xfId="1" applyFont="1" applyBorder="1" applyAlignment="1">
      <alignment horizontal="center" vertical="center"/>
    </xf>
    <xf numFmtId="166" fontId="21" fillId="0" borderId="0" xfId="2" applyNumberFormat="1" applyFont="1" applyBorder="1" applyAlignment="1">
      <alignment horizontal="center" vertical="center"/>
    </xf>
    <xf numFmtId="14" fontId="23" fillId="0" borderId="0" xfId="0" applyNumberFormat="1" applyFont="1" applyFill="1" applyBorder="1" applyAlignment="1">
      <alignment horizontal="center" vertical="center"/>
    </xf>
    <xf numFmtId="166" fontId="21" fillId="3" borderId="0" xfId="0" applyNumberFormat="1" applyFont="1" applyFill="1" applyBorder="1"/>
    <xf numFmtId="166" fontId="21" fillId="3" borderId="1" xfId="2" applyNumberFormat="1" applyFont="1" applyFill="1" applyBorder="1" applyAlignment="1">
      <alignment horizontal="center" vertical="center"/>
    </xf>
    <xf numFmtId="166" fontId="21" fillId="3" borderId="1" xfId="2" applyNumberFormat="1" applyFont="1" applyFill="1" applyBorder="1"/>
    <xf numFmtId="166" fontId="21" fillId="3" borderId="5" xfId="2" applyNumberFormat="1" applyFont="1" applyFill="1" applyBorder="1"/>
    <xf numFmtId="166" fontId="21" fillId="3" borderId="1" xfId="2" applyNumberFormat="1" applyFont="1" applyFill="1" applyBorder="1" applyAlignment="1">
      <alignment horizontal="center"/>
    </xf>
    <xf numFmtId="0" fontId="23" fillId="42" borderId="5" xfId="0" applyFont="1" applyFill="1" applyBorder="1" applyAlignment="1">
      <alignment horizontal="center" vertical="center"/>
    </xf>
    <xf numFmtId="9" fontId="21" fillId="0" borderId="5" xfId="1" quotePrefix="1" applyFont="1" applyBorder="1" applyAlignment="1">
      <alignment horizontal="center" vertical="center"/>
    </xf>
    <xf numFmtId="9" fontId="21" fillId="0" borderId="9" xfId="1" quotePrefix="1" applyFont="1" applyBorder="1" applyAlignment="1">
      <alignment horizontal="center" vertical="center"/>
    </xf>
    <xf numFmtId="9" fontId="21" fillId="0" borderId="7" xfId="1" quotePrefix="1" applyFont="1" applyBorder="1" applyAlignment="1">
      <alignment horizontal="center" vertical="center"/>
    </xf>
    <xf numFmtId="0" fontId="31" fillId="3" borderId="0" xfId="0" applyFont="1" applyFill="1"/>
    <xf numFmtId="0" fontId="21" fillId="3" borderId="34" xfId="0" applyFont="1" applyFill="1" applyBorder="1"/>
    <xf numFmtId="0" fontId="41" fillId="3" borderId="0" xfId="0" applyFont="1" applyFill="1" applyBorder="1"/>
    <xf numFmtId="0" fontId="31" fillId="0" borderId="0" xfId="0" applyFont="1"/>
    <xf numFmtId="0" fontId="16" fillId="0" borderId="4" xfId="0" applyFont="1" applyBorder="1" applyAlignment="1">
      <alignment horizontal="left"/>
    </xf>
    <xf numFmtId="166" fontId="21" fillId="3" borderId="1" xfId="0" applyNumberFormat="1" applyFont="1" applyFill="1" applyBorder="1" applyAlignment="1">
      <alignment horizontal="center" vertical="center"/>
    </xf>
    <xf numFmtId="166" fontId="21" fillId="3" borderId="5" xfId="0" applyNumberFormat="1" applyFont="1" applyFill="1" applyBorder="1" applyAlignment="1">
      <alignment horizontal="center" vertical="center"/>
    </xf>
    <xf numFmtId="0" fontId="29" fillId="42" borderId="9" xfId="0" applyFont="1" applyFill="1" applyBorder="1" applyAlignment="1">
      <alignment horizontal="center" vertical="center" wrapText="1"/>
    </xf>
    <xf numFmtId="166" fontId="21" fillId="3" borderId="9" xfId="0" applyNumberFormat="1" applyFont="1" applyFill="1" applyBorder="1" applyAlignment="1">
      <alignment horizontal="center" vertical="center"/>
    </xf>
    <xf numFmtId="166" fontId="29" fillId="3" borderId="36" xfId="0" applyNumberFormat="1" applyFont="1" applyFill="1" applyBorder="1"/>
    <xf numFmtId="166" fontId="29" fillId="3" borderId="37" xfId="0" applyNumberFormat="1" applyFont="1" applyFill="1" applyBorder="1"/>
    <xf numFmtId="0" fontId="31" fillId="3" borderId="0" xfId="0" applyFont="1" applyFill="1" applyBorder="1"/>
    <xf numFmtId="0" fontId="21" fillId="0" borderId="5" xfId="0" applyFont="1" applyBorder="1" applyAlignment="1">
      <alignment horizontal="center"/>
    </xf>
    <xf numFmtId="0" fontId="16" fillId="0" borderId="1" xfId="0" applyFont="1" applyBorder="1" applyAlignment="1">
      <alignment horizontal="left"/>
    </xf>
    <xf numFmtId="0" fontId="16" fillId="0" borderId="29" xfId="0" applyFont="1" applyBorder="1" applyAlignment="1">
      <alignment horizontal="left"/>
    </xf>
    <xf numFmtId="0" fontId="0" fillId="0" borderId="39" xfId="0" applyBorder="1" applyAlignment="1">
      <alignment horizontal="left"/>
    </xf>
    <xf numFmtId="0" fontId="16" fillId="0" borderId="1" xfId="0" applyFont="1" applyBorder="1"/>
    <xf numFmtId="166" fontId="16" fillId="0" borderId="5" xfId="2" applyNumberFormat="1" applyFont="1" applyBorder="1" applyAlignment="1">
      <alignment horizontal="center"/>
    </xf>
    <xf numFmtId="166" fontId="0" fillId="0" borderId="0" xfId="2" applyNumberFormat="1" applyFont="1"/>
    <xf numFmtId="166" fontId="21" fillId="0" borderId="1" xfId="1" applyNumberFormat="1" applyFont="1" applyBorder="1"/>
    <xf numFmtId="0" fontId="3" fillId="0" borderId="0" xfId="0" applyFont="1" applyBorder="1" applyAlignment="1">
      <alignment horizontal="center"/>
    </xf>
    <xf numFmtId="0" fontId="0" fillId="0" borderId="30" xfId="0" applyBorder="1"/>
    <xf numFmtId="166" fontId="0" fillId="0" borderId="31" xfId="2" applyNumberFormat="1" applyFont="1" applyBorder="1"/>
    <xf numFmtId="0" fontId="0" fillId="0" borderId="32" xfId="0" applyBorder="1"/>
    <xf numFmtId="166" fontId="0" fillId="0" borderId="5" xfId="2" applyNumberFormat="1" applyFont="1" applyBorder="1"/>
    <xf numFmtId="166" fontId="16" fillId="0" borderId="5" xfId="2" applyNumberFormat="1" applyFont="1" applyBorder="1"/>
    <xf numFmtId="0" fontId="20" fillId="3" borderId="0" xfId="0" applyFont="1" applyFill="1" applyBorder="1"/>
    <xf numFmtId="9" fontId="20" fillId="0" borderId="1" xfId="1" applyFont="1" applyBorder="1" applyAlignment="1">
      <alignment horizontal="center" vertical="center"/>
    </xf>
    <xf numFmtId="166" fontId="20" fillId="3" borderId="1" xfId="2" applyNumberFormat="1" applyFont="1" applyFill="1" applyBorder="1" applyAlignment="1">
      <alignment horizontal="center" vertical="center"/>
    </xf>
    <xf numFmtId="0" fontId="23" fillId="3" borderId="0" xfId="0" applyFont="1" applyFill="1" applyBorder="1"/>
    <xf numFmtId="166" fontId="20" fillId="0" borderId="1" xfId="2" quotePrefix="1" applyNumberFormat="1" applyFont="1" applyBorder="1" applyAlignment="1">
      <alignment horizontal="center" vertical="center"/>
    </xf>
    <xf numFmtId="1" fontId="20" fillId="3" borderId="9" xfId="0" applyNumberFormat="1" applyFont="1" applyFill="1" applyBorder="1" applyAlignment="1">
      <alignment horizontal="center" vertical="center"/>
    </xf>
    <xf numFmtId="166" fontId="20" fillId="0" borderId="9" xfId="1" applyNumberFormat="1" applyFont="1" applyBorder="1" applyAlignment="1">
      <alignment horizontal="center" vertical="center"/>
    </xf>
    <xf numFmtId="1" fontId="20" fillId="3" borderId="1" xfId="0" applyNumberFormat="1" applyFont="1" applyFill="1" applyBorder="1" applyAlignment="1">
      <alignment horizontal="center" vertical="center"/>
    </xf>
    <xf numFmtId="0" fontId="20" fillId="3" borderId="34" xfId="0" applyFont="1" applyFill="1" applyBorder="1"/>
    <xf numFmtId="0" fontId="21" fillId="0" borderId="1" xfId="0" applyFont="1" applyBorder="1" applyAlignment="1">
      <alignment horizontal="center" vertical="center" wrapText="1"/>
    </xf>
    <xf numFmtId="0" fontId="29" fillId="42" borderId="8" xfId="0" applyFont="1" applyFill="1" applyBorder="1" applyAlignment="1">
      <alignment horizontal="center"/>
    </xf>
    <xf numFmtId="0" fontId="29" fillId="42" borderId="3" xfId="0" applyFont="1" applyFill="1" applyBorder="1" applyAlignment="1">
      <alignment horizontal="center"/>
    </xf>
    <xf numFmtId="0" fontId="29" fillId="42" borderId="4" xfId="0" applyFont="1" applyFill="1" applyBorder="1" applyAlignment="1">
      <alignment horizontal="center"/>
    </xf>
    <xf numFmtId="0" fontId="29" fillId="42" borderId="2" xfId="0" applyFont="1" applyFill="1" applyBorder="1" applyAlignment="1">
      <alignment horizontal="center"/>
    </xf>
    <xf numFmtId="166" fontId="21" fillId="0" borderId="1" xfId="2" applyNumberFormat="1" applyFont="1" applyBorder="1"/>
    <xf numFmtId="166" fontId="21" fillId="0" borderId="1" xfId="0" applyNumberFormat="1" applyFont="1" applyBorder="1"/>
    <xf numFmtId="165" fontId="21" fillId="0" borderId="1" xfId="0" applyNumberFormat="1" applyFont="1" applyBorder="1"/>
    <xf numFmtId="0" fontId="29" fillId="42" borderId="6" xfId="0" applyFont="1" applyFill="1" applyBorder="1" applyAlignment="1">
      <alignment horizontal="center"/>
    </xf>
    <xf numFmtId="1" fontId="21" fillId="0" borderId="9" xfId="1" applyNumberFormat="1" applyFont="1" applyBorder="1" applyAlignment="1">
      <alignment horizontal="center"/>
    </xf>
    <xf numFmtId="0" fontId="21" fillId="0" borderId="9" xfId="0" applyFont="1" applyBorder="1" applyAlignment="1">
      <alignment horizontal="center"/>
    </xf>
    <xf numFmtId="0" fontId="21" fillId="0" borderId="7" xfId="0" quotePrefix="1" applyFont="1" applyBorder="1" applyAlignment="1">
      <alignment horizontal="center"/>
    </xf>
    <xf numFmtId="1" fontId="21" fillId="0" borderId="0" xfId="0" applyNumberFormat="1" applyFont="1"/>
    <xf numFmtId="0" fontId="21" fillId="0" borderId="4" xfId="0" applyFont="1" applyBorder="1" applyAlignment="1">
      <alignment horizontal="center" vertical="center"/>
    </xf>
    <xf numFmtId="169" fontId="21" fillId="0" borderId="1" xfId="0" applyNumberFormat="1" applyFont="1" applyBorder="1" applyAlignment="1">
      <alignment horizontal="center" vertical="center"/>
    </xf>
    <xf numFmtId="0" fontId="29" fillId="0" borderId="1" xfId="0" applyFont="1" applyBorder="1"/>
    <xf numFmtId="169" fontId="21" fillId="0" borderId="1" xfId="0" applyNumberFormat="1" applyFont="1" applyBorder="1"/>
    <xf numFmtId="43" fontId="21" fillId="0" borderId="1" xfId="0" applyNumberFormat="1" applyFont="1" applyBorder="1"/>
    <xf numFmtId="0" fontId="21" fillId="0" borderId="6" xfId="0" applyFont="1" applyBorder="1" applyAlignment="1">
      <alignment horizontal="center" vertical="center"/>
    </xf>
    <xf numFmtId="0" fontId="21" fillId="0" borderId="9" xfId="0" applyFont="1" applyBorder="1" applyAlignment="1">
      <alignment horizontal="center" vertical="center"/>
    </xf>
    <xf numFmtId="169" fontId="21" fillId="0" borderId="9" xfId="0" applyNumberFormat="1" applyFont="1" applyBorder="1" applyAlignment="1">
      <alignment horizontal="center" vertical="center"/>
    </xf>
    <xf numFmtId="2" fontId="21" fillId="0" borderId="1" xfId="0" applyNumberFormat="1" applyFont="1" applyBorder="1" applyAlignment="1">
      <alignment horizontal="center" vertical="center"/>
    </xf>
    <xf numFmtId="165" fontId="21" fillId="0" borderId="1" xfId="0" applyNumberFormat="1" applyFont="1" applyBorder="1" applyAlignment="1">
      <alignment horizontal="center" vertical="center"/>
    </xf>
    <xf numFmtId="170" fontId="21" fillId="0" borderId="0" xfId="0" applyNumberFormat="1" applyFont="1"/>
    <xf numFmtId="165" fontId="21" fillId="0" borderId="9" xfId="0" applyNumberFormat="1" applyFont="1" applyBorder="1" applyAlignment="1">
      <alignment horizontal="center" vertical="center"/>
    </xf>
    <xf numFmtId="0" fontId="29" fillId="42" borderId="2" xfId="0" applyFont="1" applyFill="1" applyBorder="1"/>
    <xf numFmtId="0" fontId="29" fillId="42" borderId="8" xfId="0" applyFont="1" applyFill="1" applyBorder="1"/>
    <xf numFmtId="0" fontId="29" fillId="42" borderId="3" xfId="0" applyFont="1" applyFill="1" applyBorder="1"/>
    <xf numFmtId="1" fontId="21" fillId="0" borderId="1" xfId="2" applyNumberFormat="1" applyFont="1" applyBorder="1"/>
    <xf numFmtId="1" fontId="21" fillId="0" borderId="5" xfId="0" applyNumberFormat="1" applyFont="1" applyBorder="1"/>
    <xf numFmtId="166" fontId="21" fillId="0" borderId="4" xfId="2" applyNumberFormat="1" applyFont="1" applyBorder="1"/>
    <xf numFmtId="168" fontId="21" fillId="0" borderId="0" xfId="0" applyNumberFormat="1" applyFont="1"/>
    <xf numFmtId="166" fontId="21" fillId="0" borderId="9" xfId="2" applyNumberFormat="1" applyFont="1" applyBorder="1"/>
    <xf numFmtId="0" fontId="21" fillId="0" borderId="9" xfId="0" applyFont="1" applyBorder="1"/>
    <xf numFmtId="166" fontId="21" fillId="0" borderId="9" xfId="2" applyNumberFormat="1" applyFont="1" applyBorder="1" applyAlignment="1">
      <alignment horizontal="center"/>
    </xf>
    <xf numFmtId="166" fontId="21" fillId="0" borderId="9" xfId="0" applyNumberFormat="1" applyFont="1" applyBorder="1"/>
    <xf numFmtId="1" fontId="21" fillId="0" borderId="7" xfId="0" applyNumberFormat="1" applyFont="1" applyBorder="1"/>
    <xf numFmtId="166" fontId="21" fillId="0" borderId="0" xfId="2" applyNumberFormat="1" applyFont="1" applyBorder="1"/>
    <xf numFmtId="168" fontId="21" fillId="0" borderId="1" xfId="0" applyNumberFormat="1" applyFont="1" applyBorder="1"/>
    <xf numFmtId="1" fontId="21" fillId="0" borderId="0" xfId="0" applyNumberFormat="1" applyFont="1" applyBorder="1"/>
    <xf numFmtId="166" fontId="21" fillId="0" borderId="6" xfId="2" applyNumberFormat="1" applyFont="1" applyBorder="1"/>
    <xf numFmtId="43" fontId="21" fillId="0" borderId="1" xfId="2" applyFont="1" applyBorder="1" applyAlignment="1">
      <alignment horizontal="center" vertical="center" wrapText="1"/>
    </xf>
    <xf numFmtId="168" fontId="21" fillId="0" borderId="1" xfId="2" applyNumberFormat="1" applyFont="1" applyBorder="1" applyAlignment="1">
      <alignment horizontal="center" vertical="center" wrapText="1"/>
    </xf>
    <xf numFmtId="166" fontId="21" fillId="0" borderId="1" xfId="2" applyNumberFormat="1" applyFont="1" applyBorder="1" applyAlignment="1">
      <alignment horizontal="center" vertical="center" wrapText="1"/>
    </xf>
    <xf numFmtId="0" fontId="40" fillId="0" borderId="0" xfId="0" applyFont="1"/>
    <xf numFmtId="0" fontId="44" fillId="0" borderId="0" xfId="0" applyFont="1"/>
    <xf numFmtId="0" fontId="21" fillId="0" borderId="0" xfId="0" quotePrefix="1" applyFont="1"/>
    <xf numFmtId="0" fontId="45" fillId="0" borderId="0" xfId="0" applyFont="1" applyAlignment="1">
      <alignment horizontal="left" indent="1"/>
    </xf>
    <xf numFmtId="0" fontId="29" fillId="42" borderId="4" xfId="0" applyFont="1" applyFill="1" applyBorder="1" applyAlignment="1">
      <alignment horizontal="center" vertical="center" wrapText="1"/>
    </xf>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xf>
    <xf numFmtId="0" fontId="29" fillId="42" borderId="1" xfId="0" applyFont="1" applyFill="1" applyBorder="1" applyAlignment="1">
      <alignment horizontal="center"/>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9" fillId="42" borderId="6" xfId="0" applyFont="1" applyFill="1" applyBorder="1" applyAlignment="1">
      <alignment horizontal="center" vertical="center"/>
    </xf>
    <xf numFmtId="171" fontId="21" fillId="3" borderId="5" xfId="47" applyNumberFormat="1" applyFont="1" applyFill="1" applyBorder="1" applyAlignment="1">
      <alignment horizontal="center" vertical="center"/>
    </xf>
    <xf numFmtId="166" fontId="0" fillId="0" borderId="7" xfId="2" applyNumberFormat="1" applyFont="1" applyBorder="1"/>
    <xf numFmtId="0" fontId="26" fillId="38" borderId="0" xfId="0" applyFont="1" applyFill="1" applyAlignment="1">
      <alignment wrapText="1"/>
    </xf>
    <xf numFmtId="0" fontId="26" fillId="38" borderId="2" xfId="0" applyFont="1" applyFill="1" applyBorder="1" applyAlignment="1">
      <alignment horizontal="center" vertical="center" wrapText="1"/>
    </xf>
    <xf numFmtId="0" fontId="26" fillId="38" borderId="8" xfId="0" applyFont="1" applyFill="1" applyBorder="1" applyAlignment="1">
      <alignment horizontal="center" vertical="center" wrapText="1"/>
    </xf>
    <xf numFmtId="166" fontId="26" fillId="38" borderId="3" xfId="2" applyNumberFormat="1" applyFont="1" applyFill="1" applyBorder="1" applyAlignment="1">
      <alignment horizontal="center" vertical="center" wrapText="1"/>
    </xf>
    <xf numFmtId="0" fontId="26" fillId="38" borderId="28" xfId="0" applyFont="1" applyFill="1" applyBorder="1" applyAlignment="1">
      <alignment horizontal="center" vertical="center" wrapText="1"/>
    </xf>
    <xf numFmtId="0" fontId="26" fillId="38" borderId="3" xfId="0" applyFont="1" applyFill="1" applyBorder="1" applyAlignment="1">
      <alignment horizontal="center" vertical="center" wrapText="1"/>
    </xf>
    <xf numFmtId="0" fontId="26" fillId="38" borderId="0" xfId="0" applyFont="1" applyFill="1" applyAlignment="1">
      <alignment horizontal="center" vertical="center" wrapText="1"/>
    </xf>
    <xf numFmtId="14" fontId="20" fillId="3" borderId="4" xfId="0" applyNumberFormat="1" applyFont="1" applyFill="1" applyBorder="1" applyAlignment="1">
      <alignment horizontal="center" vertical="center" wrapText="1"/>
    </xf>
    <xf numFmtId="1" fontId="20" fillId="3" borderId="1" xfId="0" applyNumberFormat="1" applyFont="1" applyFill="1" applyBorder="1" applyAlignment="1">
      <alignment horizontal="center" vertical="center" wrapText="1"/>
    </xf>
    <xf numFmtId="166" fontId="20" fillId="0" borderId="5" xfId="2" applyNumberFormat="1" applyFont="1" applyBorder="1" applyAlignment="1">
      <alignment horizontal="center" vertical="center"/>
    </xf>
    <xf numFmtId="1" fontId="20" fillId="3" borderId="9" xfId="0" applyNumberFormat="1" applyFont="1" applyFill="1" applyBorder="1" applyAlignment="1">
      <alignment horizontal="center" vertical="center" wrapText="1"/>
    </xf>
    <xf numFmtId="9" fontId="20" fillId="0" borderId="9" xfId="1" applyFont="1" applyBorder="1" applyAlignment="1">
      <alignment horizontal="center" vertical="center"/>
    </xf>
    <xf numFmtId="166" fontId="20" fillId="0" borderId="7" xfId="2" applyNumberFormat="1" applyFont="1" applyBorder="1" applyAlignment="1">
      <alignment horizontal="center" vertical="center"/>
    </xf>
    <xf numFmtId="166" fontId="21" fillId="0" borderId="5" xfId="2" applyNumberFormat="1" applyFont="1" applyBorder="1" applyAlignment="1">
      <alignment horizontal="center"/>
    </xf>
    <xf numFmtId="166" fontId="29" fillId="42" borderId="8" xfId="2" applyNumberFormat="1" applyFont="1" applyFill="1" applyBorder="1"/>
    <xf numFmtId="0" fontId="21" fillId="0" borderId="4" xfId="0" applyFont="1" applyBorder="1"/>
    <xf numFmtId="0" fontId="21" fillId="0" borderId="5" xfId="0" applyFont="1" applyBorder="1"/>
    <xf numFmtId="166" fontId="21" fillId="0" borderId="4" xfId="0" applyNumberFormat="1" applyFont="1" applyBorder="1"/>
    <xf numFmtId="166" fontId="21" fillId="0" borderId="6" xfId="0" applyNumberFormat="1" applyFont="1" applyBorder="1"/>
    <xf numFmtId="165" fontId="21" fillId="0" borderId="9" xfId="0" applyNumberFormat="1" applyFont="1" applyBorder="1"/>
    <xf numFmtId="1" fontId="21" fillId="0" borderId="9" xfId="0" applyNumberFormat="1" applyFont="1" applyBorder="1"/>
    <xf numFmtId="169" fontId="21" fillId="0" borderId="9" xfId="0" applyNumberFormat="1" applyFont="1" applyBorder="1"/>
    <xf numFmtId="43" fontId="21" fillId="0" borderId="5" xfId="0" applyNumberFormat="1" applyFont="1" applyBorder="1"/>
    <xf numFmtId="43" fontId="21" fillId="0" borderId="7" xfId="0" applyNumberFormat="1" applyFont="1" applyBorder="1"/>
    <xf numFmtId="166" fontId="21" fillId="0" borderId="5" xfId="2" applyNumberFormat="1" applyFont="1" applyBorder="1"/>
    <xf numFmtId="166" fontId="21" fillId="0" borderId="7" xfId="2" applyNumberFormat="1" applyFont="1" applyBorder="1"/>
    <xf numFmtId="0" fontId="21" fillId="2" borderId="5" xfId="0" quotePrefix="1" applyFont="1" applyFill="1" applyBorder="1"/>
    <xf numFmtId="0" fontId="21" fillId="2" borderId="7" xfId="0" quotePrefix="1" applyFont="1" applyFill="1" applyBorder="1"/>
    <xf numFmtId="0" fontId="29" fillId="0" borderId="0" xfId="0" applyFont="1" applyFill="1"/>
    <xf numFmtId="0" fontId="20" fillId="2" borderId="5" xfId="0" applyFont="1" applyFill="1" applyBorder="1" applyAlignment="1">
      <alignment horizontal="center" vertical="center"/>
    </xf>
    <xf numFmtId="0" fontId="20" fillId="2" borderId="7" xfId="0" applyFont="1" applyFill="1" applyBorder="1" applyAlignment="1">
      <alignment horizontal="center" vertical="center"/>
    </xf>
    <xf numFmtId="0" fontId="20" fillId="0" borderId="0" xfId="0" applyFont="1" applyFill="1" applyBorder="1" applyAlignment="1">
      <alignment horizontal="center" vertical="center"/>
    </xf>
    <xf numFmtId="0" fontId="23" fillId="42" borderId="6" xfId="0" applyFont="1" applyFill="1" applyBorder="1" applyAlignment="1">
      <alignment horizontal="center" vertical="center" wrapText="1"/>
    </xf>
    <xf numFmtId="0" fontId="48" fillId="0" borderId="0" xfId="0" applyFont="1" applyFill="1"/>
    <xf numFmtId="0" fontId="21" fillId="0" borderId="7" xfId="0" applyFont="1" applyBorder="1"/>
    <xf numFmtId="9" fontId="49" fillId="0" borderId="9" xfId="1" applyFont="1" applyBorder="1" applyAlignment="1">
      <alignment horizontal="center" vertical="center"/>
    </xf>
    <xf numFmtId="9" fontId="46" fillId="0" borderId="9" xfId="1" applyFont="1" applyBorder="1" applyAlignment="1">
      <alignment horizontal="center" vertical="center"/>
    </xf>
    <xf numFmtId="0" fontId="35" fillId="3" borderId="0" xfId="0" applyFont="1" applyFill="1"/>
    <xf numFmtId="0" fontId="26" fillId="3" borderId="0" xfId="0" applyFont="1" applyFill="1"/>
    <xf numFmtId="0" fontId="29" fillId="42" borderId="2" xfId="0" applyFont="1" applyFill="1" applyBorder="1" applyAlignment="1">
      <alignment horizontal="center" vertical="center"/>
    </xf>
    <xf numFmtId="0" fontId="23" fillId="42" borderId="3"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0" fontId="23" fillId="42" borderId="4" xfId="0" applyFont="1" applyFill="1" applyBorder="1" applyAlignment="1">
      <alignment horizontal="center" vertical="center" wrapText="1"/>
    </xf>
    <xf numFmtId="0" fontId="23" fillId="42" borderId="6" xfId="0" applyFont="1" applyFill="1" applyBorder="1" applyAlignment="1">
      <alignment horizontal="center" vertical="center"/>
    </xf>
    <xf numFmtId="0" fontId="23" fillId="42" borderId="19" xfId="0" applyFont="1" applyFill="1" applyBorder="1" applyAlignment="1">
      <alignment horizontal="center" vertical="center"/>
    </xf>
    <xf numFmtId="0" fontId="23" fillId="42" borderId="22" xfId="0" applyFont="1" applyFill="1" applyBorder="1" applyAlignment="1">
      <alignment horizontal="center" vertical="center"/>
    </xf>
    <xf numFmtId="0" fontId="29" fillId="42" borderId="2" xfId="0" applyFont="1" applyFill="1" applyBorder="1" applyAlignment="1">
      <alignment horizontal="center" vertical="center"/>
    </xf>
    <xf numFmtId="0" fontId="23" fillId="42" borderId="1" xfId="0" applyFont="1" applyFill="1" applyBorder="1" applyAlignment="1">
      <alignment horizontal="center" vertical="center"/>
    </xf>
    <xf numFmtId="0" fontId="23" fillId="42" borderId="3" xfId="0" applyFont="1" applyFill="1" applyBorder="1" applyAlignment="1">
      <alignment horizontal="center" vertical="center"/>
    </xf>
    <xf numFmtId="0" fontId="29" fillId="3" borderId="1" xfId="0" applyFont="1" applyFill="1" applyBorder="1" applyAlignment="1">
      <alignment horizontal="center" vertical="center"/>
    </xf>
    <xf numFmtId="0" fontId="29" fillId="42" borderId="1" xfId="0" applyFont="1" applyFill="1" applyBorder="1" applyAlignment="1">
      <alignment horizontal="center" vertical="center"/>
    </xf>
    <xf numFmtId="0" fontId="20" fillId="38" borderId="1" xfId="0" applyFont="1" applyFill="1" applyBorder="1"/>
    <xf numFmtId="0" fontId="50" fillId="38" borderId="1" xfId="0" applyFont="1" applyFill="1" applyBorder="1" applyAlignment="1">
      <alignment horizontal="center" vertical="center"/>
    </xf>
    <xf numFmtId="0" fontId="51" fillId="38" borderId="1" xfId="0" applyFont="1" applyFill="1" applyBorder="1"/>
    <xf numFmtId="0" fontId="20" fillId="38" borderId="0" xfId="0" applyFont="1" applyFill="1" applyBorder="1"/>
    <xf numFmtId="0" fontId="20" fillId="38" borderId="0" xfId="0" applyFont="1" applyFill="1" applyBorder="1" applyAlignment="1">
      <alignment horizontal="center" vertical="center"/>
    </xf>
    <xf numFmtId="0" fontId="50" fillId="0" borderId="0" xfId="0" applyFont="1" applyFill="1" applyBorder="1" applyAlignment="1">
      <alignment horizontal="center" vertical="center"/>
    </xf>
    <xf numFmtId="43" fontId="20" fillId="0" borderId="0" xfId="0" applyNumberFormat="1" applyFont="1" applyFill="1" applyBorder="1"/>
    <xf numFmtId="0" fontId="51" fillId="0" borderId="0" xfId="0" applyFont="1" applyFill="1" applyBorder="1"/>
    <xf numFmtId="0" fontId="20" fillId="3" borderId="0" xfId="0" applyFont="1" applyFill="1" applyBorder="1" applyAlignment="1">
      <alignment horizontal="center" vertical="center"/>
    </xf>
    <xf numFmtId="0" fontId="20" fillId="42" borderId="1" xfId="0" applyFont="1" applyFill="1" applyBorder="1" applyAlignment="1">
      <alignment horizontal="center" vertical="center"/>
    </xf>
    <xf numFmtId="166" fontId="20" fillId="3" borderId="1" xfId="0" applyNumberFormat="1" applyFont="1" applyFill="1" applyBorder="1" applyAlignment="1">
      <alignment horizontal="center" vertical="center"/>
    </xf>
    <xf numFmtId="167" fontId="20" fillId="0" borderId="1" xfId="1" applyNumberFormat="1" applyFont="1" applyBorder="1" applyAlignment="1">
      <alignment horizontal="center" vertical="center"/>
    </xf>
    <xf numFmtId="0" fontId="23" fillId="3" borderId="0" xfId="0" applyFont="1" applyFill="1" applyBorder="1" applyAlignment="1">
      <alignment horizontal="center" vertical="center"/>
    </xf>
    <xf numFmtId="166" fontId="20" fillId="3" borderId="0" xfId="2" applyNumberFormat="1" applyFont="1" applyFill="1" applyBorder="1" applyAlignment="1">
      <alignment horizontal="center" vertical="center"/>
    </xf>
    <xf numFmtId="166" fontId="20" fillId="3" borderId="0" xfId="0" applyNumberFormat="1" applyFont="1" applyFill="1" applyBorder="1"/>
    <xf numFmtId="0" fontId="20" fillId="0" borderId="0" xfId="0" applyFont="1" applyAlignment="1">
      <alignment horizontal="center" vertical="center"/>
    </xf>
    <xf numFmtId="166" fontId="20" fillId="3" borderId="1" xfId="2" applyNumberFormat="1" applyFont="1" applyFill="1" applyBorder="1"/>
    <xf numFmtId="9" fontId="20" fillId="0" borderId="0" xfId="1" applyFont="1" applyBorder="1" applyAlignment="1">
      <alignment horizontal="center" vertical="center"/>
    </xf>
    <xf numFmtId="166" fontId="20" fillId="0" borderId="9" xfId="2" applyNumberFormat="1" applyFont="1" applyBorder="1" applyAlignment="1">
      <alignment horizontal="center" vertical="center"/>
    </xf>
    <xf numFmtId="1" fontId="20" fillId="3" borderId="0" xfId="0" applyNumberFormat="1" applyFont="1" applyFill="1" applyBorder="1" applyAlignment="1">
      <alignment horizontal="center" vertical="center"/>
    </xf>
    <xf numFmtId="166" fontId="20" fillId="0" borderId="0" xfId="2" applyNumberFormat="1" applyFont="1" applyBorder="1" applyAlignment="1">
      <alignment horizontal="center" vertical="center"/>
    </xf>
    <xf numFmtId="0" fontId="20" fillId="3" borderId="34" xfId="0" applyFont="1" applyFill="1" applyBorder="1" applyAlignment="1">
      <alignment horizontal="center" vertical="center"/>
    </xf>
    <xf numFmtId="0" fontId="21" fillId="2" borderId="1" xfId="0" applyFont="1" applyFill="1" applyBorder="1" applyAlignment="1">
      <alignment horizontal="center" vertical="center"/>
    </xf>
    <xf numFmtId="1" fontId="20" fillId="2" borderId="5" xfId="0" applyNumberFormat="1" applyFont="1" applyFill="1" applyBorder="1" applyAlignment="1">
      <alignment horizontal="center" vertical="center"/>
    </xf>
    <xf numFmtId="1" fontId="20" fillId="2" borderId="7" xfId="0" applyNumberFormat="1" applyFont="1" applyFill="1" applyBorder="1" applyAlignment="1">
      <alignment horizontal="center" vertical="center"/>
    </xf>
    <xf numFmtId="166" fontId="20" fillId="3" borderId="9" xfId="2" applyNumberFormat="1" applyFont="1" applyFill="1" applyBorder="1" applyAlignment="1">
      <alignment horizontal="center" vertical="center"/>
    </xf>
    <xf numFmtId="166" fontId="20" fillId="2" borderId="5" xfId="2" applyNumberFormat="1" applyFont="1" applyFill="1" applyBorder="1" applyAlignment="1">
      <alignment horizontal="center"/>
    </xf>
    <xf numFmtId="0" fontId="29" fillId="42" borderId="2" xfId="0" applyFont="1" applyFill="1" applyBorder="1" applyAlignment="1">
      <alignment horizontal="center" vertical="center"/>
    </xf>
    <xf numFmtId="0" fontId="29" fillId="42" borderId="8" xfId="0" applyFont="1" applyFill="1" applyBorder="1" applyAlignment="1">
      <alignment horizontal="center" vertical="center"/>
    </xf>
    <xf numFmtId="0" fontId="29" fillId="42" borderId="3" xfId="0" applyFont="1" applyFill="1" applyBorder="1" applyAlignment="1">
      <alignment horizontal="center" vertical="center"/>
    </xf>
    <xf numFmtId="0" fontId="29" fillId="42" borderId="8" xfId="0" applyFont="1" applyFill="1" applyBorder="1" applyAlignment="1">
      <alignment horizontal="center"/>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3" fillId="42" borderId="6" xfId="0" applyFont="1" applyFill="1" applyBorder="1" applyAlignment="1">
      <alignment horizontal="center" vertical="center"/>
    </xf>
    <xf numFmtId="0" fontId="23" fillId="42" borderId="4" xfId="0" applyFont="1" applyFill="1" applyBorder="1" applyAlignment="1">
      <alignment horizontal="center" vertical="center"/>
    </xf>
    <xf numFmtId="166" fontId="29" fillId="42" borderId="2" xfId="2" applyNumberFormat="1" applyFont="1" applyFill="1" applyBorder="1" applyAlignment="1">
      <alignment horizontal="center" vertical="center" wrapText="1"/>
    </xf>
    <xf numFmtId="166" fontId="29" fillId="42" borderId="8" xfId="2" applyNumberFormat="1" applyFont="1" applyFill="1" applyBorder="1" applyAlignment="1">
      <alignment horizontal="center" vertical="center" wrapText="1"/>
    </xf>
    <xf numFmtId="166" fontId="29" fillId="42" borderId="3" xfId="2" applyNumberFormat="1" applyFont="1" applyFill="1" applyBorder="1" applyAlignment="1">
      <alignment horizontal="center" vertical="center" wrapText="1"/>
    </xf>
    <xf numFmtId="166" fontId="21" fillId="0" borderId="1" xfId="0" applyNumberFormat="1" applyFont="1" applyBorder="1" applyAlignment="1">
      <alignment horizontal="center" vertical="center"/>
    </xf>
    <xf numFmtId="166" fontId="21" fillId="0" borderId="5" xfId="0" applyNumberFormat="1" applyFont="1" applyBorder="1" applyAlignment="1">
      <alignment horizontal="center" vertical="center"/>
    </xf>
    <xf numFmtId="166" fontId="21" fillId="0" borderId="9" xfId="0" applyNumberFormat="1" applyFont="1" applyBorder="1" applyAlignment="1">
      <alignment horizontal="center" vertical="center"/>
    </xf>
    <xf numFmtId="166" fontId="21" fillId="0" borderId="7" xfId="0" applyNumberFormat="1" applyFont="1" applyBorder="1" applyAlignment="1">
      <alignment horizontal="center" vertical="center"/>
    </xf>
    <xf numFmtId="166" fontId="29" fillId="42" borderId="8" xfId="2" applyNumberFormat="1" applyFont="1" applyFill="1" applyBorder="1" applyAlignment="1">
      <alignment horizontal="center" vertical="center"/>
    </xf>
    <xf numFmtId="166" fontId="21" fillId="0" borderId="4" xfId="2" applyNumberFormat="1" applyFont="1" applyBorder="1" applyAlignment="1">
      <alignment horizontal="center" vertical="center"/>
    </xf>
    <xf numFmtId="43" fontId="21" fillId="0" borderId="1" xfId="2" applyNumberFormat="1" applyFont="1" applyBorder="1" applyAlignment="1">
      <alignment horizontal="center" vertical="center"/>
    </xf>
    <xf numFmtId="165" fontId="21" fillId="0" borderId="5" xfId="0" applyNumberFormat="1" applyFont="1" applyBorder="1" applyAlignment="1">
      <alignment horizontal="center" vertical="center"/>
    </xf>
    <xf numFmtId="1" fontId="21" fillId="0" borderId="1" xfId="0" applyNumberFormat="1" applyFont="1" applyBorder="1" applyAlignment="1">
      <alignment horizontal="center" vertical="center"/>
    </xf>
    <xf numFmtId="1" fontId="21" fillId="0" borderId="9" xfId="0" applyNumberFormat="1" applyFont="1" applyBorder="1" applyAlignment="1">
      <alignment horizontal="center" vertical="center"/>
    </xf>
    <xf numFmtId="2" fontId="21" fillId="0" borderId="9" xfId="0" applyNumberFormat="1" applyFont="1" applyBorder="1" applyAlignment="1">
      <alignment horizontal="center" vertical="center"/>
    </xf>
    <xf numFmtId="43" fontId="21" fillId="0" borderId="9" xfId="2" applyNumberFormat="1" applyFont="1" applyBorder="1" applyAlignment="1">
      <alignment horizontal="center" vertical="center"/>
    </xf>
    <xf numFmtId="165" fontId="21" fillId="0" borderId="7" xfId="0" applyNumberFormat="1" applyFont="1" applyBorder="1" applyAlignment="1">
      <alignment horizontal="center" vertical="center"/>
    </xf>
    <xf numFmtId="166" fontId="21" fillId="0" borderId="6" xfId="2" applyNumberFormat="1" applyFont="1" applyBorder="1" applyAlignment="1">
      <alignment horizontal="center" vertical="center"/>
    </xf>
    <xf numFmtId="0" fontId="0" fillId="0" borderId="0" xfId="0" applyBorder="1"/>
    <xf numFmtId="166" fontId="21" fillId="0" borderId="5" xfId="0" applyNumberFormat="1" applyFont="1" applyBorder="1"/>
    <xf numFmtId="0" fontId="43" fillId="0" borderId="0" xfId="0" applyFont="1" applyBorder="1" applyAlignment="1"/>
    <xf numFmtId="0" fontId="29" fillId="0" borderId="0" xfId="0" applyFont="1" applyBorder="1" applyAlignment="1">
      <alignment wrapText="1"/>
    </xf>
    <xf numFmtId="169" fontId="21" fillId="0" borderId="5" xfId="0" applyNumberFormat="1" applyFont="1" applyBorder="1" applyAlignment="1">
      <alignment horizontal="center" vertical="center"/>
    </xf>
    <xf numFmtId="169" fontId="21" fillId="0" borderId="7" xfId="0" applyNumberFormat="1" applyFont="1" applyBorder="1" applyAlignment="1">
      <alignment horizontal="center" vertical="center"/>
    </xf>
    <xf numFmtId="1" fontId="21" fillId="0" borderId="1" xfId="2" applyNumberFormat="1" applyFont="1" applyBorder="1" applyAlignment="1">
      <alignment horizontal="center" vertical="center"/>
    </xf>
    <xf numFmtId="166" fontId="21" fillId="0" borderId="5" xfId="2" applyNumberFormat="1" applyFont="1" applyBorder="1" applyAlignment="1">
      <alignment horizontal="center" vertical="center"/>
    </xf>
    <xf numFmtId="1" fontId="21" fillId="0" borderId="5" xfId="0" applyNumberFormat="1" applyFont="1" applyBorder="1" applyAlignment="1">
      <alignment horizontal="center" vertical="center"/>
    </xf>
    <xf numFmtId="1" fontId="21" fillId="0" borderId="9" xfId="2" applyNumberFormat="1" applyFont="1" applyBorder="1" applyAlignment="1">
      <alignment horizontal="center" vertical="center"/>
    </xf>
    <xf numFmtId="1" fontId="21" fillId="0" borderId="7" xfId="0" applyNumberFormat="1" applyFont="1" applyBorder="1" applyAlignment="1">
      <alignment horizontal="center" vertical="center"/>
    </xf>
    <xf numFmtId="0" fontId="21" fillId="0" borderId="5" xfId="0" applyFont="1" applyBorder="1" applyAlignment="1">
      <alignment horizontal="center" vertical="center"/>
    </xf>
    <xf numFmtId="43" fontId="21" fillId="0" borderId="4" xfId="0" applyNumberFormat="1" applyFont="1" applyBorder="1" applyAlignment="1">
      <alignment horizontal="center" vertical="center"/>
    </xf>
    <xf numFmtId="43" fontId="21" fillId="0" borderId="1" xfId="0" applyNumberFormat="1" applyFont="1" applyBorder="1" applyAlignment="1">
      <alignment horizontal="center" vertical="center"/>
    </xf>
    <xf numFmtId="43" fontId="21" fillId="0" borderId="5" xfId="0" applyNumberFormat="1" applyFont="1" applyBorder="1" applyAlignment="1">
      <alignment horizontal="center" vertical="center"/>
    </xf>
    <xf numFmtId="43" fontId="21" fillId="0" borderId="6" xfId="0" applyNumberFormat="1" applyFont="1" applyBorder="1" applyAlignment="1">
      <alignment horizontal="center" vertical="center"/>
    </xf>
    <xf numFmtId="43" fontId="21" fillId="0" borderId="9" xfId="0" applyNumberFormat="1" applyFont="1" applyBorder="1" applyAlignment="1">
      <alignment horizontal="center" vertical="center"/>
    </xf>
    <xf numFmtId="43" fontId="21" fillId="0" borderId="7" xfId="0" applyNumberFormat="1" applyFont="1" applyBorder="1" applyAlignment="1">
      <alignment horizontal="center" vertical="center"/>
    </xf>
    <xf numFmtId="0" fontId="23" fillId="0" borderId="0" xfId="0" applyFont="1" applyFill="1" applyBorder="1" applyAlignment="1">
      <alignment horizontal="left"/>
    </xf>
    <xf numFmtId="166" fontId="21" fillId="3" borderId="7" xfId="0" applyNumberFormat="1" applyFont="1" applyFill="1" applyBorder="1" applyAlignment="1">
      <alignment horizontal="center" vertical="center"/>
    </xf>
    <xf numFmtId="0" fontId="29" fillId="3" borderId="35" xfId="0" applyFont="1" applyFill="1" applyBorder="1" applyAlignment="1">
      <alignment horizontal="right"/>
    </xf>
    <xf numFmtId="0" fontId="29" fillId="3" borderId="45" xfId="0" applyFont="1" applyFill="1" applyBorder="1" applyAlignment="1">
      <alignment horizontal="right"/>
    </xf>
    <xf numFmtId="171" fontId="29" fillId="3" borderId="46" xfId="47" applyNumberFormat="1" applyFont="1" applyFill="1" applyBorder="1"/>
    <xf numFmtId="171" fontId="21" fillId="3" borderId="7" xfId="47" applyNumberFormat="1" applyFont="1" applyFill="1" applyBorder="1" applyAlignment="1">
      <alignment horizontal="center" vertical="center"/>
    </xf>
    <xf numFmtId="0" fontId="39" fillId="0" borderId="4" xfId="0" applyFont="1" applyBorder="1" applyAlignment="1">
      <alignment horizontal="left"/>
    </xf>
    <xf numFmtId="0" fontId="39" fillId="0" borderId="29" xfId="0" applyFont="1" applyBorder="1" applyAlignment="1">
      <alignment horizontal="left"/>
    </xf>
    <xf numFmtId="166" fontId="39" fillId="0" borderId="5" xfId="2" applyNumberFormat="1" applyFont="1" applyBorder="1"/>
    <xf numFmtId="9" fontId="1" fillId="0" borderId="33" xfId="1" applyBorder="1"/>
    <xf numFmtId="0" fontId="21" fillId="0" borderId="0" xfId="0" applyFont="1" applyBorder="1" applyAlignment="1">
      <alignment horizontal="center" vertical="center"/>
    </xf>
    <xf numFmtId="166" fontId="21" fillId="0" borderId="0" xfId="0" applyNumberFormat="1" applyFont="1" applyBorder="1" applyAlignment="1">
      <alignment horizontal="center" vertical="center"/>
    </xf>
    <xf numFmtId="0" fontId="29" fillId="42" borderId="2" xfId="0" applyFont="1" applyFill="1" applyBorder="1" applyAlignment="1">
      <alignment horizontal="center" vertical="center"/>
    </xf>
    <xf numFmtId="0" fontId="29" fillId="42" borderId="8" xfId="0" applyFont="1" applyFill="1" applyBorder="1" applyAlignment="1">
      <alignment horizontal="center" vertical="center"/>
    </xf>
    <xf numFmtId="0" fontId="29" fillId="42" borderId="3" xfId="0" applyFont="1" applyFill="1" applyBorder="1" applyAlignment="1">
      <alignment horizontal="center" vertical="center"/>
    </xf>
    <xf numFmtId="0" fontId="29" fillId="42" borderId="8" xfId="0" applyFont="1" applyFill="1" applyBorder="1" applyAlignment="1">
      <alignment horizontal="center"/>
    </xf>
    <xf numFmtId="166" fontId="21" fillId="0" borderId="7" xfId="2" applyNumberFormat="1" applyFont="1" applyBorder="1" applyAlignment="1">
      <alignment horizontal="center"/>
    </xf>
    <xf numFmtId="0" fontId="29" fillId="42" borderId="4" xfId="0" applyFont="1" applyFill="1" applyBorder="1" applyAlignment="1">
      <alignment horizontal="center" vertical="center" wrapText="1"/>
    </xf>
    <xf numFmtId="0" fontId="29" fillId="42" borderId="2" xfId="0" applyFont="1" applyFill="1" applyBorder="1" applyAlignment="1">
      <alignment horizontal="center" vertical="center"/>
    </xf>
    <xf numFmtId="0" fontId="29" fillId="42" borderId="8" xfId="0" applyFont="1" applyFill="1" applyBorder="1" applyAlignment="1">
      <alignment horizontal="center" vertical="center"/>
    </xf>
    <xf numFmtId="0" fontId="29" fillId="42" borderId="2" xfId="0" applyFont="1" applyFill="1" applyBorder="1" applyAlignment="1">
      <alignment horizontal="center" vertical="center" wrapText="1"/>
    </xf>
    <xf numFmtId="0" fontId="29" fillId="42" borderId="8" xfId="0" applyFont="1" applyFill="1" applyBorder="1" applyAlignment="1">
      <alignment horizontal="center" vertical="center" wrapText="1"/>
    </xf>
    <xf numFmtId="0" fontId="23" fillId="42" borderId="4" xfId="0" applyFont="1" applyFill="1" applyBorder="1" applyAlignment="1">
      <alignment horizontal="center" vertical="center" wrapText="1"/>
    </xf>
    <xf numFmtId="0" fontId="23" fillId="42" borderId="1" xfId="0" applyFont="1" applyFill="1" applyBorder="1" applyAlignment="1">
      <alignment horizontal="center" vertical="center"/>
    </xf>
    <xf numFmtId="0" fontId="29" fillId="42" borderId="8" xfId="0" applyFont="1" applyFill="1" applyBorder="1" applyAlignment="1">
      <alignment horizontal="center"/>
    </xf>
    <xf numFmtId="0" fontId="29" fillId="42" borderId="1" xfId="0" applyFont="1" applyFill="1" applyBorder="1" applyAlignment="1">
      <alignment horizontal="center" vertical="center" wrapText="1"/>
    </xf>
    <xf numFmtId="0" fontId="23" fillId="42" borderId="3" xfId="0" applyFont="1" applyFill="1" applyBorder="1" applyAlignment="1">
      <alignment horizontal="center" vertical="center"/>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52" fillId="0" borderId="1" xfId="0" applyFont="1" applyBorder="1"/>
    <xf numFmtId="43" fontId="21" fillId="0" borderId="45" xfId="0" applyNumberFormat="1" applyFont="1" applyBorder="1" applyAlignment="1">
      <alignment horizontal="center" vertical="center"/>
    </xf>
    <xf numFmtId="43" fontId="21" fillId="0" borderId="49" xfId="0" applyNumberFormat="1" applyFont="1" applyBorder="1" applyAlignment="1">
      <alignment horizontal="center" vertical="center"/>
    </xf>
    <xf numFmtId="43" fontId="21" fillId="0" borderId="46" xfId="0" applyNumberFormat="1" applyFont="1" applyBorder="1" applyAlignment="1">
      <alignment horizontal="center" vertical="center"/>
    </xf>
    <xf numFmtId="168" fontId="0" fillId="0" borderId="0" xfId="2" applyNumberFormat="1" applyFont="1"/>
    <xf numFmtId="168" fontId="21" fillId="0" borderId="0" xfId="2" applyNumberFormat="1" applyFont="1"/>
    <xf numFmtId="166" fontId="29" fillId="42" borderId="2" xfId="2" applyNumberFormat="1" applyFont="1" applyFill="1" applyBorder="1" applyAlignment="1">
      <alignment horizontal="center" vertical="center"/>
    </xf>
    <xf numFmtId="165" fontId="21" fillId="0" borderId="0" xfId="0" applyNumberFormat="1" applyFont="1" applyBorder="1"/>
    <xf numFmtId="166" fontId="29" fillId="42" borderId="2" xfId="2" applyNumberFormat="1" applyFont="1" applyFill="1" applyBorder="1"/>
    <xf numFmtId="168" fontId="29" fillId="42" borderId="8" xfId="2" applyNumberFormat="1" applyFont="1" applyFill="1" applyBorder="1" applyAlignment="1">
      <alignment horizontal="center" vertical="center"/>
    </xf>
    <xf numFmtId="168" fontId="21" fillId="0" borderId="1" xfId="2" applyNumberFormat="1" applyFont="1" applyBorder="1" applyAlignment="1">
      <alignment horizontal="center" vertical="center"/>
    </xf>
    <xf numFmtId="168" fontId="21" fillId="0" borderId="9" xfId="2" applyNumberFormat="1" applyFont="1" applyBorder="1" applyAlignment="1">
      <alignment horizontal="center" vertical="center"/>
    </xf>
    <xf numFmtId="0" fontId="22" fillId="39" borderId="0" xfId="0" applyFont="1" applyFill="1" applyAlignment="1">
      <alignment horizontal="center" vertical="center"/>
    </xf>
    <xf numFmtId="14" fontId="23" fillId="42" borderId="41" xfId="0" applyNumberFormat="1" applyFont="1" applyFill="1" applyBorder="1" applyAlignment="1">
      <alignment horizontal="center" vertical="center"/>
    </xf>
    <xf numFmtId="14" fontId="23" fillId="42" borderId="22" xfId="0" applyNumberFormat="1" applyFont="1" applyFill="1" applyBorder="1" applyAlignment="1">
      <alignment horizontal="center" vertical="center"/>
    </xf>
    <xf numFmtId="14" fontId="23" fillId="42" borderId="42" xfId="0" applyNumberFormat="1" applyFont="1" applyFill="1" applyBorder="1" applyAlignment="1">
      <alignment horizontal="center" vertical="center"/>
    </xf>
    <xf numFmtId="14" fontId="23" fillId="42" borderId="43" xfId="0" applyNumberFormat="1" applyFont="1" applyFill="1" applyBorder="1" applyAlignment="1">
      <alignment horizontal="center" vertical="center"/>
    </xf>
    <xf numFmtId="0" fontId="23" fillId="42" borderId="41" xfId="0" applyFont="1" applyFill="1" applyBorder="1" applyAlignment="1">
      <alignment horizontal="center" wrapText="1"/>
    </xf>
    <xf numFmtId="0" fontId="23" fillId="42" borderId="22" xfId="0" applyFont="1" applyFill="1" applyBorder="1" applyAlignment="1">
      <alignment horizontal="center" wrapText="1"/>
    </xf>
    <xf numFmtId="14" fontId="23" fillId="42" borderId="41" xfId="0" applyNumberFormat="1" applyFont="1" applyFill="1" applyBorder="1" applyAlignment="1">
      <alignment horizontal="center" vertical="center" wrapText="1"/>
    </xf>
    <xf numFmtId="14" fontId="23" fillId="42" borderId="22" xfId="0" applyNumberFormat="1" applyFont="1" applyFill="1" applyBorder="1" applyAlignment="1">
      <alignment horizontal="center" vertical="center" wrapText="1"/>
    </xf>
    <xf numFmtId="14" fontId="23" fillId="42" borderId="42" xfId="0" applyNumberFormat="1" applyFont="1" applyFill="1" applyBorder="1" applyAlignment="1">
      <alignment horizontal="center" vertical="center" wrapText="1"/>
    </xf>
    <xf numFmtId="14" fontId="23" fillId="42" borderId="43" xfId="0" applyNumberFormat="1" applyFont="1" applyFill="1" applyBorder="1" applyAlignment="1">
      <alignment horizontal="center" vertical="center" wrapText="1"/>
    </xf>
    <xf numFmtId="0" fontId="23" fillId="42" borderId="41" xfId="0" applyFont="1" applyFill="1" applyBorder="1" applyAlignment="1">
      <alignment horizontal="center" vertical="center" wrapText="1"/>
    </xf>
    <xf numFmtId="0" fontId="23" fillId="42" borderId="22" xfId="0" applyFont="1" applyFill="1" applyBorder="1" applyAlignment="1">
      <alignment horizontal="center" vertical="center" wrapText="1"/>
    </xf>
    <xf numFmtId="0" fontId="23" fillId="42" borderId="41" xfId="0" applyFont="1" applyFill="1" applyBorder="1" applyAlignment="1">
      <alignment horizontal="center" vertical="center"/>
    </xf>
    <xf numFmtId="0" fontId="23" fillId="42" borderId="22" xfId="0" applyFont="1" applyFill="1" applyBorder="1" applyAlignment="1">
      <alignment horizontal="center" vertical="center"/>
    </xf>
    <xf numFmtId="0" fontId="23" fillId="42" borderId="42" xfId="0" applyFont="1" applyFill="1" applyBorder="1" applyAlignment="1">
      <alignment horizontal="center" vertical="center" wrapText="1"/>
    </xf>
    <xf numFmtId="0" fontId="23" fillId="42" borderId="43" xfId="0" applyFont="1" applyFill="1" applyBorder="1" applyAlignment="1">
      <alignment horizontal="center" vertical="center" wrapText="1"/>
    </xf>
    <xf numFmtId="0" fontId="29" fillId="42" borderId="2" xfId="0" applyFont="1" applyFill="1" applyBorder="1" applyAlignment="1">
      <alignment horizontal="center" vertical="center"/>
    </xf>
    <xf numFmtId="0" fontId="29" fillId="42" borderId="8" xfId="0" applyFont="1" applyFill="1" applyBorder="1" applyAlignment="1">
      <alignment horizontal="center" vertical="center"/>
    </xf>
    <xf numFmtId="0" fontId="29" fillId="42" borderId="3" xfId="0" applyFont="1" applyFill="1" applyBorder="1" applyAlignment="1">
      <alignment horizontal="center" vertical="center"/>
    </xf>
    <xf numFmtId="0" fontId="29" fillId="42" borderId="2" xfId="0" applyFont="1" applyFill="1" applyBorder="1" applyAlignment="1">
      <alignment horizontal="center" vertical="center" wrapText="1"/>
    </xf>
    <xf numFmtId="0" fontId="29" fillId="42" borderId="8" xfId="0" applyFont="1" applyFill="1" applyBorder="1" applyAlignment="1">
      <alignment horizontal="center" vertical="center" wrapText="1"/>
    </xf>
    <xf numFmtId="0" fontId="29" fillId="42" borderId="3" xfId="0" applyFont="1" applyFill="1" applyBorder="1" applyAlignment="1">
      <alignment horizontal="center" vertical="center" wrapText="1"/>
    </xf>
    <xf numFmtId="0" fontId="23" fillId="42" borderId="29" xfId="0" applyFont="1" applyFill="1" applyBorder="1" applyAlignment="1">
      <alignment horizontal="center" vertical="center" wrapText="1"/>
    </xf>
    <xf numFmtId="0" fontId="23" fillId="42" borderId="40" xfId="0" applyFont="1" applyFill="1" applyBorder="1" applyAlignment="1">
      <alignment horizontal="center" vertical="center" wrapText="1"/>
    </xf>
    <xf numFmtId="0" fontId="23" fillId="42" borderId="20" xfId="0" applyFont="1" applyFill="1" applyBorder="1" applyAlignment="1">
      <alignment horizontal="center" vertical="center" wrapText="1"/>
    </xf>
    <xf numFmtId="0" fontId="23" fillId="0" borderId="0" xfId="0" applyFont="1" applyFill="1" applyBorder="1" applyAlignment="1">
      <alignment horizontal="left"/>
    </xf>
    <xf numFmtId="0" fontId="29" fillId="42" borderId="4" xfId="0" applyFont="1" applyFill="1" applyBorder="1" applyAlignment="1">
      <alignment horizontal="center" vertical="center" wrapText="1"/>
    </xf>
    <xf numFmtId="0" fontId="29" fillId="42" borderId="6" xfId="0" applyFont="1" applyFill="1" applyBorder="1" applyAlignment="1">
      <alignment horizontal="center" vertical="center" wrapText="1"/>
    </xf>
    <xf numFmtId="0" fontId="23" fillId="42" borderId="47" xfId="0" applyFont="1" applyFill="1" applyBorder="1" applyAlignment="1">
      <alignment horizontal="center" vertical="center" wrapText="1"/>
    </xf>
    <xf numFmtId="0" fontId="23" fillId="42" borderId="48" xfId="0" applyFont="1" applyFill="1" applyBorder="1" applyAlignment="1">
      <alignment horizontal="center" vertical="center" wrapText="1"/>
    </xf>
    <xf numFmtId="0" fontId="23" fillId="3" borderId="33" xfId="0" applyFont="1" applyFill="1" applyBorder="1" applyAlignment="1">
      <alignment horizontal="center"/>
    </xf>
    <xf numFmtId="0" fontId="47" fillId="0" borderId="33" xfId="0" applyFont="1" applyFill="1" applyBorder="1" applyAlignment="1">
      <alignment horizontal="center" wrapText="1"/>
    </xf>
    <xf numFmtId="0" fontId="23" fillId="42" borderId="8" xfId="0" applyFont="1" applyFill="1" applyBorder="1" applyAlignment="1">
      <alignment horizontal="center" vertical="center"/>
    </xf>
    <xf numFmtId="0" fontId="29" fillId="42" borderId="8" xfId="0" applyFont="1" applyFill="1" applyBorder="1" applyAlignment="1">
      <alignment horizontal="center"/>
    </xf>
    <xf numFmtId="0" fontId="29" fillId="42" borderId="28" xfId="0" applyFont="1" applyFill="1" applyBorder="1" applyAlignment="1">
      <alignment horizontal="center"/>
    </xf>
    <xf numFmtId="0" fontId="29" fillId="42" borderId="38" xfId="0" applyFont="1" applyFill="1" applyBorder="1" applyAlignment="1">
      <alignment horizontal="center"/>
    </xf>
    <xf numFmtId="0" fontId="29" fillId="42" borderId="44" xfId="0" applyFont="1" applyFill="1" applyBorder="1" applyAlignment="1">
      <alignment horizontal="center"/>
    </xf>
    <xf numFmtId="0" fontId="29" fillId="42" borderId="1" xfId="0" applyFont="1" applyFill="1" applyBorder="1" applyAlignment="1">
      <alignment horizontal="center" vertical="center" wrapText="1"/>
    </xf>
    <xf numFmtId="0" fontId="23" fillId="42" borderId="3" xfId="0" applyFont="1" applyFill="1" applyBorder="1" applyAlignment="1">
      <alignment horizontal="center" vertical="center"/>
    </xf>
    <xf numFmtId="0" fontId="29" fillId="42" borderId="4" xfId="0" applyFont="1" applyFill="1" applyBorder="1" applyAlignment="1">
      <alignment horizontal="center"/>
    </xf>
    <xf numFmtId="0" fontId="29" fillId="42" borderId="1" xfId="0" applyFont="1" applyFill="1" applyBorder="1" applyAlignment="1">
      <alignment horizontal="center"/>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9" fillId="42" borderId="6" xfId="0" applyFont="1" applyFill="1" applyBorder="1" applyAlignment="1">
      <alignment horizontal="center" vertical="center"/>
    </xf>
    <xf numFmtId="0" fontId="29" fillId="42" borderId="9" xfId="0" applyFont="1" applyFill="1" applyBorder="1" applyAlignment="1">
      <alignment horizontal="center" vertical="center"/>
    </xf>
    <xf numFmtId="0" fontId="23" fillId="42" borderId="1" xfId="0" applyFont="1" applyFill="1" applyBorder="1" applyAlignment="1">
      <alignment horizontal="center" vertical="center" wrapText="1"/>
    </xf>
    <xf numFmtId="0" fontId="23" fillId="42" borderId="1" xfId="0" applyFont="1" applyFill="1" applyBorder="1" applyAlignment="1">
      <alignment horizontal="center" vertical="center"/>
    </xf>
    <xf numFmtId="0" fontId="47" fillId="3" borderId="27" xfId="0" applyFont="1" applyFill="1" applyBorder="1" applyAlignment="1">
      <alignment horizontal="center" wrapText="1"/>
    </xf>
    <xf numFmtId="0" fontId="23" fillId="42" borderId="6" xfId="0" applyFont="1" applyFill="1" applyBorder="1" applyAlignment="1">
      <alignment horizontal="center" vertical="center"/>
    </xf>
    <xf numFmtId="0" fontId="23" fillId="42" borderId="9"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2" xfId="0" applyFont="1" applyFill="1" applyBorder="1" applyAlignment="1">
      <alignment horizontal="center" vertical="center" wrapText="1"/>
    </xf>
    <xf numFmtId="0" fontId="23" fillId="42" borderId="8" xfId="0" applyFont="1" applyFill="1" applyBorder="1" applyAlignment="1">
      <alignment horizontal="center" vertical="center" wrapText="1"/>
    </xf>
    <xf numFmtId="0" fontId="23" fillId="42" borderId="4" xfId="0" applyFont="1" applyFill="1" applyBorder="1" applyAlignment="1">
      <alignment horizontal="center" vertical="center" wrapText="1"/>
    </xf>
    <xf numFmtId="0" fontId="23" fillId="42" borderId="3" xfId="0" applyFont="1" applyFill="1" applyBorder="1" applyAlignment="1">
      <alignment horizontal="center" vertical="center" wrapText="1"/>
    </xf>
    <xf numFmtId="0" fontId="23" fillId="42" borderId="5" xfId="0" applyFont="1" applyFill="1" applyBorder="1" applyAlignment="1">
      <alignment horizontal="center" vertical="center" wrapText="1"/>
    </xf>
    <xf numFmtId="0" fontId="23" fillId="3" borderId="33" xfId="0" applyFont="1" applyFill="1" applyBorder="1" applyAlignment="1">
      <alignment horizontal="center" wrapText="1"/>
    </xf>
    <xf numFmtId="0" fontId="29" fillId="0" borderId="1" xfId="0" applyFont="1" applyBorder="1" applyAlignment="1">
      <alignment horizontal="right" wrapText="1"/>
    </xf>
    <xf numFmtId="0" fontId="33" fillId="3" borderId="19" xfId="0" applyFont="1" applyFill="1" applyBorder="1" applyAlignment="1">
      <alignment horizontal="center" vertical="center" wrapText="1" readingOrder="1"/>
    </xf>
    <xf numFmtId="0" fontId="33" fillId="3" borderId="21" xfId="0" applyFont="1" applyFill="1" applyBorder="1" applyAlignment="1">
      <alignment horizontal="center" vertical="center" wrapText="1" readingOrder="1"/>
    </xf>
    <xf numFmtId="0" fontId="33" fillId="3" borderId="22" xfId="0" applyFont="1" applyFill="1" applyBorder="1" applyAlignment="1">
      <alignment horizontal="center" vertical="center" wrapText="1" readingOrder="1"/>
    </xf>
    <xf numFmtId="0" fontId="33" fillId="3" borderId="1" xfId="0" applyFont="1" applyFill="1" applyBorder="1" applyAlignment="1">
      <alignment horizontal="center" vertical="center" wrapText="1" readingOrder="1"/>
    </xf>
    <xf numFmtId="0" fontId="30" fillId="40" borderId="27" xfId="0" applyFont="1" applyFill="1" applyBorder="1" applyAlignment="1">
      <alignment horizontal="center" vertical="center" wrapText="1" readingOrder="1"/>
    </xf>
    <xf numFmtId="0" fontId="21" fillId="2" borderId="0" xfId="0" applyFont="1" applyFill="1" applyBorder="1" applyAlignment="1">
      <alignment horizontal="center"/>
    </xf>
    <xf numFmtId="0" fontId="21" fillId="2" borderId="27" xfId="0" applyFont="1" applyFill="1" applyBorder="1" applyAlignment="1">
      <alignment horizontal="center"/>
    </xf>
    <xf numFmtId="0" fontId="29" fillId="0" borderId="27" xfId="0" applyFont="1" applyBorder="1" applyAlignment="1">
      <alignment horizontal="center" wrapText="1"/>
    </xf>
    <xf numFmtId="0" fontId="29" fillId="0" borderId="0" xfId="0" applyFont="1" applyBorder="1" applyAlignment="1">
      <alignment horizontal="center"/>
    </xf>
    <xf numFmtId="0" fontId="43" fillId="0" borderId="0" xfId="0" applyFont="1" applyBorder="1" applyAlignment="1">
      <alignment horizontal="center"/>
    </xf>
    <xf numFmtId="0" fontId="29" fillId="0" borderId="0" xfId="0" applyFont="1" applyBorder="1" applyAlignment="1">
      <alignment horizontal="center" vertical="center" wrapText="1"/>
    </xf>
    <xf numFmtId="0" fontId="43" fillId="0" borderId="0" xfId="0" applyFont="1" applyBorder="1" applyAlignment="1">
      <alignment horizontal="center" wrapText="1"/>
    </xf>
    <xf numFmtId="0" fontId="29" fillId="0" borderId="33" xfId="0" applyFont="1" applyBorder="1" applyAlignment="1">
      <alignment horizontal="center" vertical="center" wrapText="1"/>
    </xf>
    <xf numFmtId="0" fontId="29" fillId="0" borderId="0" xfId="0" applyFont="1" applyBorder="1" applyAlignment="1">
      <alignment horizontal="center" wrapText="1"/>
    </xf>
    <xf numFmtId="0" fontId="29" fillId="0" borderId="33" xfId="0" applyFont="1" applyBorder="1" applyAlignment="1">
      <alignment horizontal="center" wrapText="1"/>
    </xf>
    <xf numFmtId="0" fontId="47" fillId="0" borderId="33" xfId="0" applyFont="1" applyBorder="1" applyAlignment="1">
      <alignment horizontal="center" wrapText="1"/>
    </xf>
    <xf numFmtId="9" fontId="0" fillId="0" borderId="0" xfId="0" applyNumberFormat="1" applyFont="1" applyAlignment="1">
      <alignment horizontal="center" vertical="center" wrapText="1"/>
    </xf>
    <xf numFmtId="0" fontId="0" fillId="0" borderId="0" xfId="0" applyFont="1" applyAlignment="1">
      <alignment horizontal="center" vertical="center" wrapText="1"/>
    </xf>
    <xf numFmtId="0" fontId="33" fillId="42" borderId="3" xfId="0" applyFont="1" applyFill="1" applyBorder="1" applyAlignment="1">
      <alignment horizontal="center" vertical="center" wrapText="1"/>
    </xf>
    <xf numFmtId="0" fontId="21" fillId="0" borderId="5" xfId="0" applyFont="1" applyBorder="1" applyAlignment="1">
      <alignment horizontal="center" vertical="center" wrapText="1"/>
    </xf>
    <xf numFmtId="0" fontId="33" fillId="42" borderId="4" xfId="0" applyFont="1" applyFill="1" applyBorder="1" applyAlignment="1">
      <alignment horizontal="center" vertical="center" wrapText="1"/>
    </xf>
    <xf numFmtId="0" fontId="33" fillId="42" borderId="6" xfId="0" applyFont="1" applyFill="1" applyBorder="1" applyAlignment="1">
      <alignment horizontal="center" vertical="center" wrapText="1"/>
    </xf>
    <xf numFmtId="0" fontId="21" fillId="0" borderId="9" xfId="0" applyFont="1" applyBorder="1" applyAlignment="1">
      <alignment horizontal="right" vertical="center" wrapText="1"/>
    </xf>
    <xf numFmtId="0" fontId="21" fillId="0" borderId="7" xfId="0" applyFont="1" applyBorder="1" applyAlignment="1">
      <alignment horizontal="center" vertical="center" wrapText="1"/>
    </xf>
    <xf numFmtId="0" fontId="33" fillId="42" borderId="8" xfId="0" applyFont="1" applyFill="1" applyBorder="1" applyAlignment="1">
      <alignment horizontal="center" vertical="center" wrapText="1"/>
    </xf>
    <xf numFmtId="0" fontId="21" fillId="0" borderId="4" xfId="0" applyFont="1" applyFill="1" applyBorder="1" applyAlignment="1">
      <alignment horizontal="center" vertical="center" wrapText="1"/>
    </xf>
    <xf numFmtId="0" fontId="21" fillId="0" borderId="5" xfId="0" applyFont="1" applyFill="1" applyBorder="1" applyAlignment="1">
      <alignment horizontal="center" vertical="center" wrapText="1"/>
    </xf>
    <xf numFmtId="168" fontId="21" fillId="0" borderId="9" xfId="0" applyNumberFormat="1" applyFont="1" applyBorder="1"/>
    <xf numFmtId="2" fontId="21" fillId="0" borderId="1" xfId="0" applyNumberFormat="1" applyFont="1" applyBorder="1"/>
    <xf numFmtId="2" fontId="21" fillId="0" borderId="9" xfId="0" applyNumberFormat="1" applyFont="1" applyBorder="1"/>
    <xf numFmtId="0" fontId="52" fillId="0" borderId="9" xfId="0" applyFont="1" applyBorder="1"/>
    <xf numFmtId="43" fontId="21" fillId="0" borderId="9" xfId="0" applyNumberFormat="1" applyFont="1" applyBorder="1"/>
    <xf numFmtId="43" fontId="0" fillId="0" borderId="0" xfId="0" applyNumberFormat="1"/>
    <xf numFmtId="168" fontId="20" fillId="0" borderId="1" xfId="2" applyNumberFormat="1" applyFont="1" applyBorder="1" applyAlignment="1">
      <alignment horizontal="center" vertical="center" wrapText="1"/>
    </xf>
    <xf numFmtId="166" fontId="20" fillId="0" borderId="1" xfId="2" applyNumberFormat="1" applyFont="1" applyBorder="1" applyAlignment="1">
      <alignment horizontal="center" vertical="center" wrapText="1"/>
    </xf>
    <xf numFmtId="166" fontId="29" fillId="42" borderId="1" xfId="2" applyNumberFormat="1" applyFont="1" applyFill="1" applyBorder="1" applyAlignment="1">
      <alignment horizontal="center" vertical="center" wrapText="1"/>
    </xf>
    <xf numFmtId="166" fontId="21" fillId="2" borderId="5" xfId="2" applyNumberFormat="1" applyFont="1" applyFill="1" applyBorder="1"/>
    <xf numFmtId="166" fontId="21" fillId="2" borderId="7" xfId="2" applyNumberFormat="1" applyFont="1" applyFill="1" applyBorder="1"/>
    <xf numFmtId="0" fontId="29" fillId="0" borderId="33" xfId="0" applyFont="1" applyBorder="1" applyAlignment="1">
      <alignment horizontal="center"/>
    </xf>
    <xf numFmtId="0" fontId="21" fillId="0" borderId="33" xfId="0" applyFont="1" applyBorder="1"/>
    <xf numFmtId="0" fontId="29" fillId="0" borderId="2" xfId="0" applyFont="1" applyBorder="1" applyAlignment="1">
      <alignment horizontal="center" vertical="center" wrapText="1"/>
    </xf>
    <xf numFmtId="0" fontId="29" fillId="0" borderId="3" xfId="0" applyFont="1" applyBorder="1" applyAlignment="1">
      <alignment horizontal="center" vertical="center" wrapText="1"/>
    </xf>
    <xf numFmtId="168" fontId="21" fillId="0" borderId="5" xfId="2" applyNumberFormat="1" applyFont="1" applyBorder="1" applyAlignment="1">
      <alignment horizontal="center" vertical="center"/>
    </xf>
    <xf numFmtId="0" fontId="21" fillId="0" borderId="5" xfId="2" applyNumberFormat="1" applyFont="1" applyBorder="1" applyAlignment="1">
      <alignment horizontal="center" vertical="center"/>
    </xf>
    <xf numFmtId="166" fontId="21" fillId="0" borderId="7" xfId="2" applyNumberFormat="1" applyFont="1" applyBorder="1" applyAlignment="1">
      <alignment horizontal="center" vertical="center"/>
    </xf>
    <xf numFmtId="0" fontId="0" fillId="0" borderId="0" xfId="0" applyAlignment="1">
      <alignment horizontal="center" vertical="center"/>
    </xf>
    <xf numFmtId="168" fontId="21" fillId="0" borderId="7" xfId="2" applyNumberFormat="1" applyFont="1" applyBorder="1" applyAlignment="1">
      <alignment horizontal="center" vertical="center"/>
    </xf>
    <xf numFmtId="168" fontId="0" fillId="0" borderId="0" xfId="2" applyNumberFormat="1" applyFont="1" applyAlignment="1">
      <alignment horizontal="center" vertical="center"/>
    </xf>
    <xf numFmtId="168" fontId="21" fillId="0" borderId="0" xfId="2" applyNumberFormat="1" applyFont="1" applyAlignment="1">
      <alignment horizontal="center" vertical="center"/>
    </xf>
    <xf numFmtId="166" fontId="0" fillId="0" borderId="0" xfId="2" applyNumberFormat="1" applyFont="1" applyAlignment="1">
      <alignment horizontal="center" vertical="center"/>
    </xf>
    <xf numFmtId="0" fontId="21" fillId="3" borderId="6" xfId="0" applyFont="1" applyFill="1" applyBorder="1"/>
    <xf numFmtId="166" fontId="29" fillId="3" borderId="9" xfId="0" applyNumberFormat="1" applyFont="1" applyFill="1" applyBorder="1"/>
    <xf numFmtId="166" fontId="29" fillId="3" borderId="7" xfId="0" applyNumberFormat="1" applyFont="1" applyFill="1" applyBorder="1"/>
    <xf numFmtId="1" fontId="21" fillId="0" borderId="33" xfId="0" applyNumberFormat="1" applyFont="1" applyBorder="1"/>
    <xf numFmtId="0" fontId="0" fillId="0" borderId="33" xfId="0" applyBorder="1"/>
  </cellXfs>
  <cellStyles count="48">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2" builtinId="3"/>
    <cellStyle name="Comma 2" xfId="44" xr:uid="{9499E6E4-4910-4A0C-A02A-950FBD404BFB}"/>
    <cellStyle name="Currency" xfId="47"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45" builtinId="8"/>
    <cellStyle name="Input" xfId="11" builtinId="20" customBuiltin="1"/>
    <cellStyle name="Linked Cell" xfId="14" builtinId="24" customBuiltin="1"/>
    <cellStyle name="Neutral" xfId="10" builtinId="28" customBuiltin="1"/>
    <cellStyle name="Normal" xfId="0" builtinId="0"/>
    <cellStyle name="Normal 2 2 2" xfId="46" xr:uid="{FB8CAFA6-22F4-4F8D-8435-335629BDE3EB}"/>
    <cellStyle name="Note" xfId="17" builtinId="10" customBuiltin="1"/>
    <cellStyle name="Output" xfId="12" builtinId="21" customBuiltin="1"/>
    <cellStyle name="Percent" xfId="1" builtinId="5"/>
    <cellStyle name="Title" xfId="3" builtinId="15" customBuiltin="1"/>
    <cellStyle name="Total" xfId="19" builtinId="25" customBuiltin="1"/>
    <cellStyle name="Warning Text" xfId="16" builtinId="11" customBuiltin="1"/>
  </cellStyles>
  <dxfs count="0"/>
  <tableStyles count="0" defaultTableStyle="TableStyleMedium9" defaultPivotStyle="PivotStyleLight16"/>
  <colors>
    <mruColors>
      <color rgb="FF105BD8"/>
      <color rgb="FF061F4A"/>
      <color rgb="FFAEB0B5"/>
      <color rgb="FF0B3D91"/>
      <color rgb="FF212121"/>
      <color rgb="FF323A45"/>
      <color rgb="FF004225"/>
      <color rgb="FFDD36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Current Operational Service Demand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autoTitleDeleted val="0"/>
    <c:plotArea>
      <c:layout/>
      <c:barChart>
        <c:barDir val="col"/>
        <c:grouping val="clustered"/>
        <c:varyColors val="0"/>
        <c:ser>
          <c:idx val="0"/>
          <c:order val="0"/>
          <c:tx>
            <c:strRef>
              <c:f>Current_Cost!$B$23</c:f>
              <c:strCache>
                <c:ptCount val="1"/>
                <c:pt idx="0">
                  <c:v>ADD Direct to Earth (DTE)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Current_Cost!$C$22</c:f>
              <c:strCache>
                <c:ptCount val="1"/>
                <c:pt idx="0">
                  <c:v>Current Operational Demand</c:v>
                </c:pt>
              </c:strCache>
            </c:strRef>
          </c:cat>
          <c:val>
            <c:numRef>
              <c:f>Current_Cost!$C$23</c:f>
              <c:numCache>
                <c:formatCode>_(* #,##0_);_(* \(#,##0\);_(* "-"??_);_(@_)</c:formatCode>
                <c:ptCount val="1"/>
                <c:pt idx="0">
                  <c:v>634476.7416666667</c:v>
                </c:pt>
              </c:numCache>
            </c:numRef>
          </c:val>
          <c:extLst>
            <c:ext xmlns:c16="http://schemas.microsoft.com/office/drawing/2014/chart" uri="{C3380CC4-5D6E-409C-BE32-E72D297353CC}">
              <c16:uniqueId val="{00000000-EC11-461E-B94C-E6BA75972F45}"/>
            </c:ext>
          </c:extLst>
        </c:ser>
        <c:ser>
          <c:idx val="1"/>
          <c:order val="1"/>
          <c:tx>
            <c:strRef>
              <c:f>Current_Cost!$B$24</c:f>
              <c:strCache>
                <c:ptCount val="1"/>
                <c:pt idx="0">
                  <c:v>ADD Space Relay (SR)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Current_Cost!$C$22</c:f>
              <c:strCache>
                <c:ptCount val="1"/>
                <c:pt idx="0">
                  <c:v>Current Operational Demand</c:v>
                </c:pt>
              </c:strCache>
            </c:strRef>
          </c:cat>
          <c:val>
            <c:numRef>
              <c:f>Current_Cost!$C$24</c:f>
              <c:numCache>
                <c:formatCode>_(* #,##0_);_(* \(#,##0\);_(* "-"??_);_(@_)</c:formatCode>
                <c:ptCount val="1"/>
                <c:pt idx="0">
                  <c:v>3581065</c:v>
                </c:pt>
              </c:numCache>
            </c:numRef>
          </c:val>
          <c:extLst>
            <c:ext xmlns:c16="http://schemas.microsoft.com/office/drawing/2014/chart" uri="{C3380CC4-5D6E-409C-BE32-E72D297353CC}">
              <c16:uniqueId val="{00000001-EC11-461E-B94C-E6BA75972F45}"/>
            </c:ext>
          </c:extLst>
        </c:ser>
        <c:ser>
          <c:idx val="2"/>
          <c:order val="2"/>
          <c:tx>
            <c:strRef>
              <c:f>Current_Cost!$B$25</c:f>
              <c:strCache>
                <c:ptCount val="1"/>
                <c:pt idx="0">
                  <c:v>ADD Launch Events (LE)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Current_Cost!$C$22</c:f>
              <c:strCache>
                <c:ptCount val="1"/>
                <c:pt idx="0">
                  <c:v>Current Operational Demand</c:v>
                </c:pt>
              </c:strCache>
            </c:strRef>
          </c:cat>
          <c:val>
            <c:numRef>
              <c:f>Current_Cost!$C$25</c:f>
              <c:numCache>
                <c:formatCode>_(* #,##0_);_(* \(#,##0\);_(* "-"??_);_(@_)</c:formatCode>
                <c:ptCount val="1"/>
                <c:pt idx="0">
                  <c:v>1672</c:v>
                </c:pt>
              </c:numCache>
            </c:numRef>
          </c:val>
          <c:extLst>
            <c:ext xmlns:c16="http://schemas.microsoft.com/office/drawing/2014/chart" uri="{C3380CC4-5D6E-409C-BE32-E72D297353CC}">
              <c16:uniqueId val="{00000002-EC11-461E-B94C-E6BA75972F45}"/>
            </c:ext>
          </c:extLst>
        </c:ser>
        <c:ser>
          <c:idx val="3"/>
          <c:order val="3"/>
          <c:tx>
            <c:strRef>
              <c:f>Current_Cost!$B$26</c:f>
              <c:strCache>
                <c:ptCount val="1"/>
                <c:pt idx="0">
                  <c:v>FDDN Direct to Earth (DTE)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Current_Cost!$C$22</c:f>
              <c:strCache>
                <c:ptCount val="1"/>
                <c:pt idx="0">
                  <c:v>Current Operational Demand</c:v>
                </c:pt>
              </c:strCache>
            </c:strRef>
          </c:cat>
          <c:val>
            <c:numRef>
              <c:f>Current_Cost!$C$26</c:f>
              <c:numCache>
                <c:formatCode>_(* #,##0_);_(* \(#,##0\);_(* "-"??_);_(@_)</c:formatCode>
                <c:ptCount val="1"/>
                <c:pt idx="0">
                  <c:v>634476.7416666667</c:v>
                </c:pt>
              </c:numCache>
            </c:numRef>
          </c:val>
          <c:extLst>
            <c:ext xmlns:c16="http://schemas.microsoft.com/office/drawing/2014/chart" uri="{C3380CC4-5D6E-409C-BE32-E72D297353CC}">
              <c16:uniqueId val="{00000003-EC11-461E-B94C-E6BA75972F45}"/>
            </c:ext>
          </c:extLst>
        </c:ser>
        <c:ser>
          <c:idx val="4"/>
          <c:order val="4"/>
          <c:tx>
            <c:strRef>
              <c:f>Current_Cost!$B$27</c:f>
              <c:strCache>
                <c:ptCount val="1"/>
                <c:pt idx="0">
                  <c:v>FDDN Space Relay (SR)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Current_Cost!$C$22</c:f>
              <c:strCache>
                <c:ptCount val="1"/>
                <c:pt idx="0">
                  <c:v>Current Operational Demand</c:v>
                </c:pt>
              </c:strCache>
            </c:strRef>
          </c:cat>
          <c:val>
            <c:numRef>
              <c:f>Current_Cost!$C$27</c:f>
              <c:numCache>
                <c:formatCode>_(* #,##0_);_(* \(#,##0\);_(* "-"??_);_(@_)</c:formatCode>
                <c:ptCount val="1"/>
                <c:pt idx="0">
                  <c:v>3581065</c:v>
                </c:pt>
              </c:numCache>
            </c:numRef>
          </c:val>
          <c:extLst>
            <c:ext xmlns:c16="http://schemas.microsoft.com/office/drawing/2014/chart" uri="{C3380CC4-5D6E-409C-BE32-E72D297353CC}">
              <c16:uniqueId val="{00000004-EC11-461E-B94C-E6BA75972F45}"/>
            </c:ext>
          </c:extLst>
        </c:ser>
        <c:ser>
          <c:idx val="5"/>
          <c:order val="5"/>
          <c:tx>
            <c:strRef>
              <c:f>Current_Cost!$B$28</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Current_Cost!$C$22</c:f>
              <c:strCache>
                <c:ptCount val="1"/>
                <c:pt idx="0">
                  <c:v>Current Operational Demand</c:v>
                </c:pt>
              </c:strCache>
            </c:strRef>
          </c:cat>
          <c:val>
            <c:numRef>
              <c:f>Current_Cost!$C$28</c:f>
              <c:numCache>
                <c:formatCode>_(* #,##0_);_(* \(#,##0\);_(* "-"??_);_(@_)</c:formatCode>
                <c:ptCount val="1"/>
                <c:pt idx="0">
                  <c:v>8432755.4833333343</c:v>
                </c:pt>
              </c:numCache>
            </c:numRef>
          </c:val>
          <c:extLst>
            <c:ext xmlns:c16="http://schemas.microsoft.com/office/drawing/2014/chart" uri="{C3380CC4-5D6E-409C-BE32-E72D297353CC}">
              <c16:uniqueId val="{00000005-EC11-461E-B94C-E6BA75972F45}"/>
            </c:ext>
          </c:extLst>
        </c:ser>
        <c:dLbls>
          <c:dLblPos val="outEnd"/>
          <c:showLegendKey val="0"/>
          <c:showVal val="1"/>
          <c:showCatName val="0"/>
          <c:showSerName val="0"/>
          <c:showPercent val="0"/>
          <c:showBubbleSize val="0"/>
        </c:dLbls>
        <c:gapWidth val="150"/>
        <c:axId val="1149951456"/>
        <c:axId val="1149952704"/>
      </c:barChart>
      <c:catAx>
        <c:axId val="11499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2704"/>
        <c:crosses val="autoZero"/>
        <c:auto val="1"/>
        <c:lblAlgn val="ctr"/>
        <c:lblOffset val="100"/>
        <c:noMultiLvlLbl val="0"/>
      </c:catAx>
      <c:valAx>
        <c:axId val="114995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Total 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1456"/>
        <c:crosses val="autoZero"/>
        <c:crossBetween val="between"/>
      </c:valAx>
      <c:spPr>
        <a:noFill/>
        <a:ln>
          <a:noFill/>
        </a:ln>
        <a:effectLst/>
      </c:spPr>
    </c:plotArea>
    <c:legend>
      <c:legendPos val="b"/>
      <c:legendEntry>
        <c:idx val="5"/>
        <c:delete val="1"/>
      </c:legendEntry>
      <c:layout>
        <c:manualLayout>
          <c:xMode val="edge"/>
          <c:yMode val="edge"/>
          <c:x val="0"/>
          <c:y val="0.84788992298873722"/>
          <c:w val="1"/>
          <c:h val="0.149455878988385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Helvetica" panose="020B0604020202020204" pitchFamily="34" charset="0"/>
          <a:cs typeface="Helvetica"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Current Operational Service Cost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autoTitleDeleted val="0"/>
    <c:plotArea>
      <c:layout/>
      <c:barChart>
        <c:barDir val="col"/>
        <c:grouping val="clustered"/>
        <c:varyColors val="0"/>
        <c:ser>
          <c:idx val="0"/>
          <c:order val="0"/>
          <c:tx>
            <c:strRef>
              <c:f>Current_Cost!$B$34</c:f>
              <c:strCache>
                <c:ptCount val="1"/>
                <c:pt idx="0">
                  <c:v>ADD Direct to Earth (DTE)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Current_Cost!$C$33</c:f>
              <c:strCache>
                <c:ptCount val="1"/>
                <c:pt idx="0">
                  <c:v>Current Operational Demand</c:v>
                </c:pt>
              </c:strCache>
            </c:strRef>
          </c:cat>
          <c:val>
            <c:numRef>
              <c:f>Current_Cost!$C$34</c:f>
              <c:numCache>
                <c:formatCode>_("$"* #,##0_);_("$"* \(#,##0\);_("$"* "-"??_);_(@_)</c:formatCode>
                <c:ptCount val="1"/>
                <c:pt idx="0">
                  <c:v>36292069.623333335</c:v>
                </c:pt>
              </c:numCache>
            </c:numRef>
          </c:val>
          <c:extLst>
            <c:ext xmlns:c16="http://schemas.microsoft.com/office/drawing/2014/chart" uri="{C3380CC4-5D6E-409C-BE32-E72D297353CC}">
              <c16:uniqueId val="{00000000-1E7C-4535-A0B3-72A9006A6C2E}"/>
            </c:ext>
          </c:extLst>
        </c:ser>
        <c:ser>
          <c:idx val="1"/>
          <c:order val="1"/>
          <c:tx>
            <c:strRef>
              <c:f>Current_Cost!$B$35</c:f>
              <c:strCache>
                <c:ptCount val="1"/>
                <c:pt idx="0">
                  <c:v>ADD Space Relay (SR)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Current_Cost!$C$33</c:f>
              <c:strCache>
                <c:ptCount val="1"/>
                <c:pt idx="0">
                  <c:v>Current Operational Demand</c:v>
                </c:pt>
              </c:strCache>
            </c:strRef>
          </c:cat>
          <c:val>
            <c:numRef>
              <c:f>Current_Cost!$C$35</c:f>
              <c:numCache>
                <c:formatCode>_("$"* #,##0_);_("$"* \(#,##0\);_("$"* "-"??_);_(@_)</c:formatCode>
                <c:ptCount val="1"/>
                <c:pt idx="0">
                  <c:v>171891120</c:v>
                </c:pt>
              </c:numCache>
            </c:numRef>
          </c:val>
          <c:extLst>
            <c:ext xmlns:c16="http://schemas.microsoft.com/office/drawing/2014/chart" uri="{C3380CC4-5D6E-409C-BE32-E72D297353CC}">
              <c16:uniqueId val="{00000001-1E7C-4535-A0B3-72A9006A6C2E}"/>
            </c:ext>
          </c:extLst>
        </c:ser>
        <c:ser>
          <c:idx val="2"/>
          <c:order val="2"/>
          <c:tx>
            <c:strRef>
              <c:f>Current_Cost!$B$36</c:f>
              <c:strCache>
                <c:ptCount val="1"/>
                <c:pt idx="0">
                  <c:v>ADD Launch Events (LE)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Current_Cost!$C$33</c:f>
              <c:strCache>
                <c:ptCount val="1"/>
                <c:pt idx="0">
                  <c:v>Current Operational Demand</c:v>
                </c:pt>
              </c:strCache>
            </c:strRef>
          </c:cat>
          <c:val>
            <c:numRef>
              <c:f>Current_Cost!$C$36</c:f>
              <c:numCache>
                <c:formatCode>_("$"* #,##0_);_("$"* \(#,##0\);_("$"* "-"??_);_(@_)</c:formatCode>
                <c:ptCount val="1"/>
                <c:pt idx="0">
                  <c:v>80256</c:v>
                </c:pt>
              </c:numCache>
            </c:numRef>
          </c:val>
          <c:extLst>
            <c:ext xmlns:c16="http://schemas.microsoft.com/office/drawing/2014/chart" uri="{C3380CC4-5D6E-409C-BE32-E72D297353CC}">
              <c16:uniqueId val="{00000002-1E7C-4535-A0B3-72A9006A6C2E}"/>
            </c:ext>
          </c:extLst>
        </c:ser>
        <c:ser>
          <c:idx val="3"/>
          <c:order val="3"/>
          <c:tx>
            <c:strRef>
              <c:f>Current_Cost!$B$37</c:f>
              <c:strCache>
                <c:ptCount val="1"/>
                <c:pt idx="0">
                  <c:v>FDDN Direct to Earth (DTE)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Current_Cost!$C$33</c:f>
              <c:strCache>
                <c:ptCount val="1"/>
                <c:pt idx="0">
                  <c:v>Current Operational Demand</c:v>
                </c:pt>
              </c:strCache>
            </c:strRef>
          </c:cat>
          <c:val>
            <c:numRef>
              <c:f>Current_Cost!$C$37</c:f>
              <c:numCache>
                <c:formatCode>_("$"* #,##0_);_("$"* \(#,##0\);_("$"* "-"??_);_(@_)</c:formatCode>
                <c:ptCount val="1"/>
                <c:pt idx="0">
                  <c:v>36292069.623333335</c:v>
                </c:pt>
              </c:numCache>
            </c:numRef>
          </c:val>
          <c:extLst>
            <c:ext xmlns:c16="http://schemas.microsoft.com/office/drawing/2014/chart" uri="{C3380CC4-5D6E-409C-BE32-E72D297353CC}">
              <c16:uniqueId val="{00000003-1E7C-4535-A0B3-72A9006A6C2E}"/>
            </c:ext>
          </c:extLst>
        </c:ser>
        <c:ser>
          <c:idx val="4"/>
          <c:order val="4"/>
          <c:tx>
            <c:strRef>
              <c:f>Current_Cost!$B$38</c:f>
              <c:strCache>
                <c:ptCount val="1"/>
                <c:pt idx="0">
                  <c:v>FDDN Space Relay (SR)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Current_Cost!$C$33</c:f>
              <c:strCache>
                <c:ptCount val="1"/>
                <c:pt idx="0">
                  <c:v>Current Operational Demand</c:v>
                </c:pt>
              </c:strCache>
            </c:strRef>
          </c:cat>
          <c:val>
            <c:numRef>
              <c:f>Current_Cost!$C$38</c:f>
              <c:numCache>
                <c:formatCode>_("$"* #,##0_);_("$"* \(#,##0\);_("$"* "-"??_);_(@_)</c:formatCode>
                <c:ptCount val="1"/>
                <c:pt idx="0">
                  <c:v>171891120</c:v>
                </c:pt>
              </c:numCache>
            </c:numRef>
          </c:val>
          <c:extLst>
            <c:ext xmlns:c16="http://schemas.microsoft.com/office/drawing/2014/chart" uri="{C3380CC4-5D6E-409C-BE32-E72D297353CC}">
              <c16:uniqueId val="{00000004-1E7C-4535-A0B3-72A9006A6C2E}"/>
            </c:ext>
          </c:extLst>
        </c:ser>
        <c:ser>
          <c:idx val="5"/>
          <c:order val="5"/>
          <c:tx>
            <c:strRef>
              <c:f>Current_Cost!$B$39</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Current_Cost!$C$33</c:f>
              <c:strCache>
                <c:ptCount val="1"/>
                <c:pt idx="0">
                  <c:v>Current Operational Demand</c:v>
                </c:pt>
              </c:strCache>
            </c:strRef>
          </c:cat>
          <c:val>
            <c:numRef>
              <c:f>Current_Cost!$C$39</c:f>
              <c:numCache>
                <c:formatCode>_("$"* #,##0_);_("$"* \(#,##0\);_("$"* "-"??_);_(@_)</c:formatCode>
                <c:ptCount val="1"/>
                <c:pt idx="0">
                  <c:v>416446635.24666667</c:v>
                </c:pt>
              </c:numCache>
            </c:numRef>
          </c:val>
          <c:extLst>
            <c:ext xmlns:c16="http://schemas.microsoft.com/office/drawing/2014/chart" uri="{C3380CC4-5D6E-409C-BE32-E72D297353CC}">
              <c16:uniqueId val="{00000005-1E7C-4535-A0B3-72A9006A6C2E}"/>
            </c:ext>
          </c:extLst>
        </c:ser>
        <c:dLbls>
          <c:dLblPos val="outEnd"/>
          <c:showLegendKey val="0"/>
          <c:showVal val="1"/>
          <c:showCatName val="0"/>
          <c:showSerName val="0"/>
          <c:showPercent val="0"/>
          <c:showBubbleSize val="0"/>
        </c:dLbls>
        <c:gapWidth val="150"/>
        <c:axId val="1149951456"/>
        <c:axId val="1149952704"/>
      </c:barChart>
      <c:catAx>
        <c:axId val="11499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2704"/>
        <c:crosses val="autoZero"/>
        <c:auto val="1"/>
        <c:lblAlgn val="ctr"/>
        <c:lblOffset val="100"/>
        <c:noMultiLvlLbl val="0"/>
      </c:catAx>
      <c:valAx>
        <c:axId val="114995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Cost (US$)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1456"/>
        <c:crosses val="autoZero"/>
        <c:crossBetween val="between"/>
      </c:valAx>
      <c:spPr>
        <a:noFill/>
        <a:ln>
          <a:noFill/>
        </a:ln>
        <a:effectLst/>
      </c:spPr>
    </c:plotArea>
    <c:legend>
      <c:legendPos val="b"/>
      <c:legendEntry>
        <c:idx val="5"/>
        <c:delete val="1"/>
      </c:legendEntry>
      <c:layout>
        <c:manualLayout>
          <c:xMode val="edge"/>
          <c:yMode val="edge"/>
          <c:x val="1.7193838324036702E-3"/>
          <c:y val="0.84827031613359571"/>
          <c:w val="0.99323009539060281"/>
          <c:h val="0.133329143069089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Helvetica" panose="020B0604020202020204" pitchFamily="34" charset="0"/>
          <a:cs typeface="Helvetica"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Future Annual Service Demand (in Minutes)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autoTitleDeleted val="0"/>
    <c:plotArea>
      <c:layout/>
      <c:barChart>
        <c:barDir val="col"/>
        <c:grouping val="stacked"/>
        <c:varyColors val="0"/>
        <c:ser>
          <c:idx val="0"/>
          <c:order val="0"/>
          <c:tx>
            <c:strRef>
              <c:f>Future_Cost!$B$25</c:f>
              <c:strCache>
                <c:ptCount val="1"/>
                <c:pt idx="0">
                  <c:v>ADD Direct to Earth (DTE)</c:v>
                </c:pt>
              </c:strCache>
            </c:strRef>
          </c:tx>
          <c:spPr>
            <a:solidFill>
              <a:schemeClr val="accent1"/>
            </a:solidFill>
            <a:ln>
              <a:noFill/>
            </a:ln>
            <a:effectLst/>
          </c:spPr>
          <c:invertIfNegative val="0"/>
          <c:cat>
            <c:strRef>
              <c:f>Future_Cost!$C$24:$E$24</c:f>
              <c:strCache>
                <c:ptCount val="3"/>
                <c:pt idx="0">
                  <c:v>Low</c:v>
                </c:pt>
                <c:pt idx="1">
                  <c:v>Baseline</c:v>
                </c:pt>
                <c:pt idx="2">
                  <c:v>High</c:v>
                </c:pt>
              </c:strCache>
            </c:strRef>
          </c:cat>
          <c:val>
            <c:numRef>
              <c:f>Future_Cost!$C$25:$E$25</c:f>
              <c:numCache>
                <c:formatCode>_(* #,##0_);_(* \(#,##0\);_(* "-"??_);_(@_)</c:formatCode>
                <c:ptCount val="3"/>
                <c:pt idx="0">
                  <c:v>24034347.583333332</c:v>
                </c:pt>
                <c:pt idx="1">
                  <c:v>32632388.733333334</c:v>
                </c:pt>
                <c:pt idx="2">
                  <c:v>41889849.066666663</c:v>
                </c:pt>
              </c:numCache>
            </c:numRef>
          </c:val>
          <c:extLst>
            <c:ext xmlns:c16="http://schemas.microsoft.com/office/drawing/2014/chart" uri="{C3380CC4-5D6E-409C-BE32-E72D297353CC}">
              <c16:uniqueId val="{00000000-6360-4514-AF59-F0B339654A77}"/>
            </c:ext>
          </c:extLst>
        </c:ser>
        <c:ser>
          <c:idx val="1"/>
          <c:order val="1"/>
          <c:tx>
            <c:strRef>
              <c:f>Future_Cost!$B$26</c:f>
              <c:strCache>
                <c:ptCount val="1"/>
                <c:pt idx="0">
                  <c:v>ADD Space Relay (SR)</c:v>
                </c:pt>
              </c:strCache>
            </c:strRef>
          </c:tx>
          <c:spPr>
            <a:solidFill>
              <a:schemeClr val="accent2"/>
            </a:solidFill>
            <a:ln>
              <a:noFill/>
            </a:ln>
            <a:effectLst/>
          </c:spPr>
          <c:invertIfNegative val="0"/>
          <c:cat>
            <c:strRef>
              <c:f>Future_Cost!$C$24:$E$24</c:f>
              <c:strCache>
                <c:ptCount val="3"/>
                <c:pt idx="0">
                  <c:v>Low</c:v>
                </c:pt>
                <c:pt idx="1">
                  <c:v>Baseline</c:v>
                </c:pt>
                <c:pt idx="2">
                  <c:v>High</c:v>
                </c:pt>
              </c:strCache>
            </c:strRef>
          </c:cat>
          <c:val>
            <c:numRef>
              <c:f>Future_Cost!$C$26:$E$26</c:f>
              <c:numCache>
                <c:formatCode>_(* #,##0_);_(* \(#,##0\);_(* "-"??_);_(@_)</c:formatCode>
                <c:ptCount val="3"/>
                <c:pt idx="0">
                  <c:v>118449268</c:v>
                </c:pt>
                <c:pt idx="1">
                  <c:v>161685103</c:v>
                </c:pt>
                <c:pt idx="2">
                  <c:v>204932470</c:v>
                </c:pt>
              </c:numCache>
            </c:numRef>
          </c:val>
          <c:extLst>
            <c:ext xmlns:c16="http://schemas.microsoft.com/office/drawing/2014/chart" uri="{C3380CC4-5D6E-409C-BE32-E72D297353CC}">
              <c16:uniqueId val="{00000001-6360-4514-AF59-F0B339654A77}"/>
            </c:ext>
          </c:extLst>
        </c:ser>
        <c:ser>
          <c:idx val="2"/>
          <c:order val="2"/>
          <c:tx>
            <c:strRef>
              <c:f>Future_Cost!$B$27</c:f>
              <c:strCache>
                <c:ptCount val="1"/>
                <c:pt idx="0">
                  <c:v>ADD Launch Events (LE)</c:v>
                </c:pt>
              </c:strCache>
            </c:strRef>
          </c:tx>
          <c:spPr>
            <a:solidFill>
              <a:schemeClr val="accent3"/>
            </a:solidFill>
            <a:ln>
              <a:noFill/>
            </a:ln>
            <a:effectLst/>
          </c:spPr>
          <c:invertIfNegative val="0"/>
          <c:cat>
            <c:strRef>
              <c:f>Future_Cost!$C$24:$E$24</c:f>
              <c:strCache>
                <c:ptCount val="3"/>
                <c:pt idx="0">
                  <c:v>Low</c:v>
                </c:pt>
                <c:pt idx="1">
                  <c:v>Baseline</c:v>
                </c:pt>
                <c:pt idx="2">
                  <c:v>High</c:v>
                </c:pt>
              </c:strCache>
            </c:strRef>
          </c:cat>
          <c:val>
            <c:numRef>
              <c:f>Future_Cost!$C$27:$E$27</c:f>
              <c:numCache>
                <c:formatCode>_(* #,##0_);_(* \(#,##0\);_(* "-"??_);_(@_)</c:formatCode>
                <c:ptCount val="3"/>
                <c:pt idx="0">
                  <c:v>2138947.4626865671</c:v>
                </c:pt>
                <c:pt idx="1">
                  <c:v>3422315.9402985075</c:v>
                </c:pt>
                <c:pt idx="2">
                  <c:v>4812631.7910447763</c:v>
                </c:pt>
              </c:numCache>
            </c:numRef>
          </c:val>
          <c:extLst>
            <c:ext xmlns:c16="http://schemas.microsoft.com/office/drawing/2014/chart" uri="{C3380CC4-5D6E-409C-BE32-E72D297353CC}">
              <c16:uniqueId val="{00000002-6360-4514-AF59-F0B339654A77}"/>
            </c:ext>
          </c:extLst>
        </c:ser>
        <c:ser>
          <c:idx val="3"/>
          <c:order val="3"/>
          <c:tx>
            <c:strRef>
              <c:f>Future_Cost!$B$28</c:f>
              <c:strCache>
                <c:ptCount val="1"/>
                <c:pt idx="0">
                  <c:v>FDDN Direct to Earth (DTE)</c:v>
                </c:pt>
              </c:strCache>
            </c:strRef>
          </c:tx>
          <c:spPr>
            <a:solidFill>
              <a:schemeClr val="accent4"/>
            </a:solidFill>
            <a:ln>
              <a:noFill/>
            </a:ln>
            <a:effectLst/>
          </c:spPr>
          <c:invertIfNegative val="0"/>
          <c:cat>
            <c:strRef>
              <c:f>Future_Cost!$C$24:$E$24</c:f>
              <c:strCache>
                <c:ptCount val="3"/>
                <c:pt idx="0">
                  <c:v>Low</c:v>
                </c:pt>
                <c:pt idx="1">
                  <c:v>Baseline</c:v>
                </c:pt>
                <c:pt idx="2">
                  <c:v>High</c:v>
                </c:pt>
              </c:strCache>
            </c:strRef>
          </c:cat>
          <c:val>
            <c:numRef>
              <c:f>Future_Cost!$C$28:$E$28</c:f>
              <c:numCache>
                <c:formatCode>_(* #,##0_);_(* \(#,##0\);_(* "-"??_);_(@_)</c:formatCode>
                <c:ptCount val="3"/>
                <c:pt idx="0">
                  <c:v>939965.54320987663</c:v>
                </c:pt>
                <c:pt idx="1">
                  <c:v>1362950.0376543212</c:v>
                </c:pt>
                <c:pt idx="2">
                  <c:v>1785934.5320987657</c:v>
                </c:pt>
              </c:numCache>
            </c:numRef>
          </c:val>
          <c:extLst>
            <c:ext xmlns:c16="http://schemas.microsoft.com/office/drawing/2014/chart" uri="{C3380CC4-5D6E-409C-BE32-E72D297353CC}">
              <c16:uniqueId val="{00000003-6360-4514-AF59-F0B339654A77}"/>
            </c:ext>
          </c:extLst>
        </c:ser>
        <c:ser>
          <c:idx val="4"/>
          <c:order val="4"/>
          <c:tx>
            <c:strRef>
              <c:f>Future_Cost!$B$29</c:f>
              <c:strCache>
                <c:ptCount val="1"/>
                <c:pt idx="0">
                  <c:v>FDDN Space Relay (SR)</c:v>
                </c:pt>
              </c:strCache>
            </c:strRef>
          </c:tx>
          <c:spPr>
            <a:solidFill>
              <a:schemeClr val="accent5"/>
            </a:solidFill>
            <a:ln>
              <a:noFill/>
            </a:ln>
            <a:effectLst/>
          </c:spPr>
          <c:invertIfNegative val="0"/>
          <c:cat>
            <c:strRef>
              <c:f>Future_Cost!$C$24:$E$24</c:f>
              <c:strCache>
                <c:ptCount val="3"/>
                <c:pt idx="0">
                  <c:v>Low</c:v>
                </c:pt>
                <c:pt idx="1">
                  <c:v>Baseline</c:v>
                </c:pt>
                <c:pt idx="2">
                  <c:v>High</c:v>
                </c:pt>
              </c:strCache>
            </c:strRef>
          </c:cat>
          <c:val>
            <c:numRef>
              <c:f>Future_Cost!$C$29:$E$29</c:f>
              <c:numCache>
                <c:formatCode>_(* #,##0_);_(* \(#,##0\);_(* "-"??_);_(@_)</c:formatCode>
                <c:ptCount val="3"/>
                <c:pt idx="0">
                  <c:v>1127958.651851852</c:v>
                </c:pt>
                <c:pt idx="1">
                  <c:v>1621440.562037037</c:v>
                </c:pt>
                <c:pt idx="2">
                  <c:v>2138421.6108024688</c:v>
                </c:pt>
              </c:numCache>
            </c:numRef>
          </c:val>
          <c:extLst>
            <c:ext xmlns:c16="http://schemas.microsoft.com/office/drawing/2014/chart" uri="{C3380CC4-5D6E-409C-BE32-E72D297353CC}">
              <c16:uniqueId val="{00000004-6360-4514-AF59-F0B339654A77}"/>
            </c:ext>
          </c:extLst>
        </c:ser>
        <c:dLbls>
          <c:showLegendKey val="0"/>
          <c:showVal val="0"/>
          <c:showCatName val="0"/>
          <c:showSerName val="0"/>
          <c:showPercent val="0"/>
          <c:showBubbleSize val="0"/>
        </c:dLbls>
        <c:gapWidth val="150"/>
        <c:overlap val="100"/>
        <c:axId val="1149951456"/>
        <c:axId val="1149952704"/>
      </c:barChart>
      <c:lineChart>
        <c:grouping val="standard"/>
        <c:varyColors val="0"/>
        <c:ser>
          <c:idx val="5"/>
          <c:order val="5"/>
          <c:tx>
            <c:strRef>
              <c:f>Future_Cost!$B$30</c:f>
              <c:strCache>
                <c:ptCount val="1"/>
                <c:pt idx="0">
                  <c:v>Total</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Future_Cost!$C$24:$E$24</c:f>
              <c:strCache>
                <c:ptCount val="3"/>
                <c:pt idx="0">
                  <c:v>Low</c:v>
                </c:pt>
                <c:pt idx="1">
                  <c:v>Baseline</c:v>
                </c:pt>
                <c:pt idx="2">
                  <c:v>High</c:v>
                </c:pt>
              </c:strCache>
            </c:strRef>
          </c:cat>
          <c:val>
            <c:numRef>
              <c:f>Future_Cost!$C$30:$E$30</c:f>
              <c:numCache>
                <c:formatCode>_(* #,##0_);_(* \(#,##0\);_(* "-"??_);_(@_)</c:formatCode>
                <c:ptCount val="3"/>
                <c:pt idx="0">
                  <c:v>146690487.24108166</c:v>
                </c:pt>
                <c:pt idx="1">
                  <c:v>200724198.27332321</c:v>
                </c:pt>
                <c:pt idx="2">
                  <c:v>255559307.00061268</c:v>
                </c:pt>
              </c:numCache>
            </c:numRef>
          </c:val>
          <c:smooth val="0"/>
          <c:extLst>
            <c:ext xmlns:c16="http://schemas.microsoft.com/office/drawing/2014/chart" uri="{C3380CC4-5D6E-409C-BE32-E72D297353CC}">
              <c16:uniqueId val="{00000001-E2EF-4EED-91D0-8D11F3FC03D5}"/>
            </c:ext>
          </c:extLst>
        </c:ser>
        <c:dLbls>
          <c:showLegendKey val="0"/>
          <c:showVal val="0"/>
          <c:showCatName val="0"/>
          <c:showSerName val="0"/>
          <c:showPercent val="0"/>
          <c:showBubbleSize val="0"/>
        </c:dLbls>
        <c:marker val="1"/>
        <c:smooth val="0"/>
        <c:axId val="1149951456"/>
        <c:axId val="1149952704"/>
      </c:lineChart>
      <c:catAx>
        <c:axId val="11499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2704"/>
        <c:crosses val="autoZero"/>
        <c:auto val="1"/>
        <c:lblAlgn val="ctr"/>
        <c:lblOffset val="100"/>
        <c:noMultiLvlLbl val="0"/>
      </c:catAx>
      <c:valAx>
        <c:axId val="114995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Demand (Minutes)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1456"/>
        <c:crosses val="autoZero"/>
        <c:crossBetween val="between"/>
      </c:valAx>
      <c:spPr>
        <a:noFill/>
        <a:ln>
          <a:noFill/>
        </a:ln>
        <a:effectLst/>
      </c:spPr>
    </c:plotArea>
    <c:legend>
      <c:legendPos val="b"/>
      <c:legendEntry>
        <c:idx val="5"/>
        <c:delete val="1"/>
      </c:legendEntry>
      <c:layout>
        <c:manualLayout>
          <c:xMode val="edge"/>
          <c:yMode val="edge"/>
          <c:x val="0"/>
          <c:y val="0.84788992298873722"/>
          <c:w val="0.99880752642509341"/>
          <c:h val="0.152110419727335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Helvetica" panose="020B0604020202020204" pitchFamily="34" charset="0"/>
          <a:cs typeface="Helvetica"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Future Annual Service Cost (in $US)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autoTitleDeleted val="0"/>
    <c:plotArea>
      <c:layout/>
      <c:barChart>
        <c:barDir val="col"/>
        <c:grouping val="stacked"/>
        <c:varyColors val="0"/>
        <c:ser>
          <c:idx val="0"/>
          <c:order val="0"/>
          <c:tx>
            <c:strRef>
              <c:f>Future_Cost!$H$25</c:f>
              <c:strCache>
                <c:ptCount val="1"/>
                <c:pt idx="0">
                  <c:v>ADD Direct to Earth (DTE)</c:v>
                </c:pt>
              </c:strCache>
            </c:strRef>
          </c:tx>
          <c:spPr>
            <a:solidFill>
              <a:schemeClr val="accent1"/>
            </a:solidFill>
            <a:ln>
              <a:noFill/>
            </a:ln>
            <a:effectLst/>
          </c:spPr>
          <c:invertIfNegative val="0"/>
          <c:cat>
            <c:strRef>
              <c:f>Future_Cost!$I$24:$K$24</c:f>
              <c:strCache>
                <c:ptCount val="3"/>
                <c:pt idx="0">
                  <c:v>Low</c:v>
                </c:pt>
                <c:pt idx="1">
                  <c:v>Baseline</c:v>
                </c:pt>
                <c:pt idx="2">
                  <c:v>High</c:v>
                </c:pt>
              </c:strCache>
            </c:strRef>
          </c:cat>
          <c:val>
            <c:numRef>
              <c:f>Future_Cost!$I$25:$K$25</c:f>
              <c:numCache>
                <c:formatCode>_(* #,##0_);_(* \(#,##0\);_(* "-"??_);_(@_)</c:formatCode>
                <c:ptCount val="3"/>
                <c:pt idx="0">
                  <c:v>0</c:v>
                </c:pt>
                <c:pt idx="1">
                  <c:v>0</c:v>
                </c:pt>
                <c:pt idx="2">
                  <c:v>0</c:v>
                </c:pt>
              </c:numCache>
            </c:numRef>
          </c:val>
          <c:extLst>
            <c:ext xmlns:c16="http://schemas.microsoft.com/office/drawing/2014/chart" uri="{C3380CC4-5D6E-409C-BE32-E72D297353CC}">
              <c16:uniqueId val="{00000000-6360-4514-AF59-F0B339654A77}"/>
            </c:ext>
          </c:extLst>
        </c:ser>
        <c:ser>
          <c:idx val="1"/>
          <c:order val="1"/>
          <c:tx>
            <c:strRef>
              <c:f>Future_Cost!$H$26</c:f>
              <c:strCache>
                <c:ptCount val="1"/>
                <c:pt idx="0">
                  <c:v>ADD Space Relay (SR)</c:v>
                </c:pt>
              </c:strCache>
            </c:strRef>
          </c:tx>
          <c:spPr>
            <a:solidFill>
              <a:schemeClr val="accent2"/>
            </a:solidFill>
            <a:ln>
              <a:noFill/>
            </a:ln>
            <a:effectLst/>
          </c:spPr>
          <c:invertIfNegative val="0"/>
          <c:cat>
            <c:strRef>
              <c:f>Future_Cost!$I$24:$K$24</c:f>
              <c:strCache>
                <c:ptCount val="3"/>
                <c:pt idx="0">
                  <c:v>Low</c:v>
                </c:pt>
                <c:pt idx="1">
                  <c:v>Baseline</c:v>
                </c:pt>
                <c:pt idx="2">
                  <c:v>High</c:v>
                </c:pt>
              </c:strCache>
            </c:strRef>
          </c:cat>
          <c:val>
            <c:numRef>
              <c:f>Future_Cost!$I$26:$K$26</c:f>
              <c:numCache>
                <c:formatCode>_(* #,##0_);_(* \(#,##0\);_(* "-"??_);_(@_)</c:formatCode>
                <c:ptCount val="3"/>
                <c:pt idx="0">
                  <c:v>10778883388</c:v>
                </c:pt>
                <c:pt idx="1">
                  <c:v>14713344373</c:v>
                </c:pt>
                <c:pt idx="2">
                  <c:v>18648854770</c:v>
                </c:pt>
              </c:numCache>
            </c:numRef>
          </c:val>
          <c:extLst>
            <c:ext xmlns:c16="http://schemas.microsoft.com/office/drawing/2014/chart" uri="{C3380CC4-5D6E-409C-BE32-E72D297353CC}">
              <c16:uniqueId val="{00000001-6360-4514-AF59-F0B339654A77}"/>
            </c:ext>
          </c:extLst>
        </c:ser>
        <c:ser>
          <c:idx val="2"/>
          <c:order val="2"/>
          <c:tx>
            <c:strRef>
              <c:f>Future_Cost!$H$27</c:f>
              <c:strCache>
                <c:ptCount val="1"/>
                <c:pt idx="0">
                  <c:v>ADD Launch Events (LE)</c:v>
                </c:pt>
              </c:strCache>
            </c:strRef>
          </c:tx>
          <c:spPr>
            <a:solidFill>
              <a:schemeClr val="accent3"/>
            </a:solidFill>
            <a:ln>
              <a:noFill/>
            </a:ln>
            <a:effectLst/>
          </c:spPr>
          <c:invertIfNegative val="0"/>
          <c:cat>
            <c:strRef>
              <c:f>Future_Cost!$I$24:$K$24</c:f>
              <c:strCache>
                <c:ptCount val="3"/>
                <c:pt idx="0">
                  <c:v>Low</c:v>
                </c:pt>
                <c:pt idx="1">
                  <c:v>Baseline</c:v>
                </c:pt>
                <c:pt idx="2">
                  <c:v>High</c:v>
                </c:pt>
              </c:strCache>
            </c:strRef>
          </c:cat>
          <c:val>
            <c:numRef>
              <c:f>Future_Cost!$I$27:$K$27</c:f>
              <c:numCache>
                <c:formatCode>_(* #,##0_);_(* \(#,##0\);_(* "-"??_);_(@_)</c:formatCode>
                <c:ptCount val="3"/>
                <c:pt idx="0">
                  <c:v>194644219.10447761</c:v>
                </c:pt>
                <c:pt idx="1">
                  <c:v>311430750.56716418</c:v>
                </c:pt>
                <c:pt idx="2">
                  <c:v>437949492.98507464</c:v>
                </c:pt>
              </c:numCache>
            </c:numRef>
          </c:val>
          <c:extLst>
            <c:ext xmlns:c16="http://schemas.microsoft.com/office/drawing/2014/chart" uri="{C3380CC4-5D6E-409C-BE32-E72D297353CC}">
              <c16:uniqueId val="{00000002-6360-4514-AF59-F0B339654A77}"/>
            </c:ext>
          </c:extLst>
        </c:ser>
        <c:ser>
          <c:idx val="3"/>
          <c:order val="3"/>
          <c:tx>
            <c:strRef>
              <c:f>Future_Cost!$H$28</c:f>
              <c:strCache>
                <c:ptCount val="1"/>
                <c:pt idx="0">
                  <c:v>FDDN Direct to Earth (DTE)</c:v>
                </c:pt>
              </c:strCache>
            </c:strRef>
          </c:tx>
          <c:spPr>
            <a:solidFill>
              <a:schemeClr val="accent4"/>
            </a:solidFill>
            <a:ln>
              <a:noFill/>
            </a:ln>
            <a:effectLst/>
          </c:spPr>
          <c:invertIfNegative val="0"/>
          <c:cat>
            <c:strRef>
              <c:f>Future_Cost!$I$24:$K$24</c:f>
              <c:strCache>
                <c:ptCount val="3"/>
                <c:pt idx="0">
                  <c:v>Low</c:v>
                </c:pt>
                <c:pt idx="1">
                  <c:v>Baseline</c:v>
                </c:pt>
                <c:pt idx="2">
                  <c:v>High</c:v>
                </c:pt>
              </c:strCache>
            </c:strRef>
          </c:cat>
          <c:val>
            <c:numRef>
              <c:f>Future_Cost!$I$28:$K$28</c:f>
              <c:numCache>
                <c:formatCode>_(* #,##0_);_(* \(#,##0\);_(* "-"??_);_(@_)</c:formatCode>
                <c:ptCount val="3"/>
                <c:pt idx="0">
                  <c:v>0</c:v>
                </c:pt>
                <c:pt idx="1">
                  <c:v>0</c:v>
                </c:pt>
                <c:pt idx="2">
                  <c:v>0</c:v>
                </c:pt>
              </c:numCache>
            </c:numRef>
          </c:val>
          <c:extLst>
            <c:ext xmlns:c16="http://schemas.microsoft.com/office/drawing/2014/chart" uri="{C3380CC4-5D6E-409C-BE32-E72D297353CC}">
              <c16:uniqueId val="{00000003-6360-4514-AF59-F0B339654A77}"/>
            </c:ext>
          </c:extLst>
        </c:ser>
        <c:ser>
          <c:idx val="4"/>
          <c:order val="4"/>
          <c:tx>
            <c:strRef>
              <c:f>Future_Cost!$H$29</c:f>
              <c:strCache>
                <c:ptCount val="1"/>
                <c:pt idx="0">
                  <c:v>FDDN Space Relay (SR)</c:v>
                </c:pt>
              </c:strCache>
            </c:strRef>
          </c:tx>
          <c:spPr>
            <a:solidFill>
              <a:schemeClr val="accent5"/>
            </a:solidFill>
            <a:ln>
              <a:noFill/>
            </a:ln>
            <a:effectLst/>
          </c:spPr>
          <c:invertIfNegative val="0"/>
          <c:cat>
            <c:strRef>
              <c:f>Future_Cost!$I$24:$K$24</c:f>
              <c:strCache>
                <c:ptCount val="3"/>
                <c:pt idx="0">
                  <c:v>Low</c:v>
                </c:pt>
                <c:pt idx="1">
                  <c:v>Baseline</c:v>
                </c:pt>
                <c:pt idx="2">
                  <c:v>High</c:v>
                </c:pt>
              </c:strCache>
            </c:strRef>
          </c:cat>
          <c:val>
            <c:numRef>
              <c:f>Future_Cost!$I$29:$K$29</c:f>
              <c:numCache>
                <c:formatCode>_(* #,##0_);_(* \(#,##0\);_(* "-"??_);_(@_)</c:formatCode>
                <c:ptCount val="3"/>
                <c:pt idx="0">
                  <c:v>102644237.31851853</c:v>
                </c:pt>
                <c:pt idx="1">
                  <c:v>147551091.14537036</c:v>
                </c:pt>
                <c:pt idx="2">
                  <c:v>194596366.58302474</c:v>
                </c:pt>
              </c:numCache>
            </c:numRef>
          </c:val>
          <c:extLst>
            <c:ext xmlns:c16="http://schemas.microsoft.com/office/drawing/2014/chart" uri="{C3380CC4-5D6E-409C-BE32-E72D297353CC}">
              <c16:uniqueId val="{00000004-6360-4514-AF59-F0B339654A77}"/>
            </c:ext>
          </c:extLst>
        </c:ser>
        <c:dLbls>
          <c:showLegendKey val="0"/>
          <c:showVal val="0"/>
          <c:showCatName val="0"/>
          <c:showSerName val="0"/>
          <c:showPercent val="0"/>
          <c:showBubbleSize val="0"/>
        </c:dLbls>
        <c:gapWidth val="150"/>
        <c:overlap val="100"/>
        <c:axId val="1149951456"/>
        <c:axId val="1149952704"/>
      </c:barChart>
      <c:lineChart>
        <c:grouping val="standard"/>
        <c:varyColors val="0"/>
        <c:ser>
          <c:idx val="5"/>
          <c:order val="5"/>
          <c:tx>
            <c:strRef>
              <c:f>Future_Cost!$H$30</c:f>
              <c:strCache>
                <c:ptCount val="1"/>
                <c:pt idx="0">
                  <c:v>Total</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Future_Cost!$I$24:$K$24</c:f>
              <c:strCache>
                <c:ptCount val="3"/>
                <c:pt idx="0">
                  <c:v>Low</c:v>
                </c:pt>
                <c:pt idx="1">
                  <c:v>Baseline</c:v>
                </c:pt>
                <c:pt idx="2">
                  <c:v>High</c:v>
                </c:pt>
              </c:strCache>
            </c:strRef>
          </c:cat>
          <c:val>
            <c:numRef>
              <c:f>Future_Cost!$I$30:$K$30</c:f>
              <c:numCache>
                <c:formatCode>_(* #,##0_);_(* \(#,##0\);_(* "-"??_);_(@_)</c:formatCode>
                <c:ptCount val="3"/>
                <c:pt idx="0">
                  <c:v>11076171844.422995</c:v>
                </c:pt>
                <c:pt idx="1">
                  <c:v>15172326214.712534</c:v>
                </c:pt>
                <c:pt idx="2">
                  <c:v>19281400629.568096</c:v>
                </c:pt>
              </c:numCache>
            </c:numRef>
          </c:val>
          <c:smooth val="0"/>
          <c:extLst>
            <c:ext xmlns:c16="http://schemas.microsoft.com/office/drawing/2014/chart" uri="{C3380CC4-5D6E-409C-BE32-E72D297353CC}">
              <c16:uniqueId val="{00000001-E2EF-4EED-91D0-8D11F3FC03D5}"/>
            </c:ext>
          </c:extLst>
        </c:ser>
        <c:dLbls>
          <c:showLegendKey val="0"/>
          <c:showVal val="0"/>
          <c:showCatName val="0"/>
          <c:showSerName val="0"/>
          <c:showPercent val="0"/>
          <c:showBubbleSize val="0"/>
        </c:dLbls>
        <c:marker val="1"/>
        <c:smooth val="0"/>
        <c:axId val="1149951456"/>
        <c:axId val="1149952704"/>
      </c:lineChart>
      <c:catAx>
        <c:axId val="11499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2704"/>
        <c:crosses val="autoZero"/>
        <c:auto val="1"/>
        <c:lblAlgn val="ctr"/>
        <c:lblOffset val="100"/>
        <c:noMultiLvlLbl val="0"/>
      </c:catAx>
      <c:valAx>
        <c:axId val="114995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Cost ($US)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1456"/>
        <c:crosses val="autoZero"/>
        <c:crossBetween val="between"/>
      </c:valAx>
      <c:spPr>
        <a:noFill/>
        <a:ln>
          <a:noFill/>
        </a:ln>
        <a:effectLst/>
      </c:spPr>
    </c:plotArea>
    <c:legend>
      <c:legendPos val="b"/>
      <c:legendEntry>
        <c:idx val="5"/>
        <c:delete val="1"/>
      </c:legendEntry>
      <c:layout>
        <c:manualLayout>
          <c:xMode val="edge"/>
          <c:yMode val="edge"/>
          <c:x val="0"/>
          <c:y val="0.84788992298873722"/>
          <c:w val="0.99880752642509341"/>
          <c:h val="0.152110419727335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Helvetica" panose="020B0604020202020204" pitchFamily="34" charset="0"/>
          <a:cs typeface="Helvetica" panose="020B06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lifespans_all!$B$61</c:f>
              <c:strCache>
                <c:ptCount val="1"/>
                <c:pt idx="0">
                  <c:v>Human Space Flight</c:v>
                </c:pt>
              </c:strCache>
            </c:strRef>
          </c:tx>
          <c:spPr>
            <a:solidFill>
              <a:schemeClr val="accent1"/>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lifespans_all!$C$61:$L$61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718-41DC-80C4-A5E6D6C7CEEC}"/>
            </c:ext>
          </c:extLst>
        </c:ser>
        <c:ser>
          <c:idx val="1"/>
          <c:order val="1"/>
          <c:tx>
            <c:strRef>
              <c:f>lifespans_all!$B$62</c:f>
              <c:strCache>
                <c:ptCount val="1"/>
                <c:pt idx="0">
                  <c:v>Near Earth Robotic - LEO Science</c:v>
                </c:pt>
              </c:strCache>
            </c:strRef>
          </c:tx>
          <c:spPr>
            <a:solidFill>
              <a:schemeClr val="accent2"/>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lifespans_all!$C$62:$L$62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718-41DC-80C4-A5E6D6C7CEEC}"/>
            </c:ext>
          </c:extLst>
        </c:ser>
        <c:ser>
          <c:idx val="2"/>
          <c:order val="2"/>
          <c:tx>
            <c:strRef>
              <c:f>lifespans_all!$B$63</c:f>
              <c:strCache>
                <c:ptCount val="1"/>
                <c:pt idx="0">
                  <c:v>Near Earth Robotic - GEO and Near Earth</c:v>
                </c:pt>
              </c:strCache>
            </c:strRef>
          </c:tx>
          <c:spPr>
            <a:solidFill>
              <a:schemeClr val="accent3"/>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lifespans_all!$C$63:$L$63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718-41DC-80C4-A5E6D6C7CEEC}"/>
            </c:ext>
          </c:extLst>
        </c:ser>
        <c:ser>
          <c:idx val="3"/>
          <c:order val="3"/>
          <c:tx>
            <c:strRef>
              <c:f>lifespans_all!$B$64</c:f>
              <c:strCache>
                <c:ptCount val="1"/>
                <c:pt idx="0">
                  <c:v>Deep Space Robotic</c:v>
                </c:pt>
              </c:strCache>
            </c:strRef>
          </c:tx>
          <c:spPr>
            <a:solidFill>
              <a:schemeClr val="accent4"/>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lifespans_all!$C$64:$L$64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718-41DC-80C4-A5E6D6C7CEEC}"/>
            </c:ext>
          </c:extLst>
        </c:ser>
        <c:ser>
          <c:idx val="4"/>
          <c:order val="4"/>
          <c:tx>
            <c:strRef>
              <c:f>lifespans_all!$B$65</c:f>
              <c:strCache>
                <c:ptCount val="1"/>
                <c:pt idx="0">
                  <c:v>Near Earth Robotic - Low Latency &amp; Complex Needs</c:v>
                </c:pt>
              </c:strCache>
            </c:strRef>
          </c:tx>
          <c:spPr>
            <a:solidFill>
              <a:schemeClr val="accent5"/>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718-41DC-80C4-A5E6D6C7CEEC}"/>
            </c:ext>
          </c:extLst>
        </c:ser>
        <c:ser>
          <c:idx val="5"/>
          <c:order val="5"/>
          <c:tx>
            <c:strRef>
              <c:f>lifespans_all!$B$66</c:f>
              <c:strCache>
                <c:ptCount val="1"/>
                <c:pt idx="0">
                  <c:v>Mission Operations</c:v>
                </c:pt>
              </c:strCache>
            </c:strRef>
          </c:tx>
          <c:spPr>
            <a:solidFill>
              <a:schemeClr val="accent6"/>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718-41DC-80C4-A5E6D6C7CEEC}"/>
            </c:ext>
          </c:extLst>
        </c:ser>
        <c:ser>
          <c:idx val="6"/>
          <c:order val="6"/>
          <c:tx>
            <c:strRef>
              <c:f>lifespans_all!$B$67</c:f>
              <c:strCache>
                <c:ptCount val="1"/>
                <c:pt idx="0">
                  <c:v>Launch Events</c:v>
                </c:pt>
              </c:strCache>
            </c:strRef>
          </c:tx>
          <c:spPr>
            <a:solidFill>
              <a:schemeClr val="accent1">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718-41DC-80C4-A5E6D6C7CEEC}"/>
            </c:ext>
          </c:extLst>
        </c:ser>
        <c:ser>
          <c:idx val="7"/>
          <c:order val="7"/>
          <c:tx>
            <c:strRef>
              <c:f>lifespans_all!$B$68</c:f>
              <c:strCache>
                <c:ptCount val="1"/>
                <c:pt idx="0">
                  <c:v>Terrestrial &amp; Aerial</c:v>
                </c:pt>
              </c:strCache>
            </c:strRef>
          </c:tx>
          <c:spPr>
            <a:solidFill>
              <a:schemeClr val="accent2">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lifespans_all!$C$68:$L$68</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8-8718-41DC-80C4-A5E6D6C7CEE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lifespans_all!$B$139</c:f>
              <c:strCache>
                <c:ptCount val="1"/>
                <c:pt idx="0">
                  <c:v>Human Space Flight</c:v>
                </c:pt>
              </c:strCache>
            </c:strRef>
          </c:tx>
          <c:spPr>
            <a:solidFill>
              <a:schemeClr val="accent1"/>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lifespans_all!$C$139:$L$139</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1F5-43C4-8638-9FF0FCC03818}"/>
            </c:ext>
          </c:extLst>
        </c:ser>
        <c:ser>
          <c:idx val="1"/>
          <c:order val="1"/>
          <c:tx>
            <c:strRef>
              <c:f>lifespans_all!$B$140</c:f>
              <c:strCache>
                <c:ptCount val="1"/>
                <c:pt idx="0">
                  <c:v>Near Earth Robotic - LEO Science</c:v>
                </c:pt>
              </c:strCache>
            </c:strRef>
          </c:tx>
          <c:spPr>
            <a:solidFill>
              <a:schemeClr val="accent2"/>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lifespans_all!$C$140:$L$140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1F5-43C4-8638-9FF0FCC03818}"/>
            </c:ext>
          </c:extLst>
        </c:ser>
        <c:ser>
          <c:idx val="2"/>
          <c:order val="2"/>
          <c:tx>
            <c:strRef>
              <c:f>lifespans_all!$B$141</c:f>
              <c:strCache>
                <c:ptCount val="1"/>
                <c:pt idx="0">
                  <c:v>Near Earth Robotic - GEO and Near Earth</c:v>
                </c:pt>
              </c:strCache>
            </c:strRef>
          </c:tx>
          <c:spPr>
            <a:solidFill>
              <a:schemeClr val="accent3"/>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lifespans_all!$C$141:$L$141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1F5-43C4-8638-9FF0FCC03818}"/>
            </c:ext>
          </c:extLst>
        </c:ser>
        <c:ser>
          <c:idx val="3"/>
          <c:order val="3"/>
          <c:tx>
            <c:strRef>
              <c:f>lifespans_all!$B$142</c:f>
              <c:strCache>
                <c:ptCount val="1"/>
                <c:pt idx="0">
                  <c:v>Deep Space Robotic</c:v>
                </c:pt>
              </c:strCache>
            </c:strRef>
          </c:tx>
          <c:spPr>
            <a:solidFill>
              <a:schemeClr val="accent4"/>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lifespans_all!$C$142:$L$142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1F5-43C4-8638-9FF0FCC03818}"/>
            </c:ext>
          </c:extLst>
        </c:ser>
        <c:ser>
          <c:idx val="4"/>
          <c:order val="4"/>
          <c:tx>
            <c:strRef>
              <c:f>lifespans_all!$B$143</c:f>
              <c:strCache>
                <c:ptCount val="1"/>
                <c:pt idx="0">
                  <c:v>Near Earth Robotic - Low Latency &amp; Complex Needs</c:v>
                </c:pt>
              </c:strCache>
            </c:strRef>
          </c:tx>
          <c:spPr>
            <a:solidFill>
              <a:schemeClr val="accent5"/>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lifespans_all!$C$143:$L$143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1F5-43C4-8638-9FF0FCC03818}"/>
            </c:ext>
          </c:extLst>
        </c:ser>
        <c:ser>
          <c:idx val="5"/>
          <c:order val="5"/>
          <c:tx>
            <c:strRef>
              <c:f>lifespans_all!$B$144</c:f>
              <c:strCache>
                <c:ptCount val="1"/>
                <c:pt idx="0">
                  <c:v>Mission Operations</c:v>
                </c:pt>
              </c:strCache>
            </c:strRef>
          </c:tx>
          <c:spPr>
            <a:solidFill>
              <a:schemeClr val="accent6"/>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1F5-43C4-8638-9FF0FCC03818}"/>
            </c:ext>
          </c:extLst>
        </c:ser>
        <c:ser>
          <c:idx val="6"/>
          <c:order val="6"/>
          <c:tx>
            <c:strRef>
              <c:f>lifespans_all!$B$145</c:f>
              <c:strCache>
                <c:ptCount val="1"/>
                <c:pt idx="0">
                  <c:v>Launch Events</c:v>
                </c:pt>
              </c:strCache>
            </c:strRef>
          </c:tx>
          <c:spPr>
            <a:solidFill>
              <a:schemeClr val="accent1">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1F5-43C4-8638-9FF0FCC03818}"/>
            </c:ext>
          </c:extLst>
        </c:ser>
        <c:ser>
          <c:idx val="7"/>
          <c:order val="7"/>
          <c:tx>
            <c:strRef>
              <c:f>lifespans_all!$B$146</c:f>
              <c:strCache>
                <c:ptCount val="1"/>
                <c:pt idx="0">
                  <c:v>Terrestrial &amp; Aerial</c:v>
                </c:pt>
              </c:strCache>
            </c:strRef>
          </c:tx>
          <c:spPr>
            <a:solidFill>
              <a:schemeClr val="accent2">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1F5-43C4-8638-9FF0FCC0381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lifespans_all!$B$217</c:f>
              <c:strCache>
                <c:ptCount val="1"/>
                <c:pt idx="0">
                  <c:v>Human Space Flight</c:v>
                </c:pt>
              </c:strCache>
            </c:strRef>
          </c:tx>
          <c:spPr>
            <a:solidFill>
              <a:schemeClr val="accent1"/>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lifespans_all!$C$217:$L$217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CC0-4EAE-91DE-A7E18EE4DEB3}"/>
            </c:ext>
          </c:extLst>
        </c:ser>
        <c:ser>
          <c:idx val="1"/>
          <c:order val="1"/>
          <c:tx>
            <c:strRef>
              <c:f>lifespans_all!$B$218</c:f>
              <c:strCache>
                <c:ptCount val="1"/>
                <c:pt idx="0">
                  <c:v>Near Earth Robotic - LEO Science</c:v>
                </c:pt>
              </c:strCache>
            </c:strRef>
          </c:tx>
          <c:spPr>
            <a:solidFill>
              <a:schemeClr val="accent2"/>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lifespans_all!$C$218:$L$218</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CC0-4EAE-91DE-A7E18EE4DEB3}"/>
            </c:ext>
          </c:extLst>
        </c:ser>
        <c:ser>
          <c:idx val="2"/>
          <c:order val="2"/>
          <c:tx>
            <c:strRef>
              <c:f>lifespans_all!$B$219</c:f>
              <c:strCache>
                <c:ptCount val="1"/>
                <c:pt idx="0">
                  <c:v>Near Earth Robotic - GEO and Near Earth</c:v>
                </c:pt>
              </c:strCache>
            </c:strRef>
          </c:tx>
          <c:spPr>
            <a:solidFill>
              <a:schemeClr val="accent3"/>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lifespans_all!$C$219:$L$219</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CC0-4EAE-91DE-A7E18EE4DEB3}"/>
            </c:ext>
          </c:extLst>
        </c:ser>
        <c:ser>
          <c:idx val="3"/>
          <c:order val="3"/>
          <c:tx>
            <c:strRef>
              <c:f>lifespans_all!$B$220</c:f>
              <c:strCache>
                <c:ptCount val="1"/>
                <c:pt idx="0">
                  <c:v>Deep Space Robotic</c:v>
                </c:pt>
              </c:strCache>
            </c:strRef>
          </c:tx>
          <c:spPr>
            <a:solidFill>
              <a:schemeClr val="accent4"/>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lifespans_all!$C$220:$L$220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CC0-4EAE-91DE-A7E18EE4DEB3}"/>
            </c:ext>
          </c:extLst>
        </c:ser>
        <c:ser>
          <c:idx val="4"/>
          <c:order val="4"/>
          <c:tx>
            <c:strRef>
              <c:f>lifespans_all!$B$221</c:f>
              <c:strCache>
                <c:ptCount val="1"/>
                <c:pt idx="0">
                  <c:v>Near Earth Robotic - Low Latency &amp; Complex Needs</c:v>
                </c:pt>
              </c:strCache>
            </c:strRef>
          </c:tx>
          <c:spPr>
            <a:solidFill>
              <a:schemeClr val="accent5"/>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lifespans_all!$C$221:$L$221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CC0-4EAE-91DE-A7E18EE4DEB3}"/>
            </c:ext>
          </c:extLst>
        </c:ser>
        <c:ser>
          <c:idx val="5"/>
          <c:order val="5"/>
          <c:tx>
            <c:strRef>
              <c:f>lifespans_all!$B$222</c:f>
              <c:strCache>
                <c:ptCount val="1"/>
                <c:pt idx="0">
                  <c:v>Mission Operations</c:v>
                </c:pt>
              </c:strCache>
            </c:strRef>
          </c:tx>
          <c:spPr>
            <a:solidFill>
              <a:schemeClr val="accent6"/>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lifespans_all!$C$222:$L$222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CC0-4EAE-91DE-A7E18EE4DEB3}"/>
            </c:ext>
          </c:extLst>
        </c:ser>
        <c:ser>
          <c:idx val="6"/>
          <c:order val="6"/>
          <c:tx>
            <c:strRef>
              <c:f>lifespans_all!$B$223</c:f>
              <c:strCache>
                <c:ptCount val="1"/>
                <c:pt idx="0">
                  <c:v>Launch Events</c:v>
                </c:pt>
              </c:strCache>
            </c:strRef>
          </c:tx>
          <c:spPr>
            <a:solidFill>
              <a:schemeClr val="accent1">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CC0-4EAE-91DE-A7E18EE4DEB3}"/>
            </c:ext>
          </c:extLst>
        </c:ser>
        <c:ser>
          <c:idx val="7"/>
          <c:order val="7"/>
          <c:tx>
            <c:strRef>
              <c:f>lifespans_all!$B$224</c:f>
              <c:strCache>
                <c:ptCount val="1"/>
                <c:pt idx="0">
                  <c:v>Terrestrial &amp; Aerial</c:v>
                </c:pt>
              </c:strCache>
            </c:strRef>
          </c:tx>
          <c:spPr>
            <a:solidFill>
              <a:schemeClr val="accent2">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DCC0-4EAE-91DE-A7E18EE4DEB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lifespans_all!$B$74</c:f>
              <c:strCache>
                <c:ptCount val="1"/>
                <c:pt idx="0">
                  <c:v>Existing</c:v>
                </c:pt>
              </c:strCache>
            </c:strRef>
          </c:tx>
          <c:spPr>
            <a:solidFill>
              <a:schemeClr val="accent1"/>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lifespans_all!$C$74:$L$74</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CE-4E0E-8E5D-E5BEAF3F277A}"/>
            </c:ext>
          </c:extLst>
        </c:ser>
        <c:ser>
          <c:idx val="1"/>
          <c:order val="1"/>
          <c:tx>
            <c:strRef>
              <c:f>lifespans_all!$B$75</c:f>
              <c:strCache>
                <c:ptCount val="1"/>
                <c:pt idx="0">
                  <c:v>Replacement</c:v>
                </c:pt>
              </c:strCache>
            </c:strRef>
          </c:tx>
          <c:spPr>
            <a:solidFill>
              <a:schemeClr val="accent2"/>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lifespans_all!$C$75:$L$75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CE-4E0E-8E5D-E5BEAF3F277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lifespans_all!$B$152</c:f>
              <c:strCache>
                <c:ptCount val="1"/>
                <c:pt idx="0">
                  <c:v>Existing</c:v>
                </c:pt>
              </c:strCache>
            </c:strRef>
          </c:tx>
          <c:spPr>
            <a:solidFill>
              <a:schemeClr val="accent1"/>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lifespans_all!$C$152:$L$152</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CE-4E0E-8E5D-E5BEAF3F277A}"/>
            </c:ext>
          </c:extLst>
        </c:ser>
        <c:ser>
          <c:idx val="1"/>
          <c:order val="1"/>
          <c:tx>
            <c:strRef>
              <c:f>lifespans_all!$B$153</c:f>
              <c:strCache>
                <c:ptCount val="1"/>
                <c:pt idx="0">
                  <c:v>Replacement</c:v>
                </c:pt>
              </c:strCache>
            </c:strRef>
          </c:tx>
          <c:spPr>
            <a:solidFill>
              <a:schemeClr val="accent2"/>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lifespans_all!$C$153:$L$153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CE-4E0E-8E5D-E5BEAF3F277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lifespans_all!$B$230</c:f>
              <c:strCache>
                <c:ptCount val="1"/>
                <c:pt idx="0">
                  <c:v>Existing</c:v>
                </c:pt>
              </c:strCache>
            </c:strRef>
          </c:tx>
          <c:spPr>
            <a:solidFill>
              <a:schemeClr val="accent1"/>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lifespans_all!$C$230:$L$230</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6313-4077-A941-8E2C5279F66D}"/>
            </c:ext>
          </c:extLst>
        </c:ser>
        <c:ser>
          <c:idx val="1"/>
          <c:order val="1"/>
          <c:tx>
            <c:strRef>
              <c:f>lifespans_all!$B$231</c:f>
              <c:strCache>
                <c:ptCount val="1"/>
                <c:pt idx="0">
                  <c:v>Replacement</c:v>
                </c:pt>
              </c:strCache>
            </c:strRef>
          </c:tx>
          <c:spPr>
            <a:solidFill>
              <a:schemeClr val="accent2"/>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lifespans_all!$C$231:$L$231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313-4077-A941-8E2C5279F66D}"/>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a:t>
            </a:r>
            <a:r>
              <a:rPr lang="en-US" baseline="0"/>
              <a:t>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02655687866396"/>
          <c:y val="0.10605799289048519"/>
          <c:w val="0.84501691986272398"/>
          <c:h val="0.60682971253468532"/>
        </c:manualLayout>
      </c:layout>
      <c:areaChart>
        <c:grouping val="stacked"/>
        <c:varyColors val="0"/>
        <c:ser>
          <c:idx val="0"/>
          <c:order val="0"/>
          <c:tx>
            <c:strRef>
              <c:f>DTE_demand_forecast!$B$62</c:f>
              <c:strCache>
                <c:ptCount val="1"/>
                <c:pt idx="0">
                  <c:v>Human Space Flight</c:v>
                </c:pt>
              </c:strCache>
            </c:strRef>
          </c:tx>
          <c:spPr>
            <a:solidFill>
              <a:schemeClr val="accent1"/>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DTE_demand_forecast!$C$62:$L$62</c:f>
              <c:numCache>
                <c:formatCode>0</c:formatCode>
                <c:ptCount val="10"/>
                <c:pt idx="0">
                  <c:v>695225.26900166669</c:v>
                </c:pt>
                <c:pt idx="1">
                  <c:v>694952.65458500001</c:v>
                </c:pt>
                <c:pt idx="2">
                  <c:v>693704.46733777772</c:v>
                </c:pt>
                <c:pt idx="3">
                  <c:v>694910.20989944437</c:v>
                </c:pt>
                <c:pt idx="4">
                  <c:v>694910.20989944437</c:v>
                </c:pt>
                <c:pt idx="5">
                  <c:v>694910.20989944437</c:v>
                </c:pt>
                <c:pt idx="6">
                  <c:v>694910.20989944437</c:v>
                </c:pt>
                <c:pt idx="7">
                  <c:v>694910.20989944437</c:v>
                </c:pt>
                <c:pt idx="8">
                  <c:v>694910.20989944437</c:v>
                </c:pt>
                <c:pt idx="9">
                  <c:v>694910.20989944437</c:v>
                </c:pt>
              </c:numCache>
            </c:numRef>
          </c:val>
          <c:extLst>
            <c:ext xmlns:c16="http://schemas.microsoft.com/office/drawing/2014/chart" uri="{C3380CC4-5D6E-409C-BE32-E72D297353CC}">
              <c16:uniqueId val="{00000000-6C68-4877-AA88-42AD6F52C98D}"/>
            </c:ext>
          </c:extLst>
        </c:ser>
        <c:ser>
          <c:idx val="1"/>
          <c:order val="1"/>
          <c:tx>
            <c:strRef>
              <c:f>DTE_demand_forecast!$B$63</c:f>
              <c:strCache>
                <c:ptCount val="1"/>
                <c:pt idx="0">
                  <c:v>Near Earth Robotic - LEO Science</c:v>
                </c:pt>
              </c:strCache>
            </c:strRef>
          </c:tx>
          <c:spPr>
            <a:solidFill>
              <a:schemeClr val="accent2"/>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DTE_demand_forecast!$C$63:$L$63</c:f>
              <c:numCache>
                <c:formatCode>0</c:formatCode>
                <c:ptCount val="10"/>
                <c:pt idx="0">
                  <c:v>949239.69982833299</c:v>
                </c:pt>
                <c:pt idx="1">
                  <c:v>681372.56149365043</c:v>
                </c:pt>
                <c:pt idx="2">
                  <c:v>546030.30369714263</c:v>
                </c:pt>
                <c:pt idx="3">
                  <c:v>281284.76277857134</c:v>
                </c:pt>
                <c:pt idx="4">
                  <c:v>279032.46749468247</c:v>
                </c:pt>
                <c:pt idx="5">
                  <c:v>142108.30322817457</c:v>
                </c:pt>
                <c:pt idx="6">
                  <c:v>6934.8242899999996</c:v>
                </c:pt>
                <c:pt idx="7">
                  <c:v>3137.9728877777775</c:v>
                </c:pt>
                <c:pt idx="8">
                  <c:v>3137.9728877777775</c:v>
                </c:pt>
                <c:pt idx="9">
                  <c:v>3137.9728877777775</c:v>
                </c:pt>
              </c:numCache>
            </c:numRef>
          </c:val>
          <c:extLst>
            <c:ext xmlns:c16="http://schemas.microsoft.com/office/drawing/2014/chart" uri="{C3380CC4-5D6E-409C-BE32-E72D297353CC}">
              <c16:uniqueId val="{00000001-6C68-4877-AA88-42AD6F52C98D}"/>
            </c:ext>
          </c:extLst>
        </c:ser>
        <c:ser>
          <c:idx val="2"/>
          <c:order val="2"/>
          <c:tx>
            <c:strRef>
              <c:f>DTE_demand_forecast!$B$64</c:f>
              <c:strCache>
                <c:ptCount val="1"/>
                <c:pt idx="0">
                  <c:v>Near Earth Robotic - GEO and Near Earth</c:v>
                </c:pt>
              </c:strCache>
            </c:strRef>
          </c:tx>
          <c:spPr>
            <a:solidFill>
              <a:schemeClr val="accent3"/>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DTE_demand_forecast!$C$64:$L$64</c:f>
              <c:numCache>
                <c:formatCode>0</c:formatCode>
                <c:ptCount val="10"/>
                <c:pt idx="0">
                  <c:v>15204.330498888885</c:v>
                </c:pt>
                <c:pt idx="1">
                  <c:v>15227.070671111109</c:v>
                </c:pt>
                <c:pt idx="2">
                  <c:v>8561.7364152380942</c:v>
                </c:pt>
                <c:pt idx="3">
                  <c:v>8561.7364152380942</c:v>
                </c:pt>
                <c:pt idx="4">
                  <c:v>8561.7364152380942</c:v>
                </c:pt>
                <c:pt idx="5">
                  <c:v>8561.7364152380942</c:v>
                </c:pt>
                <c:pt idx="6">
                  <c:v>8561.7364152380942</c:v>
                </c:pt>
                <c:pt idx="7">
                  <c:v>8561.7364152380942</c:v>
                </c:pt>
                <c:pt idx="8">
                  <c:v>8561.7364152380942</c:v>
                </c:pt>
                <c:pt idx="9">
                  <c:v>8561.7364152380942</c:v>
                </c:pt>
              </c:numCache>
            </c:numRef>
          </c:val>
          <c:extLst>
            <c:ext xmlns:c16="http://schemas.microsoft.com/office/drawing/2014/chart" uri="{C3380CC4-5D6E-409C-BE32-E72D297353CC}">
              <c16:uniqueId val="{00000002-6C68-4877-AA88-42AD6F52C98D}"/>
            </c:ext>
          </c:extLst>
        </c:ser>
        <c:ser>
          <c:idx val="3"/>
          <c:order val="3"/>
          <c:tx>
            <c:strRef>
              <c:f>DTE_demand_forecast!$B$65</c:f>
              <c:strCache>
                <c:ptCount val="1"/>
                <c:pt idx="0">
                  <c:v>Deep Space Robotic</c:v>
                </c:pt>
              </c:strCache>
            </c:strRef>
          </c:tx>
          <c:spPr>
            <a:solidFill>
              <a:schemeClr val="accent4"/>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68-4877-AA88-42AD6F52C98D}"/>
            </c:ext>
          </c:extLst>
        </c:ser>
        <c:ser>
          <c:idx val="4"/>
          <c:order val="4"/>
          <c:tx>
            <c:strRef>
              <c:f>DTE_demand_forecast!$B$66</c:f>
              <c:strCache>
                <c:ptCount val="1"/>
                <c:pt idx="0">
                  <c:v>Near Earth Robotic - Low Latency &amp; Complex Needs</c:v>
                </c:pt>
              </c:strCache>
            </c:strRef>
          </c:tx>
          <c:spPr>
            <a:solidFill>
              <a:schemeClr val="accent5"/>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6C68-4877-AA88-42AD6F52C98D}"/>
            </c:ext>
          </c:extLst>
        </c:ser>
        <c:ser>
          <c:idx val="5"/>
          <c:order val="5"/>
          <c:tx>
            <c:strRef>
              <c:f>DTE_demand_forecast!$B$67</c:f>
              <c:strCache>
                <c:ptCount val="1"/>
                <c:pt idx="0">
                  <c:v>Mission Operations</c:v>
                </c:pt>
              </c:strCache>
            </c:strRef>
          </c:tx>
          <c:spPr>
            <a:solidFill>
              <a:schemeClr val="accent6"/>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68-4877-AA88-42AD6F52C98D}"/>
            </c:ext>
          </c:extLst>
        </c:ser>
        <c:ser>
          <c:idx val="6"/>
          <c:order val="6"/>
          <c:tx>
            <c:strRef>
              <c:f>DTE_demand_forecast!$B$68</c:f>
              <c:strCache>
                <c:ptCount val="1"/>
                <c:pt idx="0">
                  <c:v>Launch Events</c:v>
                </c:pt>
              </c:strCache>
            </c:strRef>
          </c:tx>
          <c:spPr>
            <a:solidFill>
              <a:schemeClr val="accent1">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DTE_demand_forecast!$C$68:$L$68</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6C68-4877-AA88-42AD6F52C98D}"/>
            </c:ext>
          </c:extLst>
        </c:ser>
        <c:ser>
          <c:idx val="7"/>
          <c:order val="7"/>
          <c:tx>
            <c:strRef>
              <c:f>DTE_demand_forecast!$B$69</c:f>
              <c:strCache>
                <c:ptCount val="1"/>
                <c:pt idx="0">
                  <c:v>Terrestrial &amp; Aerial</c:v>
                </c:pt>
              </c:strCache>
            </c:strRef>
          </c:tx>
          <c:spPr>
            <a:solidFill>
              <a:schemeClr val="accent2">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DTE_demand_forecast!$C$69:$L$69</c:f>
              <c:numCache>
                <c:formatCode>0</c:formatCode>
                <c:ptCount val="10"/>
                <c:pt idx="0">
                  <c:v>90840.488670000021</c:v>
                </c:pt>
                <c:pt idx="1">
                  <c:v>90904.020058888913</c:v>
                </c:pt>
                <c:pt idx="2">
                  <c:v>90840.083114444467</c:v>
                </c:pt>
                <c:pt idx="3">
                  <c:v>90847.563392222248</c:v>
                </c:pt>
                <c:pt idx="4">
                  <c:v>90847.563392222248</c:v>
                </c:pt>
                <c:pt idx="5">
                  <c:v>89453.837836666688</c:v>
                </c:pt>
                <c:pt idx="6">
                  <c:v>89453.837836666688</c:v>
                </c:pt>
                <c:pt idx="7">
                  <c:v>89453.837836666688</c:v>
                </c:pt>
                <c:pt idx="8">
                  <c:v>89453.837836666688</c:v>
                </c:pt>
                <c:pt idx="9">
                  <c:v>89453.837836666688</c:v>
                </c:pt>
              </c:numCache>
            </c:numRef>
          </c:val>
          <c:extLst>
            <c:ext xmlns:c16="http://schemas.microsoft.com/office/drawing/2014/chart" uri="{C3380CC4-5D6E-409C-BE32-E72D297353CC}">
              <c16:uniqueId val="{00000007-6C68-4877-AA88-42AD6F52C98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32365848471122"/>
          <c:y val="0.10605799289048519"/>
          <c:w val="0.84171981825667663"/>
          <c:h val="0.61211338044219699"/>
        </c:manualLayout>
      </c:layout>
      <c:areaChart>
        <c:grouping val="stacked"/>
        <c:varyColors val="0"/>
        <c:ser>
          <c:idx val="0"/>
          <c:order val="0"/>
          <c:tx>
            <c:strRef>
              <c:f>DTE_demand_forecast!$B$141</c:f>
              <c:strCache>
                <c:ptCount val="1"/>
                <c:pt idx="0">
                  <c:v>Human Space Flight</c:v>
                </c:pt>
              </c:strCache>
            </c:strRef>
          </c:tx>
          <c:spPr>
            <a:solidFill>
              <a:schemeClr val="accent1"/>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DTE_demand_forecast!$C$141:$L$141</c:f>
              <c:numCache>
                <c:formatCode>0</c:formatCode>
                <c:ptCount val="10"/>
                <c:pt idx="0">
                  <c:v>695225.26900166669</c:v>
                </c:pt>
                <c:pt idx="1">
                  <c:v>694952.65458500001</c:v>
                </c:pt>
                <c:pt idx="2">
                  <c:v>693704.46733777772</c:v>
                </c:pt>
                <c:pt idx="3">
                  <c:v>694910.20989944437</c:v>
                </c:pt>
                <c:pt idx="4">
                  <c:v>694910.20989944437</c:v>
                </c:pt>
                <c:pt idx="5">
                  <c:v>694910.20989944437</c:v>
                </c:pt>
                <c:pt idx="6">
                  <c:v>694910.20989944437</c:v>
                </c:pt>
                <c:pt idx="7">
                  <c:v>694910.20989944437</c:v>
                </c:pt>
                <c:pt idx="8">
                  <c:v>694910.20989944437</c:v>
                </c:pt>
                <c:pt idx="9">
                  <c:v>694910.20989944437</c:v>
                </c:pt>
              </c:numCache>
            </c:numRef>
          </c:val>
          <c:extLst>
            <c:ext xmlns:c16="http://schemas.microsoft.com/office/drawing/2014/chart" uri="{C3380CC4-5D6E-409C-BE32-E72D297353CC}">
              <c16:uniqueId val="{00000000-87EB-421A-89CA-DE357EFB09CC}"/>
            </c:ext>
          </c:extLst>
        </c:ser>
        <c:ser>
          <c:idx val="1"/>
          <c:order val="1"/>
          <c:tx>
            <c:strRef>
              <c:f>DTE_demand_forecast!$B$142</c:f>
              <c:strCache>
                <c:ptCount val="1"/>
                <c:pt idx="0">
                  <c:v>Near Earth Robotic - LEO Science</c:v>
                </c:pt>
              </c:strCache>
            </c:strRef>
          </c:tx>
          <c:spPr>
            <a:solidFill>
              <a:schemeClr val="accent2"/>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DTE_demand_forecast!$C$142:$L$142</c:f>
              <c:numCache>
                <c:formatCode>0</c:formatCode>
                <c:ptCount val="10"/>
                <c:pt idx="0">
                  <c:v>949239.69982833299</c:v>
                </c:pt>
                <c:pt idx="1">
                  <c:v>681372.56149365043</c:v>
                </c:pt>
                <c:pt idx="2">
                  <c:v>546030.30369714263</c:v>
                </c:pt>
                <c:pt idx="3">
                  <c:v>281284.76277857134</c:v>
                </c:pt>
                <c:pt idx="4">
                  <c:v>279032.46749468247</c:v>
                </c:pt>
                <c:pt idx="5">
                  <c:v>142108.30322817457</c:v>
                </c:pt>
                <c:pt idx="6">
                  <c:v>6934.8242899999996</c:v>
                </c:pt>
                <c:pt idx="7">
                  <c:v>3137.9728877777775</c:v>
                </c:pt>
                <c:pt idx="8">
                  <c:v>3137.9728877777775</c:v>
                </c:pt>
                <c:pt idx="9">
                  <c:v>3137.9728877777775</c:v>
                </c:pt>
              </c:numCache>
            </c:numRef>
          </c:val>
          <c:extLst>
            <c:ext xmlns:c16="http://schemas.microsoft.com/office/drawing/2014/chart" uri="{C3380CC4-5D6E-409C-BE32-E72D297353CC}">
              <c16:uniqueId val="{00000001-87EB-421A-89CA-DE357EFB09CC}"/>
            </c:ext>
          </c:extLst>
        </c:ser>
        <c:ser>
          <c:idx val="2"/>
          <c:order val="2"/>
          <c:tx>
            <c:strRef>
              <c:f>DTE_demand_forecast!$B$143</c:f>
              <c:strCache>
                <c:ptCount val="1"/>
                <c:pt idx="0">
                  <c:v>Near Earth Robotic - GEO and Near Earth</c:v>
                </c:pt>
              </c:strCache>
            </c:strRef>
          </c:tx>
          <c:spPr>
            <a:solidFill>
              <a:schemeClr val="accent3"/>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DTE_demand_forecast!$C$143:$L$143</c:f>
              <c:numCache>
                <c:formatCode>0</c:formatCode>
                <c:ptCount val="10"/>
                <c:pt idx="0">
                  <c:v>15204.330498888885</c:v>
                </c:pt>
                <c:pt idx="1">
                  <c:v>15227.070671111109</c:v>
                </c:pt>
                <c:pt idx="2">
                  <c:v>8561.7364152380942</c:v>
                </c:pt>
                <c:pt idx="3">
                  <c:v>8561.7364152380942</c:v>
                </c:pt>
                <c:pt idx="4">
                  <c:v>8561.7364152380942</c:v>
                </c:pt>
                <c:pt idx="5">
                  <c:v>8561.7364152380942</c:v>
                </c:pt>
                <c:pt idx="6">
                  <c:v>8561.7364152380942</c:v>
                </c:pt>
                <c:pt idx="7">
                  <c:v>8561.7364152380942</c:v>
                </c:pt>
                <c:pt idx="8">
                  <c:v>8561.7364152380942</c:v>
                </c:pt>
                <c:pt idx="9">
                  <c:v>8561.7364152380942</c:v>
                </c:pt>
              </c:numCache>
            </c:numRef>
          </c:val>
          <c:extLst>
            <c:ext xmlns:c16="http://schemas.microsoft.com/office/drawing/2014/chart" uri="{C3380CC4-5D6E-409C-BE32-E72D297353CC}">
              <c16:uniqueId val="{00000002-87EB-421A-89CA-DE357EFB09CC}"/>
            </c:ext>
          </c:extLst>
        </c:ser>
        <c:ser>
          <c:idx val="3"/>
          <c:order val="3"/>
          <c:tx>
            <c:strRef>
              <c:f>DTE_demand_forecast!$B$144</c:f>
              <c:strCache>
                <c:ptCount val="1"/>
                <c:pt idx="0">
                  <c:v>Deep Space Robotic</c:v>
                </c:pt>
              </c:strCache>
            </c:strRef>
          </c:tx>
          <c:spPr>
            <a:solidFill>
              <a:schemeClr val="accent4"/>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7EB-421A-89CA-DE357EFB09CC}"/>
            </c:ext>
          </c:extLst>
        </c:ser>
        <c:ser>
          <c:idx val="4"/>
          <c:order val="4"/>
          <c:tx>
            <c:strRef>
              <c:f>DTE_demand_forecast!$B$145</c:f>
              <c:strCache>
                <c:ptCount val="1"/>
                <c:pt idx="0">
                  <c:v>Near Earth Robotic - Low Latency &amp; Complex Needs</c:v>
                </c:pt>
              </c:strCache>
            </c:strRef>
          </c:tx>
          <c:spPr>
            <a:solidFill>
              <a:schemeClr val="accent5"/>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7EB-421A-89CA-DE357EFB09CC}"/>
            </c:ext>
          </c:extLst>
        </c:ser>
        <c:ser>
          <c:idx val="5"/>
          <c:order val="5"/>
          <c:tx>
            <c:strRef>
              <c:f>DTE_demand_forecast!$B$146</c:f>
              <c:strCache>
                <c:ptCount val="1"/>
                <c:pt idx="0">
                  <c:v>Mission Operations</c:v>
                </c:pt>
              </c:strCache>
            </c:strRef>
          </c:tx>
          <c:spPr>
            <a:solidFill>
              <a:schemeClr val="accent6"/>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7EB-421A-89CA-DE357EFB09CC}"/>
            </c:ext>
          </c:extLst>
        </c:ser>
        <c:ser>
          <c:idx val="6"/>
          <c:order val="6"/>
          <c:tx>
            <c:strRef>
              <c:f>DTE_demand_forecast!$B$147</c:f>
              <c:strCache>
                <c:ptCount val="1"/>
                <c:pt idx="0">
                  <c:v>Launch Events</c:v>
                </c:pt>
              </c:strCache>
            </c:strRef>
          </c:tx>
          <c:spPr>
            <a:solidFill>
              <a:schemeClr val="accent1">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DTE_demand_forecast!$C$147:$L$147</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87EB-421A-89CA-DE357EFB09CC}"/>
            </c:ext>
          </c:extLst>
        </c:ser>
        <c:ser>
          <c:idx val="7"/>
          <c:order val="7"/>
          <c:tx>
            <c:strRef>
              <c:f>DTE_demand_forecast!$B$148</c:f>
              <c:strCache>
                <c:ptCount val="1"/>
                <c:pt idx="0">
                  <c:v>Terrestrial &amp; Aerial</c:v>
                </c:pt>
              </c:strCache>
            </c:strRef>
          </c:tx>
          <c:spPr>
            <a:solidFill>
              <a:schemeClr val="accent2">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DTE_demand_forecast!$C$148:$L$148</c:f>
              <c:numCache>
                <c:formatCode>0</c:formatCode>
                <c:ptCount val="10"/>
                <c:pt idx="0">
                  <c:v>90840.488670000021</c:v>
                </c:pt>
                <c:pt idx="1">
                  <c:v>90904.020058888913</c:v>
                </c:pt>
                <c:pt idx="2">
                  <c:v>90840.083114444467</c:v>
                </c:pt>
                <c:pt idx="3">
                  <c:v>90847.563392222248</c:v>
                </c:pt>
                <c:pt idx="4">
                  <c:v>90847.563392222248</c:v>
                </c:pt>
                <c:pt idx="5">
                  <c:v>89453.837836666688</c:v>
                </c:pt>
                <c:pt idx="6">
                  <c:v>89453.837836666688</c:v>
                </c:pt>
                <c:pt idx="7">
                  <c:v>89453.837836666688</c:v>
                </c:pt>
                <c:pt idx="8">
                  <c:v>89453.837836666688</c:v>
                </c:pt>
                <c:pt idx="9">
                  <c:v>89453.837836666688</c:v>
                </c:pt>
              </c:numCache>
            </c:numRef>
          </c:val>
          <c:extLst>
            <c:ext xmlns:c16="http://schemas.microsoft.com/office/drawing/2014/chart" uri="{C3380CC4-5D6E-409C-BE32-E72D297353CC}">
              <c16:uniqueId val="{00000007-87EB-421A-89CA-DE357EFB09C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a:t>
            </a:r>
            <a:r>
              <a:rPr lang="en-US" baseline="0"/>
              <a:t> Forecast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55071182579744"/>
          <c:y val="0.10605799289048519"/>
          <c:w val="0.83749276491559022"/>
          <c:h val="0.59813085403477473"/>
        </c:manualLayout>
      </c:layout>
      <c:areaChart>
        <c:grouping val="stacked"/>
        <c:varyColors val="0"/>
        <c:ser>
          <c:idx val="0"/>
          <c:order val="0"/>
          <c:tx>
            <c:strRef>
              <c:f>DTE_demand_forecast!$B$220</c:f>
              <c:strCache>
                <c:ptCount val="1"/>
                <c:pt idx="0">
                  <c:v>Human Space Flight</c:v>
                </c:pt>
              </c:strCache>
            </c:strRef>
          </c:tx>
          <c:spPr>
            <a:solidFill>
              <a:schemeClr val="accent1"/>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DTE_demand_forecast!$C$220:$L$220</c:f>
              <c:numCache>
                <c:formatCode>0</c:formatCode>
                <c:ptCount val="10"/>
                <c:pt idx="0">
                  <c:v>695225.26900166669</c:v>
                </c:pt>
                <c:pt idx="1">
                  <c:v>694952.65458500001</c:v>
                </c:pt>
                <c:pt idx="2">
                  <c:v>693704.46733777772</c:v>
                </c:pt>
                <c:pt idx="3">
                  <c:v>694910.20989944437</c:v>
                </c:pt>
                <c:pt idx="4">
                  <c:v>694910.20989944437</c:v>
                </c:pt>
                <c:pt idx="5">
                  <c:v>694910.20989944437</c:v>
                </c:pt>
                <c:pt idx="6">
                  <c:v>694910.20989944437</c:v>
                </c:pt>
                <c:pt idx="7">
                  <c:v>694910.20989944437</c:v>
                </c:pt>
                <c:pt idx="8">
                  <c:v>694910.20989944437</c:v>
                </c:pt>
                <c:pt idx="9">
                  <c:v>694910.20989944437</c:v>
                </c:pt>
              </c:numCache>
            </c:numRef>
          </c:val>
          <c:extLst>
            <c:ext xmlns:c16="http://schemas.microsoft.com/office/drawing/2014/chart" uri="{C3380CC4-5D6E-409C-BE32-E72D297353CC}">
              <c16:uniqueId val="{00000000-553E-4A6C-A8C9-9DACE9FB41FD}"/>
            </c:ext>
          </c:extLst>
        </c:ser>
        <c:ser>
          <c:idx val="1"/>
          <c:order val="1"/>
          <c:tx>
            <c:strRef>
              <c:f>DTE_demand_forecast!$B$221</c:f>
              <c:strCache>
                <c:ptCount val="1"/>
                <c:pt idx="0">
                  <c:v>Near Earth Robotic - LEO Science</c:v>
                </c:pt>
              </c:strCache>
            </c:strRef>
          </c:tx>
          <c:spPr>
            <a:solidFill>
              <a:schemeClr val="accent2"/>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DTE_demand_forecast!$C$221:$L$221</c:f>
              <c:numCache>
                <c:formatCode>0</c:formatCode>
                <c:ptCount val="10"/>
                <c:pt idx="0">
                  <c:v>949239.69982833299</c:v>
                </c:pt>
                <c:pt idx="1">
                  <c:v>681372.56149365043</c:v>
                </c:pt>
                <c:pt idx="2">
                  <c:v>546030.30369714263</c:v>
                </c:pt>
                <c:pt idx="3">
                  <c:v>281284.76277857134</c:v>
                </c:pt>
                <c:pt idx="4">
                  <c:v>279032.46749468247</c:v>
                </c:pt>
                <c:pt idx="5">
                  <c:v>142108.30322817457</c:v>
                </c:pt>
                <c:pt idx="6">
                  <c:v>6934.8242899999996</c:v>
                </c:pt>
                <c:pt idx="7">
                  <c:v>3137.9728877777775</c:v>
                </c:pt>
                <c:pt idx="8">
                  <c:v>3137.9728877777775</c:v>
                </c:pt>
                <c:pt idx="9">
                  <c:v>3137.9728877777775</c:v>
                </c:pt>
              </c:numCache>
            </c:numRef>
          </c:val>
          <c:extLst>
            <c:ext xmlns:c16="http://schemas.microsoft.com/office/drawing/2014/chart" uri="{C3380CC4-5D6E-409C-BE32-E72D297353CC}">
              <c16:uniqueId val="{00000001-553E-4A6C-A8C9-9DACE9FB41FD}"/>
            </c:ext>
          </c:extLst>
        </c:ser>
        <c:ser>
          <c:idx val="2"/>
          <c:order val="2"/>
          <c:tx>
            <c:strRef>
              <c:f>DTE_demand_forecast!$B$222</c:f>
              <c:strCache>
                <c:ptCount val="1"/>
                <c:pt idx="0">
                  <c:v>Near Earth Robotic - GEO and Near Earth</c:v>
                </c:pt>
              </c:strCache>
            </c:strRef>
          </c:tx>
          <c:spPr>
            <a:solidFill>
              <a:schemeClr val="accent3"/>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DTE_demand_forecast!$C$222:$L$222</c:f>
              <c:numCache>
                <c:formatCode>0</c:formatCode>
                <c:ptCount val="10"/>
                <c:pt idx="0">
                  <c:v>15204.330498888885</c:v>
                </c:pt>
                <c:pt idx="1">
                  <c:v>15227.070671111109</c:v>
                </c:pt>
                <c:pt idx="2">
                  <c:v>8561.7364152380942</c:v>
                </c:pt>
                <c:pt idx="3">
                  <c:v>8561.7364152380942</c:v>
                </c:pt>
                <c:pt idx="4">
                  <c:v>8561.7364152380942</c:v>
                </c:pt>
                <c:pt idx="5">
                  <c:v>8561.7364152380942</c:v>
                </c:pt>
                <c:pt idx="6">
                  <c:v>8561.7364152380942</c:v>
                </c:pt>
                <c:pt idx="7">
                  <c:v>8561.7364152380942</c:v>
                </c:pt>
                <c:pt idx="8">
                  <c:v>8561.7364152380942</c:v>
                </c:pt>
                <c:pt idx="9">
                  <c:v>8561.7364152380942</c:v>
                </c:pt>
              </c:numCache>
            </c:numRef>
          </c:val>
          <c:extLst>
            <c:ext xmlns:c16="http://schemas.microsoft.com/office/drawing/2014/chart" uri="{C3380CC4-5D6E-409C-BE32-E72D297353CC}">
              <c16:uniqueId val="{00000002-553E-4A6C-A8C9-9DACE9FB41FD}"/>
            </c:ext>
          </c:extLst>
        </c:ser>
        <c:ser>
          <c:idx val="3"/>
          <c:order val="3"/>
          <c:tx>
            <c:strRef>
              <c:f>DTE_demand_forecast!$B$223</c:f>
              <c:strCache>
                <c:ptCount val="1"/>
                <c:pt idx="0">
                  <c:v>Deep Space Robotic</c:v>
                </c:pt>
              </c:strCache>
            </c:strRef>
          </c:tx>
          <c:spPr>
            <a:solidFill>
              <a:schemeClr val="accent4"/>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53E-4A6C-A8C9-9DACE9FB41FD}"/>
            </c:ext>
          </c:extLst>
        </c:ser>
        <c:ser>
          <c:idx val="4"/>
          <c:order val="4"/>
          <c:tx>
            <c:strRef>
              <c:f>DTE_demand_forecast!$B$224</c:f>
              <c:strCache>
                <c:ptCount val="1"/>
                <c:pt idx="0">
                  <c:v>Near Earth Robotic - Low Latency &amp; Complex Needs</c:v>
                </c:pt>
              </c:strCache>
            </c:strRef>
          </c:tx>
          <c:spPr>
            <a:solidFill>
              <a:schemeClr val="accent5"/>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53E-4A6C-A8C9-9DACE9FB41FD}"/>
            </c:ext>
          </c:extLst>
        </c:ser>
        <c:ser>
          <c:idx val="5"/>
          <c:order val="5"/>
          <c:tx>
            <c:strRef>
              <c:f>DTE_demand_forecast!$B$225</c:f>
              <c:strCache>
                <c:ptCount val="1"/>
                <c:pt idx="0">
                  <c:v>Mission Operations</c:v>
                </c:pt>
              </c:strCache>
            </c:strRef>
          </c:tx>
          <c:spPr>
            <a:solidFill>
              <a:schemeClr val="accent6"/>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DTE_demand_forecast!$C$225:$L$225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553E-4A6C-A8C9-9DACE9FB41FD}"/>
            </c:ext>
          </c:extLst>
        </c:ser>
        <c:ser>
          <c:idx val="6"/>
          <c:order val="6"/>
          <c:tx>
            <c:strRef>
              <c:f>DTE_demand_forecast!$B$226</c:f>
              <c:strCache>
                <c:ptCount val="1"/>
                <c:pt idx="0">
                  <c:v>Launch Events</c:v>
                </c:pt>
              </c:strCache>
            </c:strRef>
          </c:tx>
          <c:spPr>
            <a:solidFill>
              <a:schemeClr val="accent1">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DTE_demand_forecast!$C$226:$L$226</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553E-4A6C-A8C9-9DACE9FB41FD}"/>
            </c:ext>
          </c:extLst>
        </c:ser>
        <c:ser>
          <c:idx val="7"/>
          <c:order val="7"/>
          <c:tx>
            <c:strRef>
              <c:f>DTE_demand_forecast!$B$227</c:f>
              <c:strCache>
                <c:ptCount val="1"/>
                <c:pt idx="0">
                  <c:v>Terrestrial &amp; Aerial</c:v>
                </c:pt>
              </c:strCache>
            </c:strRef>
          </c:tx>
          <c:spPr>
            <a:solidFill>
              <a:schemeClr val="accent2">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DTE_demand_forecast!$C$227:$L$227</c:f>
              <c:numCache>
                <c:formatCode>0</c:formatCode>
                <c:ptCount val="10"/>
                <c:pt idx="0">
                  <c:v>90840.488670000021</c:v>
                </c:pt>
                <c:pt idx="1">
                  <c:v>90904.020058888913</c:v>
                </c:pt>
                <c:pt idx="2">
                  <c:v>90840.083114444467</c:v>
                </c:pt>
                <c:pt idx="3">
                  <c:v>90847.563392222248</c:v>
                </c:pt>
                <c:pt idx="4">
                  <c:v>90847.563392222248</c:v>
                </c:pt>
                <c:pt idx="5">
                  <c:v>89453.837836666688</c:v>
                </c:pt>
                <c:pt idx="6">
                  <c:v>89453.837836666688</c:v>
                </c:pt>
                <c:pt idx="7">
                  <c:v>89453.837836666688</c:v>
                </c:pt>
                <c:pt idx="8">
                  <c:v>89453.837836666688</c:v>
                </c:pt>
                <c:pt idx="9">
                  <c:v>89453.837836666688</c:v>
                </c:pt>
              </c:numCache>
            </c:numRef>
          </c:val>
          <c:extLst>
            <c:ext xmlns:c16="http://schemas.microsoft.com/office/drawing/2014/chart" uri="{C3380CC4-5D6E-409C-BE32-E72D297353CC}">
              <c16:uniqueId val="{00000007-553E-4A6C-A8C9-9DACE9FB41F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DTE_demand_forecast!$B$75</c:f>
              <c:strCache>
                <c:ptCount val="1"/>
                <c:pt idx="0">
                  <c:v>Existing</c:v>
                </c:pt>
              </c:strCache>
            </c:strRef>
          </c:tx>
          <c:spPr>
            <a:solidFill>
              <a:schemeClr val="accent1"/>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DTE_demand_forecast!$C$75:$L$75</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43F5-4264-9E36-2338D4F3E918}"/>
            </c:ext>
          </c:extLst>
        </c:ser>
        <c:ser>
          <c:idx val="1"/>
          <c:order val="1"/>
          <c:tx>
            <c:strRef>
              <c:f>DTE_demand_forecast!$B$76</c:f>
              <c:strCache>
                <c:ptCount val="1"/>
                <c:pt idx="0">
                  <c:v>Replacement</c:v>
                </c:pt>
              </c:strCache>
            </c:strRef>
          </c:tx>
          <c:spPr>
            <a:solidFill>
              <a:schemeClr val="accent2"/>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DTE_demand_forecast!$C$76:$L$76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3F5-4264-9E36-2338D4F3E918}"/>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Demand Forecast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6999583891062464"/>
          <c:w val="0.79011781286457805"/>
          <c:h val="0.57664470395815959"/>
        </c:manualLayout>
      </c:layout>
      <c:areaChart>
        <c:grouping val="stacked"/>
        <c:varyColors val="0"/>
        <c:ser>
          <c:idx val="0"/>
          <c:order val="0"/>
          <c:tx>
            <c:strRef>
              <c:f>DTE_demand_forecast!$B$154</c:f>
              <c:strCache>
                <c:ptCount val="1"/>
                <c:pt idx="0">
                  <c:v>Existing</c:v>
                </c:pt>
              </c:strCache>
            </c:strRef>
          </c:tx>
          <c:spPr>
            <a:solidFill>
              <a:schemeClr val="accent1"/>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DTE_demand_forecast!$C$154:$L$154</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9118-48D4-91FC-0A778305BA64}"/>
            </c:ext>
          </c:extLst>
        </c:ser>
        <c:ser>
          <c:idx val="1"/>
          <c:order val="1"/>
          <c:tx>
            <c:strRef>
              <c:f>DTE_demand_forecast!$B$155</c:f>
              <c:strCache>
                <c:ptCount val="1"/>
                <c:pt idx="0">
                  <c:v>Replacement</c:v>
                </c:pt>
              </c:strCache>
            </c:strRef>
          </c:tx>
          <c:spPr>
            <a:solidFill>
              <a:schemeClr val="accent2"/>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DTE_demand_forecast!$C$155:$L$155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118-48D4-91FC-0A778305BA64}"/>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6999577756044043"/>
          <c:w val="0.79011781286457805"/>
          <c:h val="0.58581152040304452"/>
        </c:manualLayout>
      </c:layout>
      <c:areaChart>
        <c:grouping val="stacked"/>
        <c:varyColors val="0"/>
        <c:ser>
          <c:idx val="0"/>
          <c:order val="0"/>
          <c:tx>
            <c:strRef>
              <c:f>DTE_demand_forecast!$B$233</c:f>
              <c:strCache>
                <c:ptCount val="1"/>
                <c:pt idx="0">
                  <c:v>Existing</c:v>
                </c:pt>
              </c:strCache>
            </c:strRef>
          </c:tx>
          <c:spPr>
            <a:solidFill>
              <a:schemeClr val="accent1"/>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DTE_demand_forecast!$C$233:$L$233</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78B1-4104-91EF-7D6EC5F8FE67}"/>
            </c:ext>
          </c:extLst>
        </c:ser>
        <c:ser>
          <c:idx val="1"/>
          <c:order val="1"/>
          <c:tx>
            <c:strRef>
              <c:f>DTE_demand_forecast!$B$234</c:f>
              <c:strCache>
                <c:ptCount val="1"/>
                <c:pt idx="0">
                  <c:v>Replacement</c:v>
                </c:pt>
              </c:strCache>
            </c:strRef>
          </c:tx>
          <c:spPr>
            <a:solidFill>
              <a:schemeClr val="accent2"/>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DTE_demand_forecast!$C$234:$L$234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8B1-4104-91EF-7D6EC5F8FE67}"/>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SR_demand_forecast!$B$56</c:f>
              <c:strCache>
                <c:ptCount val="1"/>
                <c:pt idx="0">
                  <c:v>Human Space Flight</c:v>
                </c:pt>
              </c:strCache>
            </c:strRef>
          </c:tx>
          <c:spPr>
            <a:solidFill>
              <a:schemeClr val="accent1"/>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SR_demand_forecast!$C$56:$L$56</c:f>
              <c:numCache>
                <c:formatCode>_(* #,##0_);_(* \(#,##0\);_(* "-"??_);_(@_)</c:formatCode>
                <c:ptCount val="10"/>
                <c:pt idx="0">
                  <c:v>459516</c:v>
                </c:pt>
                <c:pt idx="1">
                  <c:v>459516</c:v>
                </c:pt>
                <c:pt idx="2">
                  <c:v>459516</c:v>
                </c:pt>
                <c:pt idx="3">
                  <c:v>459516</c:v>
                </c:pt>
                <c:pt idx="4">
                  <c:v>459516</c:v>
                </c:pt>
                <c:pt idx="5">
                  <c:v>459516</c:v>
                </c:pt>
                <c:pt idx="6">
                  <c:v>459516</c:v>
                </c:pt>
                <c:pt idx="7">
                  <c:v>459516</c:v>
                </c:pt>
                <c:pt idx="8">
                  <c:v>459516</c:v>
                </c:pt>
                <c:pt idx="9">
                  <c:v>459516</c:v>
                </c:pt>
              </c:numCache>
            </c:numRef>
          </c:val>
          <c:extLst>
            <c:ext xmlns:c16="http://schemas.microsoft.com/office/drawing/2014/chart" uri="{C3380CC4-5D6E-409C-BE32-E72D297353CC}">
              <c16:uniqueId val="{00000000-12ED-4526-9F4D-19E4028C8D7F}"/>
            </c:ext>
          </c:extLst>
        </c:ser>
        <c:ser>
          <c:idx val="1"/>
          <c:order val="1"/>
          <c:tx>
            <c:strRef>
              <c:f>SR_demand_forecast!$B$57</c:f>
              <c:strCache>
                <c:ptCount val="1"/>
                <c:pt idx="0">
                  <c:v>Near Earth Robotic - LEO Science</c:v>
                </c:pt>
              </c:strCache>
            </c:strRef>
          </c:tx>
          <c:spPr>
            <a:solidFill>
              <a:schemeClr val="accent2"/>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SR_demand_forecast!$C$57:$L$57</c:f>
              <c:numCache>
                <c:formatCode>_(* #,##0_);_(* \(#,##0\);_(* "-"??_);_(@_)</c:formatCode>
                <c:ptCount val="10"/>
                <c:pt idx="0">
                  <c:v>1100945.5555555555</c:v>
                </c:pt>
                <c:pt idx="1">
                  <c:v>900844.38888888888</c:v>
                </c:pt>
                <c:pt idx="2">
                  <c:v>900844.38888888888</c:v>
                </c:pt>
                <c:pt idx="3">
                  <c:v>767443.61111111112</c:v>
                </c:pt>
                <c:pt idx="4">
                  <c:v>600303.5</c:v>
                </c:pt>
                <c:pt idx="5">
                  <c:v>400202.33333333331</c:v>
                </c:pt>
                <c:pt idx="6">
                  <c:v>200101.16666666669</c:v>
                </c:pt>
                <c:pt idx="7">
                  <c:v>66700.388888888891</c:v>
                </c:pt>
                <c:pt idx="8">
                  <c:v>66700.388888888891</c:v>
                </c:pt>
                <c:pt idx="9">
                  <c:v>66700.388888888891</c:v>
                </c:pt>
              </c:numCache>
            </c:numRef>
          </c:val>
          <c:extLst>
            <c:ext xmlns:c16="http://schemas.microsoft.com/office/drawing/2014/chart" uri="{C3380CC4-5D6E-409C-BE32-E72D297353CC}">
              <c16:uniqueId val="{00000001-12ED-4526-9F4D-19E4028C8D7F}"/>
            </c:ext>
          </c:extLst>
        </c:ser>
        <c:ser>
          <c:idx val="2"/>
          <c:order val="2"/>
          <c:tx>
            <c:strRef>
              <c:f>SR_demand_forecast!$B$58</c:f>
              <c:strCache>
                <c:ptCount val="1"/>
                <c:pt idx="0">
                  <c:v>Near Earth Robotic - GEO and Near Earth</c:v>
                </c:pt>
              </c:strCache>
            </c:strRef>
          </c:tx>
          <c:spPr>
            <a:solidFill>
              <a:schemeClr val="accent3"/>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SR_demand_forecast!$C$58:$L$58</c:f>
              <c:numCache>
                <c:formatCode>_(* #,##0_);_(* \(#,##0\);_(* "-"??_);_(@_)</c:formatCode>
                <c:ptCount val="10"/>
                <c:pt idx="0">
                  <c:v>7092.8571428571431</c:v>
                </c:pt>
                <c:pt idx="1">
                  <c:v>7092.8571428571431</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12ED-4526-9F4D-19E4028C8D7F}"/>
            </c:ext>
          </c:extLst>
        </c:ser>
        <c:ser>
          <c:idx val="3"/>
          <c:order val="3"/>
          <c:tx>
            <c:strRef>
              <c:f>SR_demand_forecast!$B$59</c:f>
              <c:strCache>
                <c:ptCount val="1"/>
                <c:pt idx="0">
                  <c:v>Deep Space Robotic</c:v>
                </c:pt>
              </c:strCache>
            </c:strRef>
          </c:tx>
          <c:spPr>
            <a:solidFill>
              <a:schemeClr val="accent4"/>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2ED-4526-9F4D-19E4028C8D7F}"/>
            </c:ext>
          </c:extLst>
        </c:ser>
        <c:ser>
          <c:idx val="4"/>
          <c:order val="4"/>
          <c:tx>
            <c:strRef>
              <c:f>SR_demand_forecast!$B$60</c:f>
              <c:strCache>
                <c:ptCount val="1"/>
                <c:pt idx="0">
                  <c:v>Near Earth Robotic - Low Latency &amp; Complex Needs</c:v>
                </c:pt>
              </c:strCache>
            </c:strRef>
          </c:tx>
          <c:spPr>
            <a:solidFill>
              <a:schemeClr val="accent5"/>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SR_demand_forecast!$C$60:$L$60</c:f>
              <c:numCache>
                <c:formatCode>_(* #,##0_);_(* \(#,##0\);_(* "-"??_);_(@_)</c:formatCode>
                <c:ptCount val="10"/>
                <c:pt idx="0">
                  <c:v>460.5</c:v>
                </c:pt>
                <c:pt idx="1">
                  <c:v>460.5</c:v>
                </c:pt>
                <c:pt idx="2">
                  <c:v>460.5</c:v>
                </c:pt>
                <c:pt idx="3">
                  <c:v>460.5</c:v>
                </c:pt>
                <c:pt idx="4">
                  <c:v>0</c:v>
                </c:pt>
                <c:pt idx="5">
                  <c:v>0</c:v>
                </c:pt>
                <c:pt idx="6">
                  <c:v>0</c:v>
                </c:pt>
                <c:pt idx="7">
                  <c:v>0</c:v>
                </c:pt>
                <c:pt idx="8">
                  <c:v>0</c:v>
                </c:pt>
                <c:pt idx="9">
                  <c:v>0</c:v>
                </c:pt>
              </c:numCache>
            </c:numRef>
          </c:val>
          <c:extLst>
            <c:ext xmlns:c16="http://schemas.microsoft.com/office/drawing/2014/chart" uri="{C3380CC4-5D6E-409C-BE32-E72D297353CC}">
              <c16:uniqueId val="{00000004-12ED-4526-9F4D-19E4028C8D7F}"/>
            </c:ext>
          </c:extLst>
        </c:ser>
        <c:ser>
          <c:idx val="5"/>
          <c:order val="5"/>
          <c:tx>
            <c:strRef>
              <c:f>SR_demand_forecast!$B$61</c:f>
              <c:strCache>
                <c:ptCount val="1"/>
                <c:pt idx="0">
                  <c:v>Mission Operations</c:v>
                </c:pt>
              </c:strCache>
            </c:strRef>
          </c:tx>
          <c:spPr>
            <a:solidFill>
              <a:schemeClr val="accent6"/>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ED-4526-9F4D-19E4028C8D7F}"/>
            </c:ext>
          </c:extLst>
        </c:ser>
        <c:ser>
          <c:idx val="6"/>
          <c:order val="6"/>
          <c:tx>
            <c:strRef>
              <c:f>SR_demand_forecast!$B$62</c:f>
              <c:strCache>
                <c:ptCount val="1"/>
                <c:pt idx="0">
                  <c:v>Launch Events</c:v>
                </c:pt>
              </c:strCache>
            </c:strRef>
          </c:tx>
          <c:spPr>
            <a:solidFill>
              <a:schemeClr val="accent1">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SR_demand_forecast!$C$62:$L$62</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12ED-4526-9F4D-19E4028C8D7F}"/>
            </c:ext>
          </c:extLst>
        </c:ser>
        <c:ser>
          <c:idx val="7"/>
          <c:order val="7"/>
          <c:tx>
            <c:strRef>
              <c:f>SR_demand_forecast!$B$63</c:f>
              <c:strCache>
                <c:ptCount val="1"/>
                <c:pt idx="0">
                  <c:v>Terrestrial &amp; Aerial</c:v>
                </c:pt>
              </c:strCache>
            </c:strRef>
          </c:tx>
          <c:spPr>
            <a:solidFill>
              <a:schemeClr val="accent2">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SR_demand_forecast!$C$63:$L$63</c:f>
              <c:numCache>
                <c:formatCode>_(* #,##0_);_(* \(#,##0\);_(* "-"??_);_(@_)</c:formatCode>
                <c:ptCount val="10"/>
                <c:pt idx="0">
                  <c:v>101218</c:v>
                </c:pt>
                <c:pt idx="1">
                  <c:v>67478.666666666672</c:v>
                </c:pt>
                <c:pt idx="2">
                  <c:v>67478.666666666672</c:v>
                </c:pt>
                <c:pt idx="3">
                  <c:v>67478.666666666672</c:v>
                </c:pt>
                <c:pt idx="4">
                  <c:v>67478.666666666672</c:v>
                </c:pt>
                <c:pt idx="5">
                  <c:v>33739.333333333336</c:v>
                </c:pt>
                <c:pt idx="6">
                  <c:v>33739.333333333336</c:v>
                </c:pt>
                <c:pt idx="7">
                  <c:v>33739.333333333336</c:v>
                </c:pt>
                <c:pt idx="8">
                  <c:v>33739.333333333336</c:v>
                </c:pt>
                <c:pt idx="9">
                  <c:v>33739.333333333336</c:v>
                </c:pt>
              </c:numCache>
            </c:numRef>
          </c:val>
          <c:extLst>
            <c:ext xmlns:c16="http://schemas.microsoft.com/office/drawing/2014/chart" uri="{C3380CC4-5D6E-409C-BE32-E72D297353CC}">
              <c16:uniqueId val="{00000007-12ED-4526-9F4D-19E4028C8D7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SR_demand_forecast!$B$69</c:f>
              <c:strCache>
                <c:ptCount val="1"/>
                <c:pt idx="0">
                  <c:v>Existing</c:v>
                </c:pt>
              </c:strCache>
            </c:strRef>
          </c:tx>
          <c:spPr>
            <a:solidFill>
              <a:schemeClr val="accent1"/>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SR_demand_forecast!$C$69:$L$69</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389E-4E40-841D-F12B2C326EC0}"/>
            </c:ext>
          </c:extLst>
        </c:ser>
        <c:ser>
          <c:idx val="1"/>
          <c:order val="1"/>
          <c:tx>
            <c:strRef>
              <c:f>SR_demand_forecast!$B$70</c:f>
              <c:strCache>
                <c:ptCount val="1"/>
                <c:pt idx="0">
                  <c:v>Replacement</c:v>
                </c:pt>
              </c:strCache>
            </c:strRef>
          </c:tx>
          <c:spPr>
            <a:solidFill>
              <a:schemeClr val="accent2"/>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SR_demand_forecast!$C$70:$L$70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89E-4E40-841D-F12B2C326EC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SR_demand_forecast!$B$129</c:f>
              <c:strCache>
                <c:ptCount val="1"/>
                <c:pt idx="0">
                  <c:v>Human Space Flight</c:v>
                </c:pt>
              </c:strCache>
            </c:strRef>
          </c:tx>
          <c:spPr>
            <a:solidFill>
              <a:schemeClr val="accent1"/>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SR_demand_forecast!$C$129:$L$129</c:f>
              <c:numCache>
                <c:formatCode>_(* #,##0_);_(* \(#,##0\);_(* "-"??_);_(@_)</c:formatCode>
                <c:ptCount val="10"/>
                <c:pt idx="0">
                  <c:v>459516</c:v>
                </c:pt>
                <c:pt idx="1">
                  <c:v>459516</c:v>
                </c:pt>
                <c:pt idx="2">
                  <c:v>459516</c:v>
                </c:pt>
                <c:pt idx="3">
                  <c:v>459516</c:v>
                </c:pt>
                <c:pt idx="4">
                  <c:v>459516</c:v>
                </c:pt>
                <c:pt idx="5">
                  <c:v>459516</c:v>
                </c:pt>
                <c:pt idx="6">
                  <c:v>459516</c:v>
                </c:pt>
                <c:pt idx="7">
                  <c:v>459516</c:v>
                </c:pt>
                <c:pt idx="8">
                  <c:v>459516</c:v>
                </c:pt>
                <c:pt idx="9">
                  <c:v>459516</c:v>
                </c:pt>
              </c:numCache>
            </c:numRef>
          </c:val>
          <c:extLst>
            <c:ext xmlns:c16="http://schemas.microsoft.com/office/drawing/2014/chart" uri="{C3380CC4-5D6E-409C-BE32-E72D297353CC}">
              <c16:uniqueId val="{00000000-6A77-48AF-87AA-BCA6095B03F7}"/>
            </c:ext>
          </c:extLst>
        </c:ser>
        <c:ser>
          <c:idx val="1"/>
          <c:order val="1"/>
          <c:tx>
            <c:strRef>
              <c:f>SR_demand_forecast!$B$130</c:f>
              <c:strCache>
                <c:ptCount val="1"/>
                <c:pt idx="0">
                  <c:v>Near Earth Robotic - LEO Science</c:v>
                </c:pt>
              </c:strCache>
            </c:strRef>
          </c:tx>
          <c:spPr>
            <a:solidFill>
              <a:schemeClr val="accent2"/>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SR_demand_forecast!$C$130:$L$130</c:f>
              <c:numCache>
                <c:formatCode>_(* #,##0_);_(* \(#,##0\);_(* "-"??_);_(@_)</c:formatCode>
                <c:ptCount val="10"/>
                <c:pt idx="0">
                  <c:v>1100945.5555555555</c:v>
                </c:pt>
                <c:pt idx="1">
                  <c:v>900844.38888888888</c:v>
                </c:pt>
                <c:pt idx="2">
                  <c:v>900844.38888888888</c:v>
                </c:pt>
                <c:pt idx="3">
                  <c:v>767443.61111111112</c:v>
                </c:pt>
                <c:pt idx="4">
                  <c:v>600303.5</c:v>
                </c:pt>
                <c:pt idx="5">
                  <c:v>400202.33333333331</c:v>
                </c:pt>
                <c:pt idx="6">
                  <c:v>200101.16666666669</c:v>
                </c:pt>
                <c:pt idx="7">
                  <c:v>66700.388888888891</c:v>
                </c:pt>
                <c:pt idx="8">
                  <c:v>66700.388888888891</c:v>
                </c:pt>
                <c:pt idx="9">
                  <c:v>66700.388888888891</c:v>
                </c:pt>
              </c:numCache>
            </c:numRef>
          </c:val>
          <c:extLst>
            <c:ext xmlns:c16="http://schemas.microsoft.com/office/drawing/2014/chart" uri="{C3380CC4-5D6E-409C-BE32-E72D297353CC}">
              <c16:uniqueId val="{00000001-6A77-48AF-87AA-BCA6095B03F7}"/>
            </c:ext>
          </c:extLst>
        </c:ser>
        <c:ser>
          <c:idx val="2"/>
          <c:order val="2"/>
          <c:tx>
            <c:strRef>
              <c:f>SR_demand_forecast!$B$131</c:f>
              <c:strCache>
                <c:ptCount val="1"/>
                <c:pt idx="0">
                  <c:v>Near Earth Robotic - GEO and Near Earth</c:v>
                </c:pt>
              </c:strCache>
            </c:strRef>
          </c:tx>
          <c:spPr>
            <a:solidFill>
              <a:schemeClr val="accent3"/>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SR_demand_forecast!$C$131:$L$131</c:f>
              <c:numCache>
                <c:formatCode>_(* #,##0_);_(* \(#,##0\);_(* "-"??_);_(@_)</c:formatCode>
                <c:ptCount val="10"/>
                <c:pt idx="0">
                  <c:v>7092.8571428571431</c:v>
                </c:pt>
                <c:pt idx="1">
                  <c:v>7092.8571428571431</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6A77-48AF-87AA-BCA6095B03F7}"/>
            </c:ext>
          </c:extLst>
        </c:ser>
        <c:ser>
          <c:idx val="3"/>
          <c:order val="3"/>
          <c:tx>
            <c:strRef>
              <c:f>SR_demand_forecast!$B$132</c:f>
              <c:strCache>
                <c:ptCount val="1"/>
                <c:pt idx="0">
                  <c:v>Deep Space Robotic</c:v>
                </c:pt>
              </c:strCache>
            </c:strRef>
          </c:tx>
          <c:spPr>
            <a:solidFill>
              <a:schemeClr val="accent4"/>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SR_demand_forecast!$C$132:$L$132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A77-48AF-87AA-BCA6095B03F7}"/>
            </c:ext>
          </c:extLst>
        </c:ser>
        <c:ser>
          <c:idx val="4"/>
          <c:order val="4"/>
          <c:tx>
            <c:strRef>
              <c:f>SR_demand_forecast!$B$133</c:f>
              <c:strCache>
                <c:ptCount val="1"/>
                <c:pt idx="0">
                  <c:v>Near Earth Robotic - Low Latency &amp; Complex Needs</c:v>
                </c:pt>
              </c:strCache>
            </c:strRef>
          </c:tx>
          <c:spPr>
            <a:solidFill>
              <a:schemeClr val="accent5"/>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SR_demand_forecast!$C$133:$L$133</c:f>
              <c:numCache>
                <c:formatCode>_(* #,##0_);_(* \(#,##0\);_(* "-"??_);_(@_)</c:formatCode>
                <c:ptCount val="10"/>
                <c:pt idx="0">
                  <c:v>460.5</c:v>
                </c:pt>
                <c:pt idx="1">
                  <c:v>460.5</c:v>
                </c:pt>
                <c:pt idx="2">
                  <c:v>460.5</c:v>
                </c:pt>
                <c:pt idx="3">
                  <c:v>460.5</c:v>
                </c:pt>
                <c:pt idx="4">
                  <c:v>0</c:v>
                </c:pt>
                <c:pt idx="5">
                  <c:v>0</c:v>
                </c:pt>
                <c:pt idx="6">
                  <c:v>0</c:v>
                </c:pt>
                <c:pt idx="7">
                  <c:v>0</c:v>
                </c:pt>
                <c:pt idx="8">
                  <c:v>0</c:v>
                </c:pt>
                <c:pt idx="9">
                  <c:v>0</c:v>
                </c:pt>
              </c:numCache>
            </c:numRef>
          </c:val>
          <c:extLst>
            <c:ext xmlns:c16="http://schemas.microsoft.com/office/drawing/2014/chart" uri="{C3380CC4-5D6E-409C-BE32-E72D297353CC}">
              <c16:uniqueId val="{00000004-6A77-48AF-87AA-BCA6095B03F7}"/>
            </c:ext>
          </c:extLst>
        </c:ser>
        <c:ser>
          <c:idx val="5"/>
          <c:order val="5"/>
          <c:tx>
            <c:strRef>
              <c:f>SR_demand_forecast!$B$134</c:f>
              <c:strCache>
                <c:ptCount val="1"/>
                <c:pt idx="0">
                  <c:v>Mission Operations</c:v>
                </c:pt>
              </c:strCache>
            </c:strRef>
          </c:tx>
          <c:spPr>
            <a:solidFill>
              <a:schemeClr val="accent6"/>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A77-48AF-87AA-BCA6095B03F7}"/>
            </c:ext>
          </c:extLst>
        </c:ser>
        <c:ser>
          <c:idx val="6"/>
          <c:order val="6"/>
          <c:tx>
            <c:strRef>
              <c:f>SR_demand_forecast!$B$135</c:f>
              <c:strCache>
                <c:ptCount val="1"/>
                <c:pt idx="0">
                  <c:v>Launch Events</c:v>
                </c:pt>
              </c:strCache>
            </c:strRef>
          </c:tx>
          <c:spPr>
            <a:solidFill>
              <a:schemeClr val="accent1">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SR_demand_forecast!$C$135:$L$135</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6A77-48AF-87AA-BCA6095B03F7}"/>
            </c:ext>
          </c:extLst>
        </c:ser>
        <c:ser>
          <c:idx val="7"/>
          <c:order val="7"/>
          <c:tx>
            <c:strRef>
              <c:f>SR_demand_forecast!$B$136</c:f>
              <c:strCache>
                <c:ptCount val="1"/>
                <c:pt idx="0">
                  <c:v>Terrestrial &amp; Aerial</c:v>
                </c:pt>
              </c:strCache>
            </c:strRef>
          </c:tx>
          <c:spPr>
            <a:solidFill>
              <a:schemeClr val="accent2">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SR_demand_forecast!$C$136:$L$136</c:f>
              <c:numCache>
                <c:formatCode>_(* #,##0_);_(* \(#,##0\);_(* "-"??_);_(@_)</c:formatCode>
                <c:ptCount val="10"/>
                <c:pt idx="0">
                  <c:v>101218</c:v>
                </c:pt>
                <c:pt idx="1">
                  <c:v>67478.666666666672</c:v>
                </c:pt>
                <c:pt idx="2">
                  <c:v>67478.666666666672</c:v>
                </c:pt>
                <c:pt idx="3">
                  <c:v>67478.666666666672</c:v>
                </c:pt>
                <c:pt idx="4">
                  <c:v>67478.666666666672</c:v>
                </c:pt>
                <c:pt idx="5">
                  <c:v>33739.333333333336</c:v>
                </c:pt>
                <c:pt idx="6">
                  <c:v>33739.333333333336</c:v>
                </c:pt>
                <c:pt idx="7">
                  <c:v>33739.333333333336</c:v>
                </c:pt>
                <c:pt idx="8">
                  <c:v>33739.333333333336</c:v>
                </c:pt>
                <c:pt idx="9">
                  <c:v>33739.333333333336</c:v>
                </c:pt>
              </c:numCache>
            </c:numRef>
          </c:val>
          <c:extLst>
            <c:ext xmlns:c16="http://schemas.microsoft.com/office/drawing/2014/chart" uri="{C3380CC4-5D6E-409C-BE32-E72D297353CC}">
              <c16:uniqueId val="{00000007-6A77-48AF-87AA-BCA6095B03F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SR_demand_forecast!$B$142</c:f>
              <c:strCache>
                <c:ptCount val="1"/>
                <c:pt idx="0">
                  <c:v>Existing</c:v>
                </c:pt>
              </c:strCache>
            </c:strRef>
          </c:tx>
          <c:spPr>
            <a:solidFill>
              <a:schemeClr val="accent1"/>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SR_demand_forecast!$C$142:$L$142</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53E7-457A-9757-9794A37996D0}"/>
            </c:ext>
          </c:extLst>
        </c:ser>
        <c:ser>
          <c:idx val="1"/>
          <c:order val="1"/>
          <c:tx>
            <c:strRef>
              <c:f>SR_demand_forecast!$B$143</c:f>
              <c:strCache>
                <c:ptCount val="1"/>
                <c:pt idx="0">
                  <c:v>Replacement</c:v>
                </c:pt>
              </c:strCache>
            </c:strRef>
          </c:tx>
          <c:spPr>
            <a:solidFill>
              <a:schemeClr val="accent2"/>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SR_demand_forecast!$C$143:$L$143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3E7-457A-9757-9794A37996D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SR_demand_forecast!$B$202</c:f>
              <c:strCache>
                <c:ptCount val="1"/>
                <c:pt idx="0">
                  <c:v>Human Space Flight</c:v>
                </c:pt>
              </c:strCache>
            </c:strRef>
          </c:tx>
          <c:spPr>
            <a:solidFill>
              <a:schemeClr val="accent1"/>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SR_demand_forecast!$C$202:$L$202</c:f>
              <c:numCache>
                <c:formatCode>_(* #,##0_);_(* \(#,##0\);_(* "-"??_);_(@_)</c:formatCode>
                <c:ptCount val="10"/>
                <c:pt idx="0">
                  <c:v>459516</c:v>
                </c:pt>
                <c:pt idx="1">
                  <c:v>459516</c:v>
                </c:pt>
                <c:pt idx="2">
                  <c:v>459516</c:v>
                </c:pt>
                <c:pt idx="3">
                  <c:v>459516</c:v>
                </c:pt>
                <c:pt idx="4">
                  <c:v>459516</c:v>
                </c:pt>
                <c:pt idx="5">
                  <c:v>459516</c:v>
                </c:pt>
                <c:pt idx="6">
                  <c:v>459516</c:v>
                </c:pt>
                <c:pt idx="7">
                  <c:v>459516</c:v>
                </c:pt>
                <c:pt idx="8">
                  <c:v>459516</c:v>
                </c:pt>
                <c:pt idx="9">
                  <c:v>459516</c:v>
                </c:pt>
              </c:numCache>
            </c:numRef>
          </c:val>
          <c:extLst>
            <c:ext xmlns:c16="http://schemas.microsoft.com/office/drawing/2014/chart" uri="{C3380CC4-5D6E-409C-BE32-E72D297353CC}">
              <c16:uniqueId val="{00000000-8C20-4D8B-BCD2-17FACFBE20A0}"/>
            </c:ext>
          </c:extLst>
        </c:ser>
        <c:ser>
          <c:idx val="1"/>
          <c:order val="1"/>
          <c:tx>
            <c:strRef>
              <c:f>SR_demand_forecast!$B$203</c:f>
              <c:strCache>
                <c:ptCount val="1"/>
                <c:pt idx="0">
                  <c:v>Near Earth Robotic - LEO Science</c:v>
                </c:pt>
              </c:strCache>
            </c:strRef>
          </c:tx>
          <c:spPr>
            <a:solidFill>
              <a:schemeClr val="accent2"/>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SR_demand_forecast!$C$203:$L$203</c:f>
              <c:numCache>
                <c:formatCode>_(* #,##0_);_(* \(#,##0\);_(* "-"??_);_(@_)</c:formatCode>
                <c:ptCount val="10"/>
                <c:pt idx="0">
                  <c:v>1100945.5555555555</c:v>
                </c:pt>
                <c:pt idx="1">
                  <c:v>900844.38888888888</c:v>
                </c:pt>
                <c:pt idx="2">
                  <c:v>900844.38888888888</c:v>
                </c:pt>
                <c:pt idx="3">
                  <c:v>767443.61111111112</c:v>
                </c:pt>
                <c:pt idx="4">
                  <c:v>600303.5</c:v>
                </c:pt>
                <c:pt idx="5">
                  <c:v>400202.33333333331</c:v>
                </c:pt>
                <c:pt idx="6">
                  <c:v>200101.16666666669</c:v>
                </c:pt>
                <c:pt idx="7">
                  <c:v>66700.388888888891</c:v>
                </c:pt>
                <c:pt idx="8">
                  <c:v>66700.388888888891</c:v>
                </c:pt>
                <c:pt idx="9">
                  <c:v>66700.388888888891</c:v>
                </c:pt>
              </c:numCache>
            </c:numRef>
          </c:val>
          <c:extLst>
            <c:ext xmlns:c16="http://schemas.microsoft.com/office/drawing/2014/chart" uri="{C3380CC4-5D6E-409C-BE32-E72D297353CC}">
              <c16:uniqueId val="{00000001-8C20-4D8B-BCD2-17FACFBE20A0}"/>
            </c:ext>
          </c:extLst>
        </c:ser>
        <c:ser>
          <c:idx val="2"/>
          <c:order val="2"/>
          <c:tx>
            <c:strRef>
              <c:f>SR_demand_forecast!$B$204</c:f>
              <c:strCache>
                <c:ptCount val="1"/>
                <c:pt idx="0">
                  <c:v>Near Earth Robotic - GEO and Near Earth</c:v>
                </c:pt>
              </c:strCache>
            </c:strRef>
          </c:tx>
          <c:spPr>
            <a:solidFill>
              <a:schemeClr val="accent3"/>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SR_demand_forecast!$C$204:$L$204</c:f>
              <c:numCache>
                <c:formatCode>_(* #,##0_);_(* \(#,##0\);_(* "-"??_);_(@_)</c:formatCode>
                <c:ptCount val="10"/>
                <c:pt idx="0">
                  <c:v>7092.8571428571431</c:v>
                </c:pt>
                <c:pt idx="1">
                  <c:v>7092.8571428571431</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C20-4D8B-BCD2-17FACFBE20A0}"/>
            </c:ext>
          </c:extLst>
        </c:ser>
        <c:ser>
          <c:idx val="3"/>
          <c:order val="3"/>
          <c:tx>
            <c:strRef>
              <c:f>SR_demand_forecast!$B$205</c:f>
              <c:strCache>
                <c:ptCount val="1"/>
                <c:pt idx="0">
                  <c:v>Deep Space Robotic</c:v>
                </c:pt>
              </c:strCache>
            </c:strRef>
          </c:tx>
          <c:spPr>
            <a:solidFill>
              <a:schemeClr val="accent4"/>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SR_demand_forecast!$C$205:$L$205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C20-4D8B-BCD2-17FACFBE20A0}"/>
            </c:ext>
          </c:extLst>
        </c:ser>
        <c:ser>
          <c:idx val="4"/>
          <c:order val="4"/>
          <c:tx>
            <c:strRef>
              <c:f>SR_demand_forecast!$B$206</c:f>
              <c:strCache>
                <c:ptCount val="1"/>
                <c:pt idx="0">
                  <c:v>Near Earth Robotic - Low Latency &amp; Complex Needs</c:v>
                </c:pt>
              </c:strCache>
            </c:strRef>
          </c:tx>
          <c:spPr>
            <a:solidFill>
              <a:schemeClr val="accent5"/>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SR_demand_forecast!$C$206:$L$206</c:f>
              <c:numCache>
                <c:formatCode>_(* #,##0_);_(* \(#,##0\);_(* "-"??_);_(@_)</c:formatCode>
                <c:ptCount val="10"/>
                <c:pt idx="0">
                  <c:v>460.5</c:v>
                </c:pt>
                <c:pt idx="1">
                  <c:v>460.5</c:v>
                </c:pt>
                <c:pt idx="2">
                  <c:v>460.5</c:v>
                </c:pt>
                <c:pt idx="3">
                  <c:v>460.5</c:v>
                </c:pt>
                <c:pt idx="4">
                  <c:v>0</c:v>
                </c:pt>
                <c:pt idx="5">
                  <c:v>0</c:v>
                </c:pt>
                <c:pt idx="6">
                  <c:v>0</c:v>
                </c:pt>
                <c:pt idx="7">
                  <c:v>0</c:v>
                </c:pt>
                <c:pt idx="8">
                  <c:v>0</c:v>
                </c:pt>
                <c:pt idx="9">
                  <c:v>0</c:v>
                </c:pt>
              </c:numCache>
            </c:numRef>
          </c:val>
          <c:extLst>
            <c:ext xmlns:c16="http://schemas.microsoft.com/office/drawing/2014/chart" uri="{C3380CC4-5D6E-409C-BE32-E72D297353CC}">
              <c16:uniqueId val="{00000004-8C20-4D8B-BCD2-17FACFBE20A0}"/>
            </c:ext>
          </c:extLst>
        </c:ser>
        <c:ser>
          <c:idx val="5"/>
          <c:order val="5"/>
          <c:tx>
            <c:strRef>
              <c:f>SR_demand_forecast!$B$207</c:f>
              <c:strCache>
                <c:ptCount val="1"/>
                <c:pt idx="0">
                  <c:v>Mission Operations</c:v>
                </c:pt>
              </c:strCache>
            </c:strRef>
          </c:tx>
          <c:spPr>
            <a:solidFill>
              <a:schemeClr val="accent6"/>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C20-4D8B-BCD2-17FACFBE20A0}"/>
            </c:ext>
          </c:extLst>
        </c:ser>
        <c:ser>
          <c:idx val="6"/>
          <c:order val="6"/>
          <c:tx>
            <c:strRef>
              <c:f>SR_demand_forecast!$B$208</c:f>
              <c:strCache>
                <c:ptCount val="1"/>
                <c:pt idx="0">
                  <c:v>Launch Events</c:v>
                </c:pt>
              </c:strCache>
            </c:strRef>
          </c:tx>
          <c:spPr>
            <a:solidFill>
              <a:schemeClr val="accent1">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SR_demand_forecast!$C$208:$L$208</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8C20-4D8B-BCD2-17FACFBE20A0}"/>
            </c:ext>
          </c:extLst>
        </c:ser>
        <c:ser>
          <c:idx val="7"/>
          <c:order val="7"/>
          <c:tx>
            <c:strRef>
              <c:f>SR_demand_forecast!$B$209</c:f>
              <c:strCache>
                <c:ptCount val="1"/>
                <c:pt idx="0">
                  <c:v>Terrestrial &amp; Aerial</c:v>
                </c:pt>
              </c:strCache>
            </c:strRef>
          </c:tx>
          <c:spPr>
            <a:solidFill>
              <a:schemeClr val="accent2">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SR_demand_forecast!$C$209:$L$209</c:f>
              <c:numCache>
                <c:formatCode>_(* #,##0_);_(* \(#,##0\);_(* "-"??_);_(@_)</c:formatCode>
                <c:ptCount val="10"/>
                <c:pt idx="0">
                  <c:v>101218</c:v>
                </c:pt>
                <c:pt idx="1">
                  <c:v>67478.666666666672</c:v>
                </c:pt>
                <c:pt idx="2">
                  <c:v>67478.666666666672</c:v>
                </c:pt>
                <c:pt idx="3">
                  <c:v>67478.666666666672</c:v>
                </c:pt>
                <c:pt idx="4">
                  <c:v>67478.666666666672</c:v>
                </c:pt>
                <c:pt idx="5">
                  <c:v>33739.333333333336</c:v>
                </c:pt>
                <c:pt idx="6">
                  <c:v>33739.333333333336</c:v>
                </c:pt>
                <c:pt idx="7">
                  <c:v>33739.333333333336</c:v>
                </c:pt>
                <c:pt idx="8">
                  <c:v>33739.333333333336</c:v>
                </c:pt>
                <c:pt idx="9">
                  <c:v>33739.333333333336</c:v>
                </c:pt>
              </c:numCache>
            </c:numRef>
          </c:val>
          <c:extLst>
            <c:ext xmlns:c16="http://schemas.microsoft.com/office/drawing/2014/chart" uri="{C3380CC4-5D6E-409C-BE32-E72D297353CC}">
              <c16:uniqueId val="{00000007-8C20-4D8B-BCD2-17FACFBE20A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SR_demand_forecast!$B$215</c:f>
              <c:strCache>
                <c:ptCount val="1"/>
                <c:pt idx="0">
                  <c:v>Existing</c:v>
                </c:pt>
              </c:strCache>
            </c:strRef>
          </c:tx>
          <c:spPr>
            <a:solidFill>
              <a:schemeClr val="accent1"/>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SR_demand_forecast!$C$215:$L$215</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2C27-4DC8-B24B-4ACAFECA47E0}"/>
            </c:ext>
          </c:extLst>
        </c:ser>
        <c:ser>
          <c:idx val="1"/>
          <c:order val="1"/>
          <c:tx>
            <c:strRef>
              <c:f>SR_demand_forecast!$B$216</c:f>
              <c:strCache>
                <c:ptCount val="1"/>
                <c:pt idx="0">
                  <c:v>Replacement</c:v>
                </c:pt>
              </c:strCache>
            </c:strRef>
          </c:tx>
          <c:spPr>
            <a:solidFill>
              <a:schemeClr val="accent2"/>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SR_demand_forecast!$C$216:$L$216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2C27-4DC8-B24B-4ACAFECA47E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of Production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'Costs - DTE'!$AF$2</c:f>
              <c:strCache>
                <c:ptCount val="1"/>
                <c:pt idx="0">
                  <c:v>Fixed cost ($m)</c:v>
                </c:pt>
              </c:strCache>
            </c:strRef>
          </c:tx>
          <c:spPr>
            <a:solidFill>
              <a:schemeClr val="accent2"/>
            </a:solidFill>
            <a:ln>
              <a:noFill/>
            </a:ln>
            <a:effectLst/>
          </c:spPr>
          <c:invertIfNegative val="0"/>
          <c:cat>
            <c:numRef>
              <c:f>'Costs - DTE'!$AC$4:$AC$28</c:f>
              <c:numCache>
                <c:formatCode>_(* #,##0_);_(* \(#,##0\);_(* "-"??_);_(@_)</c:formatCode>
                <c:ptCount val="25"/>
                <c:pt idx="0">
                  <c:v>525600</c:v>
                </c:pt>
                <c:pt idx="1">
                  <c:v>1051200</c:v>
                </c:pt>
                <c:pt idx="2">
                  <c:v>1576800</c:v>
                </c:pt>
                <c:pt idx="3">
                  <c:v>2102400</c:v>
                </c:pt>
                <c:pt idx="4">
                  <c:v>2628000</c:v>
                </c:pt>
                <c:pt idx="5">
                  <c:v>3153600</c:v>
                </c:pt>
                <c:pt idx="6">
                  <c:v>3679200</c:v>
                </c:pt>
                <c:pt idx="7">
                  <c:v>4204800</c:v>
                </c:pt>
                <c:pt idx="8">
                  <c:v>4730400</c:v>
                </c:pt>
                <c:pt idx="9">
                  <c:v>5256000</c:v>
                </c:pt>
                <c:pt idx="10">
                  <c:v>5781600</c:v>
                </c:pt>
                <c:pt idx="11">
                  <c:v>6307200</c:v>
                </c:pt>
                <c:pt idx="12">
                  <c:v>6832800</c:v>
                </c:pt>
                <c:pt idx="13">
                  <c:v>7358400</c:v>
                </c:pt>
                <c:pt idx="14">
                  <c:v>7884000</c:v>
                </c:pt>
                <c:pt idx="15">
                  <c:v>8409600</c:v>
                </c:pt>
                <c:pt idx="16">
                  <c:v>8935200</c:v>
                </c:pt>
                <c:pt idx="17">
                  <c:v>9460800</c:v>
                </c:pt>
                <c:pt idx="18">
                  <c:v>9986400</c:v>
                </c:pt>
                <c:pt idx="19">
                  <c:v>10512000</c:v>
                </c:pt>
                <c:pt idx="20">
                  <c:v>11037600</c:v>
                </c:pt>
                <c:pt idx="21">
                  <c:v>11563200</c:v>
                </c:pt>
                <c:pt idx="22">
                  <c:v>12088800</c:v>
                </c:pt>
                <c:pt idx="23">
                  <c:v>12614400</c:v>
                </c:pt>
                <c:pt idx="24">
                  <c:v>13140000</c:v>
                </c:pt>
              </c:numCache>
            </c:numRef>
          </c:cat>
          <c:val>
            <c:numRef>
              <c:f>'Costs - DTE'!$AF$4:$AF$28</c:f>
              <c:numCache>
                <c:formatCode>_(* #,##0_);_(* \(#,##0\);_(* "-"??_);_(@_)</c:formatCode>
                <c:ptCount val="25"/>
                <c:pt idx="0">
                  <c:v>109.11184486104776</c:v>
                </c:pt>
                <c:pt idx="1">
                  <c:v>109.11184486104776</c:v>
                </c:pt>
                <c:pt idx="2">
                  <c:v>109.11184486104776</c:v>
                </c:pt>
                <c:pt idx="3">
                  <c:v>109.11184486104776</c:v>
                </c:pt>
                <c:pt idx="4">
                  <c:v>109.11184486104776</c:v>
                </c:pt>
                <c:pt idx="5">
                  <c:v>109.11184486104776</c:v>
                </c:pt>
                <c:pt idx="6">
                  <c:v>109.11184486104776</c:v>
                </c:pt>
                <c:pt idx="7">
                  <c:v>109.11184486104776</c:v>
                </c:pt>
                <c:pt idx="8">
                  <c:v>109.11184486104776</c:v>
                </c:pt>
                <c:pt idx="9">
                  <c:v>109.11184486104776</c:v>
                </c:pt>
                <c:pt idx="10">
                  <c:v>109.11184486104776</c:v>
                </c:pt>
                <c:pt idx="11">
                  <c:v>109.11184486104776</c:v>
                </c:pt>
                <c:pt idx="12">
                  <c:v>109.11184486104776</c:v>
                </c:pt>
                <c:pt idx="13">
                  <c:v>109.11184486104776</c:v>
                </c:pt>
                <c:pt idx="14">
                  <c:v>109.11184486104776</c:v>
                </c:pt>
                <c:pt idx="15">
                  <c:v>109.11184486104776</c:v>
                </c:pt>
                <c:pt idx="16">
                  <c:v>109.11184486104776</c:v>
                </c:pt>
                <c:pt idx="17">
                  <c:v>109.11184486104776</c:v>
                </c:pt>
                <c:pt idx="18">
                  <c:v>109.11184486104776</c:v>
                </c:pt>
                <c:pt idx="19">
                  <c:v>109.11184486104776</c:v>
                </c:pt>
                <c:pt idx="20">
                  <c:v>109.11184486104776</c:v>
                </c:pt>
                <c:pt idx="21">
                  <c:v>109.11184486104776</c:v>
                </c:pt>
                <c:pt idx="22">
                  <c:v>109.11184486104776</c:v>
                </c:pt>
                <c:pt idx="23">
                  <c:v>109.11184486104776</c:v>
                </c:pt>
                <c:pt idx="24">
                  <c:v>109.11184486104776</c:v>
                </c:pt>
              </c:numCache>
            </c:numRef>
          </c:val>
          <c:extLst>
            <c:ext xmlns:c16="http://schemas.microsoft.com/office/drawing/2014/chart" uri="{C3380CC4-5D6E-409C-BE32-E72D297353CC}">
              <c16:uniqueId val="{00000000-18AC-4CAF-93F4-01F6C7B9BA1E}"/>
            </c:ext>
          </c:extLst>
        </c:ser>
        <c:ser>
          <c:idx val="2"/>
          <c:order val="2"/>
          <c:tx>
            <c:strRef>
              <c:f>'Costs - DTE'!$AG$2</c:f>
              <c:strCache>
                <c:ptCount val="1"/>
                <c:pt idx="0">
                  <c:v>Variable cost ($m)</c:v>
                </c:pt>
              </c:strCache>
            </c:strRef>
          </c:tx>
          <c:spPr>
            <a:solidFill>
              <a:schemeClr val="accent3"/>
            </a:solidFill>
            <a:ln>
              <a:noFill/>
            </a:ln>
            <a:effectLst/>
          </c:spPr>
          <c:invertIfNegative val="0"/>
          <c:cat>
            <c:numRef>
              <c:f>'Costs - DTE'!$AC$4:$AC$28</c:f>
              <c:numCache>
                <c:formatCode>_(* #,##0_);_(* \(#,##0\);_(* "-"??_);_(@_)</c:formatCode>
                <c:ptCount val="25"/>
                <c:pt idx="0">
                  <c:v>525600</c:v>
                </c:pt>
                <c:pt idx="1">
                  <c:v>1051200</c:v>
                </c:pt>
                <c:pt idx="2">
                  <c:v>1576800</c:v>
                </c:pt>
                <c:pt idx="3">
                  <c:v>2102400</c:v>
                </c:pt>
                <c:pt idx="4">
                  <c:v>2628000</c:v>
                </c:pt>
                <c:pt idx="5">
                  <c:v>3153600</c:v>
                </c:pt>
                <c:pt idx="6">
                  <c:v>3679200</c:v>
                </c:pt>
                <c:pt idx="7">
                  <c:v>4204800</c:v>
                </c:pt>
                <c:pt idx="8">
                  <c:v>4730400</c:v>
                </c:pt>
                <c:pt idx="9">
                  <c:v>5256000</c:v>
                </c:pt>
                <c:pt idx="10">
                  <c:v>5781600</c:v>
                </c:pt>
                <c:pt idx="11">
                  <c:v>6307200</c:v>
                </c:pt>
                <c:pt idx="12">
                  <c:v>6832800</c:v>
                </c:pt>
                <c:pt idx="13">
                  <c:v>7358400</c:v>
                </c:pt>
                <c:pt idx="14">
                  <c:v>7884000</c:v>
                </c:pt>
                <c:pt idx="15">
                  <c:v>8409600</c:v>
                </c:pt>
                <c:pt idx="16">
                  <c:v>8935200</c:v>
                </c:pt>
                <c:pt idx="17">
                  <c:v>9460800</c:v>
                </c:pt>
                <c:pt idx="18">
                  <c:v>9986400</c:v>
                </c:pt>
                <c:pt idx="19">
                  <c:v>10512000</c:v>
                </c:pt>
                <c:pt idx="20">
                  <c:v>11037600</c:v>
                </c:pt>
                <c:pt idx="21">
                  <c:v>11563200</c:v>
                </c:pt>
                <c:pt idx="22">
                  <c:v>12088800</c:v>
                </c:pt>
                <c:pt idx="23">
                  <c:v>12614400</c:v>
                </c:pt>
                <c:pt idx="24">
                  <c:v>13140000</c:v>
                </c:pt>
              </c:numCache>
            </c:numRef>
          </c:cat>
          <c:val>
            <c:numRef>
              <c:f>'Costs - DTE'!$AG$4:$AG$28</c:f>
              <c:numCache>
                <c:formatCode>_(* #,##0_);_(* \(#,##0\);_(* "-"??_);_(@_)</c:formatCode>
                <c:ptCount val="25"/>
                <c:pt idx="0" formatCode="General">
                  <c:v>0</c:v>
                </c:pt>
                <c:pt idx="1">
                  <c:v>19.254842010290965</c:v>
                </c:pt>
                <c:pt idx="2">
                  <c:v>38.509684020581929</c:v>
                </c:pt>
                <c:pt idx="3">
                  <c:v>57.764526030872894</c:v>
                </c:pt>
                <c:pt idx="4">
                  <c:v>77.019368041163858</c:v>
                </c:pt>
                <c:pt idx="5">
                  <c:v>96.274210051454816</c:v>
                </c:pt>
                <c:pt idx="6">
                  <c:v>115.52905206174577</c:v>
                </c:pt>
                <c:pt idx="7">
                  <c:v>134.78389407203673</c:v>
                </c:pt>
                <c:pt idx="8">
                  <c:v>154.03873608232769</c:v>
                </c:pt>
                <c:pt idx="9">
                  <c:v>173.29357809261865</c:v>
                </c:pt>
                <c:pt idx="10">
                  <c:v>192.5484201029096</c:v>
                </c:pt>
                <c:pt idx="11">
                  <c:v>211.80326211320056</c:v>
                </c:pt>
                <c:pt idx="12">
                  <c:v>231.05810412349152</c:v>
                </c:pt>
                <c:pt idx="13">
                  <c:v>250.31294613378248</c:v>
                </c:pt>
                <c:pt idx="14">
                  <c:v>269.56778814407346</c:v>
                </c:pt>
                <c:pt idx="15">
                  <c:v>288.82263015436445</c:v>
                </c:pt>
                <c:pt idx="16">
                  <c:v>308.07747216465543</c:v>
                </c:pt>
                <c:pt idx="17">
                  <c:v>327.33231417494642</c:v>
                </c:pt>
                <c:pt idx="18">
                  <c:v>346.5871561852374</c:v>
                </c:pt>
                <c:pt idx="19">
                  <c:v>365.84199819552839</c:v>
                </c:pt>
                <c:pt idx="20">
                  <c:v>385.09684020581938</c:v>
                </c:pt>
                <c:pt idx="21">
                  <c:v>404.35168221611036</c:v>
                </c:pt>
                <c:pt idx="22">
                  <c:v>423.60652422640135</c:v>
                </c:pt>
                <c:pt idx="23">
                  <c:v>442.86136623669233</c:v>
                </c:pt>
                <c:pt idx="24">
                  <c:v>462.11620824698332</c:v>
                </c:pt>
              </c:numCache>
            </c:numRef>
          </c:val>
          <c:extLst>
            <c:ext xmlns:c16="http://schemas.microsoft.com/office/drawing/2014/chart" uri="{C3380CC4-5D6E-409C-BE32-E72D297353CC}">
              <c16:uniqueId val="{00000001-18AC-4CAF-93F4-01F6C7B9BA1E}"/>
            </c:ext>
          </c:extLst>
        </c:ser>
        <c:dLbls>
          <c:showLegendKey val="0"/>
          <c:showVal val="0"/>
          <c:showCatName val="0"/>
          <c:showSerName val="0"/>
          <c:showPercent val="0"/>
          <c:showBubbleSize val="0"/>
        </c:dLbls>
        <c:gapWidth val="150"/>
        <c:overlap val="100"/>
        <c:axId val="1575648544"/>
        <c:axId val="1521493440"/>
      </c:barChart>
      <c:lineChart>
        <c:grouping val="standard"/>
        <c:varyColors val="0"/>
        <c:ser>
          <c:idx val="0"/>
          <c:order val="0"/>
          <c:tx>
            <c:strRef>
              <c:f>'Costs - DTE'!$AE$2</c:f>
              <c:strCache>
                <c:ptCount val="1"/>
                <c:pt idx="0">
                  <c:v>Total cost ($m)</c:v>
                </c:pt>
              </c:strCache>
            </c:strRef>
          </c:tx>
          <c:spPr>
            <a:ln w="28575" cap="rnd">
              <a:noFill/>
              <a:round/>
            </a:ln>
            <a:effectLst/>
          </c:spPr>
          <c:marker>
            <c:symbol val="none"/>
          </c:marker>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'Costs - DTE'!$AE$4:$AE$28</c:f>
              <c:numCache>
                <c:formatCode>_(* #,##0_);_(* \(#,##0\);_(* "-"??_);_(@_)</c:formatCode>
                <c:ptCount val="25"/>
                <c:pt idx="0">
                  <c:v>109.11184486104776</c:v>
                </c:pt>
                <c:pt idx="1">
                  <c:v>128.36668687133871</c:v>
                </c:pt>
                <c:pt idx="2">
                  <c:v>147.62152888162967</c:v>
                </c:pt>
                <c:pt idx="3">
                  <c:v>166.87637089192066</c:v>
                </c:pt>
                <c:pt idx="4">
                  <c:v>186.13121290221162</c:v>
                </c:pt>
                <c:pt idx="5">
                  <c:v>205.38605491250257</c:v>
                </c:pt>
                <c:pt idx="6">
                  <c:v>224.64089692279353</c:v>
                </c:pt>
                <c:pt idx="7">
                  <c:v>243.89573893308449</c:v>
                </c:pt>
                <c:pt idx="8">
                  <c:v>263.15058094337542</c:v>
                </c:pt>
                <c:pt idx="9">
                  <c:v>282.4054229536664</c:v>
                </c:pt>
                <c:pt idx="10">
                  <c:v>301.66026496395739</c:v>
                </c:pt>
                <c:pt idx="11">
                  <c:v>320.91510697424832</c:v>
                </c:pt>
                <c:pt idx="12">
                  <c:v>340.16994898453925</c:v>
                </c:pt>
                <c:pt idx="13">
                  <c:v>359.42479099483023</c:v>
                </c:pt>
                <c:pt idx="14">
                  <c:v>378.67963300512122</c:v>
                </c:pt>
                <c:pt idx="15">
                  <c:v>397.9344750154122</c:v>
                </c:pt>
                <c:pt idx="16">
                  <c:v>417.18931702570319</c:v>
                </c:pt>
                <c:pt idx="17">
                  <c:v>436.44415903599418</c:v>
                </c:pt>
                <c:pt idx="18">
                  <c:v>455.69900104628516</c:v>
                </c:pt>
                <c:pt idx="19">
                  <c:v>474.95384305657615</c:v>
                </c:pt>
                <c:pt idx="20">
                  <c:v>494.20868506686713</c:v>
                </c:pt>
                <c:pt idx="21">
                  <c:v>513.46352707715812</c:v>
                </c:pt>
                <c:pt idx="22">
                  <c:v>532.7183690874491</c:v>
                </c:pt>
                <c:pt idx="23">
                  <c:v>551.97321109774009</c:v>
                </c:pt>
                <c:pt idx="24">
                  <c:v>571.22805310803108</c:v>
                </c:pt>
              </c:numCache>
            </c:numRef>
          </c:val>
          <c:smooth val="0"/>
          <c:extLst>
            <c:ext xmlns:c16="http://schemas.microsoft.com/office/drawing/2014/chart" uri="{C3380CC4-5D6E-409C-BE32-E72D297353CC}">
              <c16:uniqueId val="{00000002-18AC-4CAF-93F4-01F6C7B9BA1E}"/>
            </c:ext>
          </c:extLst>
        </c:ser>
        <c:dLbls>
          <c:showLegendKey val="0"/>
          <c:showVal val="0"/>
          <c:showCatName val="0"/>
          <c:showSerName val="0"/>
          <c:showPercent val="0"/>
          <c:showBubbleSize val="0"/>
        </c:dLbls>
        <c:marker val="1"/>
        <c:smooth val="0"/>
        <c:axId val="1575648544"/>
        <c:axId val="1521493440"/>
      </c:lineChart>
      <c:catAx>
        <c:axId val="1575648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Total Output of DTE Ground Station (Minutes)</a:t>
                </a:r>
                <a:endParaRPr lang="en-US" sz="400">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low"/>
        <c:spPr>
          <a:noFill/>
          <a:ln w="9525" cap="flat" cmpd="sng" algn="ctr">
            <a:solidFill>
              <a:schemeClr val="tx1">
                <a:lumMod val="15000"/>
                <a:lumOff val="85000"/>
              </a:schemeClr>
            </a:solidFill>
            <a:round/>
          </a:ln>
          <a:effectLst/>
        </c:spPr>
        <c:txPr>
          <a:bodyPr rot="12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493440"/>
        <c:crosses val="autoZero"/>
        <c:auto val="1"/>
        <c:lblAlgn val="ctr"/>
        <c:lblOffset val="100"/>
        <c:noMultiLvlLbl val="0"/>
      </c:catAx>
      <c:valAx>
        <c:axId val="1521493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 Mn)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648544"/>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Total Cost Per Minute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'Costs - DTE'!$AI$2</c:f>
              <c:strCache>
                <c:ptCount val="1"/>
                <c:pt idx="0">
                  <c:v>Average fixed cost (US$/Min)</c:v>
                </c:pt>
              </c:strCache>
            </c:strRef>
          </c:tx>
          <c:spPr>
            <a:solidFill>
              <a:schemeClr val="accent2"/>
            </a:solidFill>
            <a:ln>
              <a:noFill/>
            </a:ln>
            <a:effectLst/>
          </c:spPr>
          <c:invertIfNegative val="0"/>
          <c:cat>
            <c:numRef>
              <c:f>'Costs - DTE'!$AC$4:$AC$28</c:f>
              <c:numCache>
                <c:formatCode>_(* #,##0_);_(* \(#,##0\);_(* "-"??_);_(@_)</c:formatCode>
                <c:ptCount val="25"/>
                <c:pt idx="0">
                  <c:v>525600</c:v>
                </c:pt>
                <c:pt idx="1">
                  <c:v>1051200</c:v>
                </c:pt>
                <c:pt idx="2">
                  <c:v>1576800</c:v>
                </c:pt>
                <c:pt idx="3">
                  <c:v>2102400</c:v>
                </c:pt>
                <c:pt idx="4">
                  <c:v>2628000</c:v>
                </c:pt>
                <c:pt idx="5">
                  <c:v>3153600</c:v>
                </c:pt>
                <c:pt idx="6">
                  <c:v>3679200</c:v>
                </c:pt>
                <c:pt idx="7">
                  <c:v>4204800</c:v>
                </c:pt>
                <c:pt idx="8">
                  <c:v>4730400</c:v>
                </c:pt>
                <c:pt idx="9">
                  <c:v>5256000</c:v>
                </c:pt>
                <c:pt idx="10">
                  <c:v>5781600</c:v>
                </c:pt>
                <c:pt idx="11">
                  <c:v>6307200</c:v>
                </c:pt>
                <c:pt idx="12">
                  <c:v>6832800</c:v>
                </c:pt>
                <c:pt idx="13">
                  <c:v>7358400</c:v>
                </c:pt>
                <c:pt idx="14">
                  <c:v>7884000</c:v>
                </c:pt>
                <c:pt idx="15">
                  <c:v>8409600</c:v>
                </c:pt>
                <c:pt idx="16">
                  <c:v>8935200</c:v>
                </c:pt>
                <c:pt idx="17">
                  <c:v>9460800</c:v>
                </c:pt>
                <c:pt idx="18">
                  <c:v>9986400</c:v>
                </c:pt>
                <c:pt idx="19">
                  <c:v>10512000</c:v>
                </c:pt>
                <c:pt idx="20">
                  <c:v>11037600</c:v>
                </c:pt>
                <c:pt idx="21">
                  <c:v>11563200</c:v>
                </c:pt>
                <c:pt idx="22">
                  <c:v>12088800</c:v>
                </c:pt>
                <c:pt idx="23">
                  <c:v>12614400</c:v>
                </c:pt>
                <c:pt idx="24">
                  <c:v>13140000</c:v>
                </c:pt>
              </c:numCache>
            </c:numRef>
          </c:cat>
          <c:val>
            <c:numRef>
              <c:f>'Costs - DTE'!$AI$4:$AI$28</c:f>
              <c:numCache>
                <c:formatCode>_(* #,##0_);_(* \(#,##0\);_(* "-"??_);_(@_)</c:formatCode>
                <c:ptCount val="25"/>
                <c:pt idx="0">
                  <c:v>207.59483421051704</c:v>
                </c:pt>
                <c:pt idx="1">
                  <c:v>103.79741710525852</c:v>
                </c:pt>
                <c:pt idx="2">
                  <c:v>69.198278070172336</c:v>
                </c:pt>
                <c:pt idx="3">
                  <c:v>51.898708552629259</c:v>
                </c:pt>
                <c:pt idx="4">
                  <c:v>41.518966842103403</c:v>
                </c:pt>
                <c:pt idx="5">
                  <c:v>34.599139035086168</c:v>
                </c:pt>
                <c:pt idx="6">
                  <c:v>29.65640488721672</c:v>
                </c:pt>
                <c:pt idx="7">
                  <c:v>25.949354276314629</c:v>
                </c:pt>
                <c:pt idx="8">
                  <c:v>23.066092690057449</c:v>
                </c:pt>
                <c:pt idx="9">
                  <c:v>20.759483421051701</c:v>
                </c:pt>
                <c:pt idx="10">
                  <c:v>18.872257655501549</c:v>
                </c:pt>
                <c:pt idx="11">
                  <c:v>17.299569517543084</c:v>
                </c:pt>
                <c:pt idx="12">
                  <c:v>15.968833400809004</c:v>
                </c:pt>
                <c:pt idx="13">
                  <c:v>14.82820244360836</c:v>
                </c:pt>
                <c:pt idx="14">
                  <c:v>13.83965561403447</c:v>
                </c:pt>
                <c:pt idx="15">
                  <c:v>12.974677138157315</c:v>
                </c:pt>
                <c:pt idx="16">
                  <c:v>12.211460835912767</c:v>
                </c:pt>
                <c:pt idx="17">
                  <c:v>11.533046345028724</c:v>
                </c:pt>
                <c:pt idx="18">
                  <c:v>10.926043905816686</c:v>
                </c:pt>
                <c:pt idx="19">
                  <c:v>10.379741710525851</c:v>
                </c:pt>
                <c:pt idx="20">
                  <c:v>9.8854682957389066</c:v>
                </c:pt>
                <c:pt idx="21">
                  <c:v>9.4361288277507747</c:v>
                </c:pt>
                <c:pt idx="22">
                  <c:v>9.0258623569790029</c:v>
                </c:pt>
                <c:pt idx="23">
                  <c:v>8.649784758771542</c:v>
                </c:pt>
                <c:pt idx="24">
                  <c:v>8.3037933684206813</c:v>
                </c:pt>
              </c:numCache>
            </c:numRef>
          </c:val>
          <c:extLst>
            <c:ext xmlns:c16="http://schemas.microsoft.com/office/drawing/2014/chart" uri="{C3380CC4-5D6E-409C-BE32-E72D297353CC}">
              <c16:uniqueId val="{00000000-3DBC-4FD2-BBBD-4A01AF5DEE60}"/>
            </c:ext>
          </c:extLst>
        </c:ser>
        <c:ser>
          <c:idx val="2"/>
          <c:order val="2"/>
          <c:tx>
            <c:strRef>
              <c:f>'Costs - DTE'!$AJ$2</c:f>
              <c:strCache>
                <c:ptCount val="1"/>
                <c:pt idx="0">
                  <c:v>Average variable cost (US$/Min)</c:v>
                </c:pt>
              </c:strCache>
            </c:strRef>
          </c:tx>
          <c:spPr>
            <a:solidFill>
              <a:schemeClr val="accent3"/>
            </a:solidFill>
            <a:ln>
              <a:noFill/>
            </a:ln>
            <a:effectLst/>
          </c:spPr>
          <c:invertIfNegative val="0"/>
          <c:cat>
            <c:numRef>
              <c:f>'Costs - DTE'!$AC$4:$AC$28</c:f>
              <c:numCache>
                <c:formatCode>_(* #,##0_);_(* \(#,##0\);_(* "-"??_);_(@_)</c:formatCode>
                <c:ptCount val="25"/>
                <c:pt idx="0">
                  <c:v>525600</c:v>
                </c:pt>
                <c:pt idx="1">
                  <c:v>1051200</c:v>
                </c:pt>
                <c:pt idx="2">
                  <c:v>1576800</c:v>
                </c:pt>
                <c:pt idx="3">
                  <c:v>2102400</c:v>
                </c:pt>
                <c:pt idx="4">
                  <c:v>2628000</c:v>
                </c:pt>
                <c:pt idx="5">
                  <c:v>3153600</c:v>
                </c:pt>
                <c:pt idx="6">
                  <c:v>3679200</c:v>
                </c:pt>
                <c:pt idx="7">
                  <c:v>4204800</c:v>
                </c:pt>
                <c:pt idx="8">
                  <c:v>4730400</c:v>
                </c:pt>
                <c:pt idx="9">
                  <c:v>5256000</c:v>
                </c:pt>
                <c:pt idx="10">
                  <c:v>5781600</c:v>
                </c:pt>
                <c:pt idx="11">
                  <c:v>6307200</c:v>
                </c:pt>
                <c:pt idx="12">
                  <c:v>6832800</c:v>
                </c:pt>
                <c:pt idx="13">
                  <c:v>7358400</c:v>
                </c:pt>
                <c:pt idx="14">
                  <c:v>7884000</c:v>
                </c:pt>
                <c:pt idx="15">
                  <c:v>8409600</c:v>
                </c:pt>
                <c:pt idx="16">
                  <c:v>8935200</c:v>
                </c:pt>
                <c:pt idx="17">
                  <c:v>9460800</c:v>
                </c:pt>
                <c:pt idx="18">
                  <c:v>9986400</c:v>
                </c:pt>
                <c:pt idx="19">
                  <c:v>10512000</c:v>
                </c:pt>
                <c:pt idx="20">
                  <c:v>11037600</c:v>
                </c:pt>
                <c:pt idx="21">
                  <c:v>11563200</c:v>
                </c:pt>
                <c:pt idx="22">
                  <c:v>12088800</c:v>
                </c:pt>
                <c:pt idx="23">
                  <c:v>12614400</c:v>
                </c:pt>
                <c:pt idx="24">
                  <c:v>13140000</c:v>
                </c:pt>
              </c:numCache>
            </c:numRef>
          </c:cat>
          <c:val>
            <c:numRef>
              <c:f>'Costs - DTE'!$AJ$4:$AJ$28</c:f>
              <c:numCache>
                <c:formatCode>_(* #,##0_);_(* \(#,##0\);_(* "-"??_);_(@_)</c:formatCode>
                <c:ptCount val="25"/>
                <c:pt idx="0">
                  <c:v>0</c:v>
                </c:pt>
                <c:pt idx="1">
                  <c:v>18.31701104479734</c:v>
                </c:pt>
                <c:pt idx="2">
                  <c:v>24.422681393063122</c:v>
                </c:pt>
                <c:pt idx="3">
                  <c:v>27.47551656719601</c:v>
                </c:pt>
                <c:pt idx="4">
                  <c:v>29.307217671675744</c:v>
                </c:pt>
                <c:pt idx="5">
                  <c:v>30.528351741328898</c:v>
                </c:pt>
                <c:pt idx="6">
                  <c:v>31.400590362509725</c:v>
                </c:pt>
                <c:pt idx="7">
                  <c:v>32.054769328395345</c:v>
                </c:pt>
                <c:pt idx="8">
                  <c:v>32.563575190750825</c:v>
                </c:pt>
                <c:pt idx="9">
                  <c:v>32.970619880635212</c:v>
                </c:pt>
                <c:pt idx="10">
                  <c:v>33.303656445086069</c:v>
                </c:pt>
                <c:pt idx="11">
                  <c:v>33.581186915461785</c:v>
                </c:pt>
                <c:pt idx="12">
                  <c:v>33.816020390395082</c:v>
                </c:pt>
                <c:pt idx="13">
                  <c:v>34.017306226052199</c:v>
                </c:pt>
                <c:pt idx="14">
                  <c:v>34.191753950288366</c:v>
                </c:pt>
                <c:pt idx="15">
                  <c:v>34.344395708995009</c:v>
                </c:pt>
                <c:pt idx="16">
                  <c:v>34.479079613736168</c:v>
                </c:pt>
                <c:pt idx="17">
                  <c:v>34.598798640172753</c:v>
                </c:pt>
                <c:pt idx="18">
                  <c:v>34.705915663826538</c:v>
                </c:pt>
                <c:pt idx="19">
                  <c:v>34.802320985114953</c:v>
                </c:pt>
                <c:pt idx="20">
                  <c:v>34.889544847233033</c:v>
                </c:pt>
                <c:pt idx="21">
                  <c:v>34.968839267340385</c:v>
                </c:pt>
                <c:pt idx="22">
                  <c:v>35.041238520481883</c:v>
                </c:pt>
                <c:pt idx="23">
                  <c:v>35.107604502528247</c:v>
                </c:pt>
                <c:pt idx="24">
                  <c:v>35.16866120601091</c:v>
                </c:pt>
              </c:numCache>
            </c:numRef>
          </c:val>
          <c:extLst>
            <c:ext xmlns:c16="http://schemas.microsoft.com/office/drawing/2014/chart" uri="{C3380CC4-5D6E-409C-BE32-E72D297353CC}">
              <c16:uniqueId val="{00000001-3DBC-4FD2-BBBD-4A01AF5DEE60}"/>
            </c:ext>
          </c:extLst>
        </c:ser>
        <c:dLbls>
          <c:showLegendKey val="0"/>
          <c:showVal val="0"/>
          <c:showCatName val="0"/>
          <c:showSerName val="0"/>
          <c:showPercent val="0"/>
          <c:showBubbleSize val="0"/>
        </c:dLbls>
        <c:gapWidth val="150"/>
        <c:overlap val="100"/>
        <c:axId val="1575648544"/>
        <c:axId val="1521493440"/>
      </c:barChart>
      <c:lineChart>
        <c:grouping val="standard"/>
        <c:varyColors val="0"/>
        <c:ser>
          <c:idx val="0"/>
          <c:order val="0"/>
          <c:tx>
            <c:strRef>
              <c:f>'Costs - DTE'!$AH$2</c:f>
              <c:strCache>
                <c:ptCount val="1"/>
                <c:pt idx="0">
                  <c:v>Average total cost ($/Min)</c:v>
                </c:pt>
              </c:strCache>
            </c:strRef>
          </c:tx>
          <c:spPr>
            <a:ln w="28575" cap="rnd">
              <a:noFill/>
              <a:round/>
            </a:ln>
            <a:effectLst/>
          </c:spPr>
          <c:marker>
            <c:symbol val="none"/>
          </c:marker>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'Costs - DTE'!$AH$4:$AH$28</c:f>
              <c:numCache>
                <c:formatCode>_(* #,##0_);_(* \(#,##0\);_(* "-"??_);_(@_)</c:formatCode>
                <c:ptCount val="25"/>
                <c:pt idx="0">
                  <c:v>207.59483421051704</c:v>
                </c:pt>
                <c:pt idx="1">
                  <c:v>122.11442815005586</c:v>
                </c:pt>
                <c:pt idx="2">
                  <c:v>93.620959463235465</c:v>
                </c:pt>
                <c:pt idx="3">
                  <c:v>79.374225119825269</c:v>
                </c:pt>
                <c:pt idx="4">
                  <c:v>70.82618451377914</c:v>
                </c:pt>
                <c:pt idx="5">
                  <c:v>65.127490776415073</c:v>
                </c:pt>
                <c:pt idx="6">
                  <c:v>61.056995249726441</c:v>
                </c:pt>
                <c:pt idx="7">
                  <c:v>58.004123604709974</c:v>
                </c:pt>
                <c:pt idx="8">
                  <c:v>55.62966788080827</c:v>
                </c:pt>
                <c:pt idx="9">
                  <c:v>53.73010330168691</c:v>
                </c:pt>
                <c:pt idx="10">
                  <c:v>52.175914100587619</c:v>
                </c:pt>
                <c:pt idx="11">
                  <c:v>50.880756433004869</c:v>
                </c:pt>
                <c:pt idx="12">
                  <c:v>49.784853791204085</c:v>
                </c:pt>
                <c:pt idx="13">
                  <c:v>48.84550866966056</c:v>
                </c:pt>
                <c:pt idx="14">
                  <c:v>48.031409564322836</c:v>
                </c:pt>
                <c:pt idx="15">
                  <c:v>47.319072847152327</c:v>
                </c:pt>
                <c:pt idx="16">
                  <c:v>46.690540449648935</c:v>
                </c:pt>
                <c:pt idx="17">
                  <c:v>46.131844985201475</c:v>
                </c:pt>
                <c:pt idx="18">
                  <c:v>45.631959569643222</c:v>
                </c:pt>
                <c:pt idx="19">
                  <c:v>45.182062695640802</c:v>
                </c:pt>
                <c:pt idx="20">
                  <c:v>44.775013142971943</c:v>
                </c:pt>
                <c:pt idx="21">
                  <c:v>44.404968095091164</c:v>
                </c:pt>
                <c:pt idx="22">
                  <c:v>44.067100877460888</c:v>
                </c:pt>
                <c:pt idx="23">
                  <c:v>43.757389261299792</c:v>
                </c:pt>
                <c:pt idx="24">
                  <c:v>43.472454574431595</c:v>
                </c:pt>
              </c:numCache>
            </c:numRef>
          </c:val>
          <c:smooth val="0"/>
          <c:extLst>
            <c:ext xmlns:c16="http://schemas.microsoft.com/office/drawing/2014/chart" uri="{C3380CC4-5D6E-409C-BE32-E72D297353CC}">
              <c16:uniqueId val="{00000002-3DBC-4FD2-BBBD-4A01AF5DEE60}"/>
            </c:ext>
          </c:extLst>
        </c:ser>
        <c:dLbls>
          <c:showLegendKey val="0"/>
          <c:showVal val="0"/>
          <c:showCatName val="0"/>
          <c:showSerName val="0"/>
          <c:showPercent val="0"/>
          <c:showBubbleSize val="0"/>
        </c:dLbls>
        <c:marker val="1"/>
        <c:smooth val="0"/>
        <c:axId val="1575648544"/>
        <c:axId val="1521493440"/>
      </c:lineChart>
      <c:catAx>
        <c:axId val="1575648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Output of </a:t>
                </a:r>
                <a:r>
                  <a:rPr lang="en-US" sz="1000" b="0" i="0" u="none" strike="noStrike" baseline="0">
                    <a:effectLst/>
                  </a:rPr>
                  <a:t>LEO </a:t>
                </a:r>
                <a:r>
                  <a:rPr lang="en-US"/>
                  <a:t>Network (Minutes)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12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493440"/>
        <c:crosses val="autoZero"/>
        <c:auto val="1"/>
        <c:lblAlgn val="ctr"/>
        <c:lblOffset val="100"/>
        <c:noMultiLvlLbl val="0"/>
      </c:catAx>
      <c:valAx>
        <c:axId val="1521493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648544"/>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Total Cost of Production</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'Costs - SR - LEO'!$AJ$2</c:f>
              <c:strCache>
                <c:ptCount val="1"/>
                <c:pt idx="0">
                  <c:v>Fixed cost ($M)</c:v>
                </c:pt>
              </c:strCache>
            </c:strRef>
          </c:tx>
          <c:spPr>
            <a:solidFill>
              <a:schemeClr val="accent2"/>
            </a:solidFill>
            <a:ln>
              <a:noFill/>
            </a:ln>
            <a:effectLst/>
          </c:spPr>
          <c:invertIfNegative val="0"/>
          <c:cat>
            <c:numRef>
              <c:f>'Costs - SR - LEO'!$AE$4:$AE$55</c:f>
              <c:numCache>
                <c:formatCode>_(* #,##0_);_(* \(#,##0\);_(* "-"??_);_(@_)</c:formatCode>
                <c:ptCount val="52"/>
                <c:pt idx="0">
                  <c:v>21000000</c:v>
                </c:pt>
                <c:pt idx="1">
                  <c:v>42000000</c:v>
                </c:pt>
                <c:pt idx="2">
                  <c:v>63000000</c:v>
                </c:pt>
                <c:pt idx="3">
                  <c:v>84000000</c:v>
                </c:pt>
                <c:pt idx="4">
                  <c:v>105000000</c:v>
                </c:pt>
                <c:pt idx="5">
                  <c:v>126000000</c:v>
                </c:pt>
                <c:pt idx="6">
                  <c:v>147000000</c:v>
                </c:pt>
                <c:pt idx="7">
                  <c:v>168000000</c:v>
                </c:pt>
                <c:pt idx="8">
                  <c:v>189000000</c:v>
                </c:pt>
                <c:pt idx="9">
                  <c:v>210000000</c:v>
                </c:pt>
                <c:pt idx="10">
                  <c:v>231000000</c:v>
                </c:pt>
                <c:pt idx="11">
                  <c:v>252000000</c:v>
                </c:pt>
                <c:pt idx="12">
                  <c:v>273000000</c:v>
                </c:pt>
                <c:pt idx="13">
                  <c:v>294000000</c:v>
                </c:pt>
                <c:pt idx="14">
                  <c:v>315000000</c:v>
                </c:pt>
                <c:pt idx="15">
                  <c:v>336000000</c:v>
                </c:pt>
                <c:pt idx="16">
                  <c:v>357000000</c:v>
                </c:pt>
                <c:pt idx="17">
                  <c:v>378000000</c:v>
                </c:pt>
                <c:pt idx="18">
                  <c:v>399000000</c:v>
                </c:pt>
                <c:pt idx="19">
                  <c:v>420000000</c:v>
                </c:pt>
                <c:pt idx="20">
                  <c:v>441000000</c:v>
                </c:pt>
                <c:pt idx="21">
                  <c:v>462000000</c:v>
                </c:pt>
                <c:pt idx="22">
                  <c:v>483000000</c:v>
                </c:pt>
                <c:pt idx="23">
                  <c:v>504000000</c:v>
                </c:pt>
                <c:pt idx="24">
                  <c:v>525000000</c:v>
                </c:pt>
                <c:pt idx="25">
                  <c:v>546000000</c:v>
                </c:pt>
                <c:pt idx="26">
                  <c:v>567000000</c:v>
                </c:pt>
                <c:pt idx="27">
                  <c:v>588000000</c:v>
                </c:pt>
                <c:pt idx="28">
                  <c:v>609000000</c:v>
                </c:pt>
                <c:pt idx="29">
                  <c:v>630000000</c:v>
                </c:pt>
                <c:pt idx="30">
                  <c:v>651000000</c:v>
                </c:pt>
                <c:pt idx="31">
                  <c:v>672000000</c:v>
                </c:pt>
                <c:pt idx="32">
                  <c:v>693000000</c:v>
                </c:pt>
                <c:pt idx="33">
                  <c:v>714000000</c:v>
                </c:pt>
                <c:pt idx="34">
                  <c:v>735000000</c:v>
                </c:pt>
                <c:pt idx="35">
                  <c:v>756000000</c:v>
                </c:pt>
                <c:pt idx="36">
                  <c:v>777000000</c:v>
                </c:pt>
                <c:pt idx="37">
                  <c:v>798000000</c:v>
                </c:pt>
                <c:pt idx="38">
                  <c:v>819000000</c:v>
                </c:pt>
                <c:pt idx="39">
                  <c:v>840000000</c:v>
                </c:pt>
                <c:pt idx="40">
                  <c:v>861000000</c:v>
                </c:pt>
                <c:pt idx="41">
                  <c:v>882000000</c:v>
                </c:pt>
                <c:pt idx="42">
                  <c:v>903000000</c:v>
                </c:pt>
                <c:pt idx="43">
                  <c:v>924000000</c:v>
                </c:pt>
                <c:pt idx="44">
                  <c:v>945000000</c:v>
                </c:pt>
                <c:pt idx="45">
                  <c:v>966000000</c:v>
                </c:pt>
                <c:pt idx="46">
                  <c:v>987000000</c:v>
                </c:pt>
                <c:pt idx="47">
                  <c:v>1008000000</c:v>
                </c:pt>
                <c:pt idx="48">
                  <c:v>1029000000</c:v>
                </c:pt>
                <c:pt idx="49">
                  <c:v>1050000000</c:v>
                </c:pt>
                <c:pt idx="50">
                  <c:v>1071000000</c:v>
                </c:pt>
                <c:pt idx="51">
                  <c:v>1092000000</c:v>
                </c:pt>
              </c:numCache>
            </c:numRef>
          </c:cat>
          <c:val>
            <c:numRef>
              <c:f>'Costs - SR - LEO'!$AJ$4:$AJ$55</c:f>
              <c:numCache>
                <c:formatCode>_(* #,##0_);_(* \(#,##0\);_(* "-"??_);_(@_)</c:formatCode>
                <c:ptCount val="52"/>
                <c:pt idx="0">
                  <c:v>657.44476798848643</c:v>
                </c:pt>
                <c:pt idx="1">
                  <c:v>657.44476798848643</c:v>
                </c:pt>
                <c:pt idx="2">
                  <c:v>657.44476798848643</c:v>
                </c:pt>
                <c:pt idx="3">
                  <c:v>657.44476798848643</c:v>
                </c:pt>
                <c:pt idx="4">
                  <c:v>657.44476798848643</c:v>
                </c:pt>
                <c:pt idx="5">
                  <c:v>657.44476798848643</c:v>
                </c:pt>
                <c:pt idx="6">
                  <c:v>657.44476798848643</c:v>
                </c:pt>
                <c:pt idx="7">
                  <c:v>657.44476798848643</c:v>
                </c:pt>
                <c:pt idx="8">
                  <c:v>657.44476798848643</c:v>
                </c:pt>
                <c:pt idx="9">
                  <c:v>657.44476798848643</c:v>
                </c:pt>
                <c:pt idx="10">
                  <c:v>657.44476798848643</c:v>
                </c:pt>
                <c:pt idx="11">
                  <c:v>657.44476798848643</c:v>
                </c:pt>
                <c:pt idx="12">
                  <c:v>657.44476798848643</c:v>
                </c:pt>
                <c:pt idx="13">
                  <c:v>657.44476798848643</c:v>
                </c:pt>
                <c:pt idx="14">
                  <c:v>657.44476798848643</c:v>
                </c:pt>
                <c:pt idx="15">
                  <c:v>657.44476798848643</c:v>
                </c:pt>
                <c:pt idx="16">
                  <c:v>657.44476798848643</c:v>
                </c:pt>
                <c:pt idx="17">
                  <c:v>657.44476798848643</c:v>
                </c:pt>
                <c:pt idx="18">
                  <c:v>657.44476798848643</c:v>
                </c:pt>
                <c:pt idx="19">
                  <c:v>657.44476798848643</c:v>
                </c:pt>
                <c:pt idx="20">
                  <c:v>657.44476798848643</c:v>
                </c:pt>
                <c:pt idx="21">
                  <c:v>657.44476798848643</c:v>
                </c:pt>
                <c:pt idx="22">
                  <c:v>657.44476798848643</c:v>
                </c:pt>
                <c:pt idx="23">
                  <c:v>657.44476798848643</c:v>
                </c:pt>
                <c:pt idx="24">
                  <c:v>657.44476798848643</c:v>
                </c:pt>
                <c:pt idx="25">
                  <c:v>657.44476798848643</c:v>
                </c:pt>
                <c:pt idx="26">
                  <c:v>657.44476798848643</c:v>
                </c:pt>
                <c:pt idx="27">
                  <c:v>657.44476798848643</c:v>
                </c:pt>
                <c:pt idx="28">
                  <c:v>657.44476798848643</c:v>
                </c:pt>
                <c:pt idx="29">
                  <c:v>657.44476798848643</c:v>
                </c:pt>
                <c:pt idx="30">
                  <c:v>657.44476798848643</c:v>
                </c:pt>
                <c:pt idx="31">
                  <c:v>657.44476798848643</c:v>
                </c:pt>
                <c:pt idx="32">
                  <c:v>657.44476798848643</c:v>
                </c:pt>
                <c:pt idx="33">
                  <c:v>657.44476798848643</c:v>
                </c:pt>
                <c:pt idx="34">
                  <c:v>657.44476798848643</c:v>
                </c:pt>
                <c:pt idx="35">
                  <c:v>657.44476798848643</c:v>
                </c:pt>
                <c:pt idx="36">
                  <c:v>657.44476798848643</c:v>
                </c:pt>
                <c:pt idx="37">
                  <c:v>657.44476798848643</c:v>
                </c:pt>
                <c:pt idx="38">
                  <c:v>657.44476798848643</c:v>
                </c:pt>
                <c:pt idx="39">
                  <c:v>657.44476798848643</c:v>
                </c:pt>
                <c:pt idx="40">
                  <c:v>657.44476798848643</c:v>
                </c:pt>
                <c:pt idx="41">
                  <c:v>657.44476798848643</c:v>
                </c:pt>
                <c:pt idx="42">
                  <c:v>657.44476798848643</c:v>
                </c:pt>
                <c:pt idx="43">
                  <c:v>657.44476798848643</c:v>
                </c:pt>
                <c:pt idx="44">
                  <c:v>657.44476798848643</c:v>
                </c:pt>
                <c:pt idx="45">
                  <c:v>657.44476798848643</c:v>
                </c:pt>
                <c:pt idx="46">
                  <c:v>657.44476798848643</c:v>
                </c:pt>
                <c:pt idx="47">
                  <c:v>657.44476798848643</c:v>
                </c:pt>
                <c:pt idx="48">
                  <c:v>657.44476798848643</c:v>
                </c:pt>
                <c:pt idx="49">
                  <c:v>657.44476798848643</c:v>
                </c:pt>
                <c:pt idx="50">
                  <c:v>657.44476798848643</c:v>
                </c:pt>
                <c:pt idx="51">
                  <c:v>657.44476798848643</c:v>
                </c:pt>
              </c:numCache>
            </c:numRef>
          </c:val>
          <c:extLst>
            <c:ext xmlns:c16="http://schemas.microsoft.com/office/drawing/2014/chart" uri="{C3380CC4-5D6E-409C-BE32-E72D297353CC}">
              <c16:uniqueId val="{00000000-782B-4CA3-ABAD-87EE4512C91D}"/>
            </c:ext>
          </c:extLst>
        </c:ser>
        <c:ser>
          <c:idx val="2"/>
          <c:order val="2"/>
          <c:tx>
            <c:strRef>
              <c:f>'Costs - SR - LEO'!$AK$2</c:f>
              <c:strCache>
                <c:ptCount val="1"/>
                <c:pt idx="0">
                  <c:v>Variable cost ($M)</c:v>
                </c:pt>
              </c:strCache>
            </c:strRef>
          </c:tx>
          <c:spPr>
            <a:solidFill>
              <a:schemeClr val="accent3"/>
            </a:solidFill>
            <a:ln>
              <a:noFill/>
            </a:ln>
            <a:effectLst/>
          </c:spPr>
          <c:invertIfNegative val="0"/>
          <c:cat>
            <c:numRef>
              <c:f>'Costs - SR - LEO'!$AE$4:$AE$55</c:f>
              <c:numCache>
                <c:formatCode>_(* #,##0_);_(* \(#,##0\);_(* "-"??_);_(@_)</c:formatCode>
                <c:ptCount val="52"/>
                <c:pt idx="0">
                  <c:v>21000000</c:v>
                </c:pt>
                <c:pt idx="1">
                  <c:v>42000000</c:v>
                </c:pt>
                <c:pt idx="2">
                  <c:v>63000000</c:v>
                </c:pt>
                <c:pt idx="3">
                  <c:v>84000000</c:v>
                </c:pt>
                <c:pt idx="4">
                  <c:v>105000000</c:v>
                </c:pt>
                <c:pt idx="5">
                  <c:v>126000000</c:v>
                </c:pt>
                <c:pt idx="6">
                  <c:v>147000000</c:v>
                </c:pt>
                <c:pt idx="7">
                  <c:v>168000000</c:v>
                </c:pt>
                <c:pt idx="8">
                  <c:v>189000000</c:v>
                </c:pt>
                <c:pt idx="9">
                  <c:v>210000000</c:v>
                </c:pt>
                <c:pt idx="10">
                  <c:v>231000000</c:v>
                </c:pt>
                <c:pt idx="11">
                  <c:v>252000000</c:v>
                </c:pt>
                <c:pt idx="12">
                  <c:v>273000000</c:v>
                </c:pt>
                <c:pt idx="13">
                  <c:v>294000000</c:v>
                </c:pt>
                <c:pt idx="14">
                  <c:v>315000000</c:v>
                </c:pt>
                <c:pt idx="15">
                  <c:v>336000000</c:v>
                </c:pt>
                <c:pt idx="16">
                  <c:v>357000000</c:v>
                </c:pt>
                <c:pt idx="17">
                  <c:v>378000000</c:v>
                </c:pt>
                <c:pt idx="18">
                  <c:v>399000000</c:v>
                </c:pt>
                <c:pt idx="19">
                  <c:v>420000000</c:v>
                </c:pt>
                <c:pt idx="20">
                  <c:v>441000000</c:v>
                </c:pt>
                <c:pt idx="21">
                  <c:v>462000000</c:v>
                </c:pt>
                <c:pt idx="22">
                  <c:v>483000000</c:v>
                </c:pt>
                <c:pt idx="23">
                  <c:v>504000000</c:v>
                </c:pt>
                <c:pt idx="24">
                  <c:v>525000000</c:v>
                </c:pt>
                <c:pt idx="25">
                  <c:v>546000000</c:v>
                </c:pt>
                <c:pt idx="26">
                  <c:v>567000000</c:v>
                </c:pt>
                <c:pt idx="27">
                  <c:v>588000000</c:v>
                </c:pt>
                <c:pt idx="28">
                  <c:v>609000000</c:v>
                </c:pt>
                <c:pt idx="29">
                  <c:v>630000000</c:v>
                </c:pt>
                <c:pt idx="30">
                  <c:v>651000000</c:v>
                </c:pt>
                <c:pt idx="31">
                  <c:v>672000000</c:v>
                </c:pt>
                <c:pt idx="32">
                  <c:v>693000000</c:v>
                </c:pt>
                <c:pt idx="33">
                  <c:v>714000000</c:v>
                </c:pt>
                <c:pt idx="34">
                  <c:v>735000000</c:v>
                </c:pt>
                <c:pt idx="35">
                  <c:v>756000000</c:v>
                </c:pt>
                <c:pt idx="36">
                  <c:v>777000000</c:v>
                </c:pt>
                <c:pt idx="37">
                  <c:v>798000000</c:v>
                </c:pt>
                <c:pt idx="38">
                  <c:v>819000000</c:v>
                </c:pt>
                <c:pt idx="39">
                  <c:v>840000000</c:v>
                </c:pt>
                <c:pt idx="40">
                  <c:v>861000000</c:v>
                </c:pt>
                <c:pt idx="41">
                  <c:v>882000000</c:v>
                </c:pt>
                <c:pt idx="42">
                  <c:v>903000000</c:v>
                </c:pt>
                <c:pt idx="43">
                  <c:v>924000000</c:v>
                </c:pt>
                <c:pt idx="44">
                  <c:v>945000000</c:v>
                </c:pt>
                <c:pt idx="45">
                  <c:v>966000000</c:v>
                </c:pt>
                <c:pt idx="46">
                  <c:v>987000000</c:v>
                </c:pt>
                <c:pt idx="47">
                  <c:v>1008000000</c:v>
                </c:pt>
                <c:pt idx="48">
                  <c:v>1029000000</c:v>
                </c:pt>
                <c:pt idx="49">
                  <c:v>1050000000</c:v>
                </c:pt>
                <c:pt idx="50">
                  <c:v>1071000000</c:v>
                </c:pt>
                <c:pt idx="51">
                  <c:v>1092000000</c:v>
                </c:pt>
              </c:numCache>
            </c:numRef>
          </c:cat>
          <c:val>
            <c:numRef>
              <c:f>'Costs - SR - LEO'!$AK$4:$AK$55</c:f>
              <c:numCache>
                <c:formatCode>_(* #,##0_);_(* \(#,##0\);_(* "-"??_);_(@_)</c:formatCode>
                <c:ptCount val="52"/>
                <c:pt idx="0">
                  <c:v>0</c:v>
                </c:pt>
                <c:pt idx="1">
                  <c:v>93.239800129849542</c:v>
                </c:pt>
                <c:pt idx="2">
                  <c:v>186.47960025969908</c:v>
                </c:pt>
                <c:pt idx="3">
                  <c:v>279.71940038954864</c:v>
                </c:pt>
                <c:pt idx="4">
                  <c:v>372.95920051939817</c:v>
                </c:pt>
                <c:pt idx="5">
                  <c:v>466.19900064924769</c:v>
                </c:pt>
                <c:pt idx="6">
                  <c:v>559.43880077909728</c:v>
                </c:pt>
                <c:pt idx="7">
                  <c:v>652.67860090894681</c:v>
                </c:pt>
                <c:pt idx="8">
                  <c:v>745.91840103879633</c:v>
                </c:pt>
                <c:pt idx="9">
                  <c:v>839.15820116864586</c:v>
                </c:pt>
                <c:pt idx="10">
                  <c:v>932.39800129849539</c:v>
                </c:pt>
                <c:pt idx="11">
                  <c:v>1025.637801428345</c:v>
                </c:pt>
                <c:pt idx="12">
                  <c:v>1118.8776015581946</c:v>
                </c:pt>
                <c:pt idx="13">
                  <c:v>1212.1174016880441</c:v>
                </c:pt>
                <c:pt idx="14">
                  <c:v>1305.3572018178936</c:v>
                </c:pt>
                <c:pt idx="15">
                  <c:v>1398.5970019477431</c:v>
                </c:pt>
                <c:pt idx="16">
                  <c:v>1491.8368020775927</c:v>
                </c:pt>
                <c:pt idx="17">
                  <c:v>1585.0766022074422</c:v>
                </c:pt>
                <c:pt idx="18">
                  <c:v>1678.3164023372917</c:v>
                </c:pt>
                <c:pt idx="19">
                  <c:v>1771.5562024671412</c:v>
                </c:pt>
                <c:pt idx="20">
                  <c:v>1864.7960025969908</c:v>
                </c:pt>
                <c:pt idx="21">
                  <c:v>1958.0358027268403</c:v>
                </c:pt>
                <c:pt idx="22">
                  <c:v>2051.2756028566901</c:v>
                </c:pt>
                <c:pt idx="23">
                  <c:v>2144.5154029865398</c:v>
                </c:pt>
                <c:pt idx="24">
                  <c:v>2237.7552031163896</c:v>
                </c:pt>
                <c:pt idx="25">
                  <c:v>2330.9950032462393</c:v>
                </c:pt>
                <c:pt idx="26">
                  <c:v>2424.2348033760891</c:v>
                </c:pt>
                <c:pt idx="27">
                  <c:v>2517.4746035059388</c:v>
                </c:pt>
                <c:pt idx="28">
                  <c:v>2610.7144036357886</c:v>
                </c:pt>
                <c:pt idx="29">
                  <c:v>2703.9542037656383</c:v>
                </c:pt>
                <c:pt idx="30">
                  <c:v>2797.1940038954881</c:v>
                </c:pt>
                <c:pt idx="31">
                  <c:v>2890.4338040253378</c:v>
                </c:pt>
                <c:pt idx="32">
                  <c:v>2983.6736041551876</c:v>
                </c:pt>
                <c:pt idx="33">
                  <c:v>3076.9134042850374</c:v>
                </c:pt>
                <c:pt idx="34">
                  <c:v>3170.1532044148871</c:v>
                </c:pt>
                <c:pt idx="35">
                  <c:v>3263.3930045447369</c:v>
                </c:pt>
                <c:pt idx="36">
                  <c:v>3356.6328046745866</c:v>
                </c:pt>
                <c:pt idx="37">
                  <c:v>3449.8726048044364</c:v>
                </c:pt>
                <c:pt idx="38">
                  <c:v>3543.1124049342861</c:v>
                </c:pt>
                <c:pt idx="39">
                  <c:v>3636.3522050641359</c:v>
                </c:pt>
                <c:pt idx="40">
                  <c:v>3729.5920051939856</c:v>
                </c:pt>
                <c:pt idx="41">
                  <c:v>3822.8318053238354</c:v>
                </c:pt>
                <c:pt idx="42">
                  <c:v>3916.0716054536852</c:v>
                </c:pt>
                <c:pt idx="43">
                  <c:v>4009.3114055835349</c:v>
                </c:pt>
                <c:pt idx="44">
                  <c:v>4102.5512057133847</c:v>
                </c:pt>
                <c:pt idx="45">
                  <c:v>4195.7910058432344</c:v>
                </c:pt>
                <c:pt idx="46">
                  <c:v>4289.0308059730842</c:v>
                </c:pt>
                <c:pt idx="47">
                  <c:v>4382.2706061029339</c:v>
                </c:pt>
                <c:pt idx="48">
                  <c:v>4475.5104062327837</c:v>
                </c:pt>
                <c:pt idx="49">
                  <c:v>4568.7502063626334</c:v>
                </c:pt>
                <c:pt idx="50">
                  <c:v>4661.9900064924832</c:v>
                </c:pt>
                <c:pt idx="51">
                  <c:v>4755.2298066223329</c:v>
                </c:pt>
              </c:numCache>
            </c:numRef>
          </c:val>
          <c:extLst>
            <c:ext xmlns:c16="http://schemas.microsoft.com/office/drawing/2014/chart" uri="{C3380CC4-5D6E-409C-BE32-E72D297353CC}">
              <c16:uniqueId val="{00000001-782B-4CA3-ABAD-87EE4512C91D}"/>
            </c:ext>
          </c:extLst>
        </c:ser>
        <c:dLbls>
          <c:showLegendKey val="0"/>
          <c:showVal val="0"/>
          <c:showCatName val="0"/>
          <c:showSerName val="0"/>
          <c:showPercent val="0"/>
          <c:showBubbleSize val="0"/>
        </c:dLbls>
        <c:gapWidth val="150"/>
        <c:overlap val="100"/>
        <c:axId val="1575648544"/>
        <c:axId val="1521493440"/>
      </c:barChart>
      <c:lineChart>
        <c:grouping val="standard"/>
        <c:varyColors val="0"/>
        <c:ser>
          <c:idx val="0"/>
          <c:order val="0"/>
          <c:tx>
            <c:strRef>
              <c:f>'Costs - SR - LEO'!$AI$2</c:f>
              <c:strCache>
                <c:ptCount val="1"/>
                <c:pt idx="0">
                  <c:v>Total cost ($M)</c:v>
                </c:pt>
              </c:strCache>
            </c:strRef>
          </c:tx>
          <c:spPr>
            <a:ln w="28575" cap="rnd">
              <a:noFill/>
              <a:round/>
            </a:ln>
            <a:effectLst/>
          </c:spPr>
          <c:marker>
            <c:symbol val="none"/>
          </c:marker>
          <c:dLbls>
            <c:numFmt formatCode="&quot;$&quot;#,##0" sourceLinked="0"/>
            <c:spPr>
              <a:noFill/>
              <a:ln>
                <a:noFill/>
              </a:ln>
              <a:effectLst/>
            </c:spPr>
            <c:txPr>
              <a:bodyPr rot="-5400000" spcFirstLastPara="1" vertOverflow="ellipsis"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'Costs - SR - LEO'!$AE$4:$AE$55</c:f>
              <c:numCache>
                <c:formatCode>_(* #,##0_);_(* \(#,##0\);_(* "-"??_);_(@_)</c:formatCode>
                <c:ptCount val="52"/>
                <c:pt idx="0">
                  <c:v>21000000</c:v>
                </c:pt>
                <c:pt idx="1">
                  <c:v>42000000</c:v>
                </c:pt>
                <c:pt idx="2">
                  <c:v>63000000</c:v>
                </c:pt>
                <c:pt idx="3">
                  <c:v>84000000</c:v>
                </c:pt>
                <c:pt idx="4">
                  <c:v>105000000</c:v>
                </c:pt>
                <c:pt idx="5">
                  <c:v>126000000</c:v>
                </c:pt>
                <c:pt idx="6">
                  <c:v>147000000</c:v>
                </c:pt>
                <c:pt idx="7">
                  <c:v>168000000</c:v>
                </c:pt>
                <c:pt idx="8">
                  <c:v>189000000</c:v>
                </c:pt>
                <c:pt idx="9">
                  <c:v>210000000</c:v>
                </c:pt>
                <c:pt idx="10">
                  <c:v>231000000</c:v>
                </c:pt>
                <c:pt idx="11">
                  <c:v>252000000</c:v>
                </c:pt>
                <c:pt idx="12">
                  <c:v>273000000</c:v>
                </c:pt>
                <c:pt idx="13">
                  <c:v>294000000</c:v>
                </c:pt>
                <c:pt idx="14">
                  <c:v>315000000</c:v>
                </c:pt>
                <c:pt idx="15">
                  <c:v>336000000</c:v>
                </c:pt>
                <c:pt idx="16">
                  <c:v>357000000</c:v>
                </c:pt>
                <c:pt idx="17">
                  <c:v>378000000</c:v>
                </c:pt>
                <c:pt idx="18">
                  <c:v>399000000</c:v>
                </c:pt>
                <c:pt idx="19">
                  <c:v>420000000</c:v>
                </c:pt>
                <c:pt idx="20">
                  <c:v>441000000</c:v>
                </c:pt>
                <c:pt idx="21">
                  <c:v>462000000</c:v>
                </c:pt>
                <c:pt idx="22">
                  <c:v>483000000</c:v>
                </c:pt>
                <c:pt idx="23">
                  <c:v>504000000</c:v>
                </c:pt>
                <c:pt idx="24">
                  <c:v>525000000</c:v>
                </c:pt>
                <c:pt idx="25">
                  <c:v>546000000</c:v>
                </c:pt>
                <c:pt idx="26">
                  <c:v>567000000</c:v>
                </c:pt>
                <c:pt idx="27">
                  <c:v>588000000</c:v>
                </c:pt>
                <c:pt idx="28">
                  <c:v>609000000</c:v>
                </c:pt>
                <c:pt idx="29">
                  <c:v>630000000</c:v>
                </c:pt>
                <c:pt idx="30">
                  <c:v>651000000</c:v>
                </c:pt>
                <c:pt idx="31">
                  <c:v>672000000</c:v>
                </c:pt>
                <c:pt idx="32">
                  <c:v>693000000</c:v>
                </c:pt>
                <c:pt idx="33">
                  <c:v>714000000</c:v>
                </c:pt>
                <c:pt idx="34">
                  <c:v>735000000</c:v>
                </c:pt>
                <c:pt idx="35">
                  <c:v>756000000</c:v>
                </c:pt>
                <c:pt idx="36">
                  <c:v>777000000</c:v>
                </c:pt>
                <c:pt idx="37">
                  <c:v>798000000</c:v>
                </c:pt>
                <c:pt idx="38">
                  <c:v>819000000</c:v>
                </c:pt>
                <c:pt idx="39">
                  <c:v>840000000</c:v>
                </c:pt>
                <c:pt idx="40">
                  <c:v>861000000</c:v>
                </c:pt>
                <c:pt idx="41">
                  <c:v>882000000</c:v>
                </c:pt>
                <c:pt idx="42">
                  <c:v>903000000</c:v>
                </c:pt>
                <c:pt idx="43">
                  <c:v>924000000</c:v>
                </c:pt>
                <c:pt idx="44">
                  <c:v>945000000</c:v>
                </c:pt>
                <c:pt idx="45">
                  <c:v>966000000</c:v>
                </c:pt>
                <c:pt idx="46">
                  <c:v>987000000</c:v>
                </c:pt>
                <c:pt idx="47">
                  <c:v>1008000000</c:v>
                </c:pt>
                <c:pt idx="48">
                  <c:v>1029000000</c:v>
                </c:pt>
                <c:pt idx="49">
                  <c:v>1050000000</c:v>
                </c:pt>
                <c:pt idx="50">
                  <c:v>1071000000</c:v>
                </c:pt>
                <c:pt idx="51">
                  <c:v>1092000000</c:v>
                </c:pt>
              </c:numCache>
            </c:numRef>
          </c:cat>
          <c:val>
            <c:numRef>
              <c:f>'Costs - SR - LEO'!$AI$4:$AI$55</c:f>
              <c:numCache>
                <c:formatCode>_(* #,##0_);_(* \(#,##0\);_(* "-"??_);_(@_)</c:formatCode>
                <c:ptCount val="52"/>
                <c:pt idx="0">
                  <c:v>657.44476798848643</c:v>
                </c:pt>
                <c:pt idx="1">
                  <c:v>750.68456811833596</c:v>
                </c:pt>
                <c:pt idx="2">
                  <c:v>843.92436824818549</c:v>
                </c:pt>
                <c:pt idx="3">
                  <c:v>937.16416837803513</c:v>
                </c:pt>
                <c:pt idx="4">
                  <c:v>1030.4039685078847</c:v>
                </c:pt>
                <c:pt idx="5">
                  <c:v>1123.6437686377342</c:v>
                </c:pt>
                <c:pt idx="6">
                  <c:v>1216.8835687675837</c:v>
                </c:pt>
                <c:pt idx="7">
                  <c:v>1310.1233688974332</c:v>
                </c:pt>
                <c:pt idx="8">
                  <c:v>1403.3631690272828</c:v>
                </c:pt>
                <c:pt idx="9">
                  <c:v>1496.6029691571323</c:v>
                </c:pt>
                <c:pt idx="10">
                  <c:v>1589.8427692869818</c:v>
                </c:pt>
                <c:pt idx="11">
                  <c:v>1683.0825694168316</c:v>
                </c:pt>
                <c:pt idx="12">
                  <c:v>1776.3223695466809</c:v>
                </c:pt>
                <c:pt idx="13">
                  <c:v>1869.5621696765306</c:v>
                </c:pt>
                <c:pt idx="14">
                  <c:v>1962.8019698063799</c:v>
                </c:pt>
                <c:pt idx="15">
                  <c:v>2056.0417699362297</c:v>
                </c:pt>
                <c:pt idx="16">
                  <c:v>2149.281570066079</c:v>
                </c:pt>
                <c:pt idx="17">
                  <c:v>2242.5213701959287</c:v>
                </c:pt>
                <c:pt idx="18">
                  <c:v>2335.761170325778</c:v>
                </c:pt>
                <c:pt idx="19">
                  <c:v>2429.0009704556278</c:v>
                </c:pt>
                <c:pt idx="20">
                  <c:v>2522.2407705854771</c:v>
                </c:pt>
                <c:pt idx="21">
                  <c:v>2615.4805707153268</c:v>
                </c:pt>
                <c:pt idx="22">
                  <c:v>2708.7203708451766</c:v>
                </c:pt>
                <c:pt idx="23">
                  <c:v>2801.9601709750264</c:v>
                </c:pt>
                <c:pt idx="24">
                  <c:v>2895.1999711048761</c:v>
                </c:pt>
                <c:pt idx="25">
                  <c:v>2988.4397712347259</c:v>
                </c:pt>
                <c:pt idx="26">
                  <c:v>3081.6795713645756</c:v>
                </c:pt>
                <c:pt idx="27">
                  <c:v>3174.9193714944254</c:v>
                </c:pt>
                <c:pt idx="28">
                  <c:v>3268.1591716242751</c:v>
                </c:pt>
                <c:pt idx="29">
                  <c:v>3361.3989717541249</c:v>
                </c:pt>
                <c:pt idx="30">
                  <c:v>3454.6387718839746</c:v>
                </c:pt>
                <c:pt idx="31">
                  <c:v>3547.8785720138244</c:v>
                </c:pt>
                <c:pt idx="32">
                  <c:v>3641.1183721436742</c:v>
                </c:pt>
                <c:pt idx="33">
                  <c:v>3734.3581722735239</c:v>
                </c:pt>
                <c:pt idx="34">
                  <c:v>3827.5979724033737</c:v>
                </c:pt>
                <c:pt idx="35">
                  <c:v>3920.8377725332234</c:v>
                </c:pt>
                <c:pt idx="36">
                  <c:v>4014.0775726630732</c:v>
                </c:pt>
                <c:pt idx="37">
                  <c:v>4107.3173727929225</c:v>
                </c:pt>
                <c:pt idx="38">
                  <c:v>4200.5571729227722</c:v>
                </c:pt>
                <c:pt idx="39">
                  <c:v>4293.796973052622</c:v>
                </c:pt>
                <c:pt idx="40">
                  <c:v>4387.0367731824717</c:v>
                </c:pt>
                <c:pt idx="41">
                  <c:v>4480.2765733123215</c:v>
                </c:pt>
                <c:pt idx="42">
                  <c:v>4573.5163734421712</c:v>
                </c:pt>
                <c:pt idx="43">
                  <c:v>4666.756173572021</c:v>
                </c:pt>
                <c:pt idx="44">
                  <c:v>4759.9959737018708</c:v>
                </c:pt>
                <c:pt idx="45">
                  <c:v>4853.2357738317205</c:v>
                </c:pt>
                <c:pt idx="46">
                  <c:v>4946.4755739615703</c:v>
                </c:pt>
                <c:pt idx="47">
                  <c:v>5039.71537409142</c:v>
                </c:pt>
                <c:pt idx="48">
                  <c:v>5132.9551742212698</c:v>
                </c:pt>
                <c:pt idx="49">
                  <c:v>5226.1949743511195</c:v>
                </c:pt>
                <c:pt idx="50">
                  <c:v>5319.4347744809693</c:v>
                </c:pt>
                <c:pt idx="51">
                  <c:v>5412.674574610819</c:v>
                </c:pt>
              </c:numCache>
            </c:numRef>
          </c:val>
          <c:smooth val="0"/>
          <c:extLst>
            <c:ext xmlns:c16="http://schemas.microsoft.com/office/drawing/2014/chart" uri="{C3380CC4-5D6E-409C-BE32-E72D297353CC}">
              <c16:uniqueId val="{00000002-782B-4CA3-ABAD-87EE4512C91D}"/>
            </c:ext>
          </c:extLst>
        </c:ser>
        <c:dLbls>
          <c:showLegendKey val="0"/>
          <c:showVal val="0"/>
          <c:showCatName val="0"/>
          <c:showSerName val="0"/>
          <c:showPercent val="0"/>
          <c:showBubbleSize val="0"/>
        </c:dLbls>
        <c:marker val="1"/>
        <c:smooth val="0"/>
        <c:axId val="1575648544"/>
        <c:axId val="1521493440"/>
      </c:lineChart>
      <c:catAx>
        <c:axId val="157564854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Total Output of LEO Network (Minutes)</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21493440"/>
        <c:crosses val="autoZero"/>
        <c:auto val="1"/>
        <c:lblAlgn val="ctr"/>
        <c:lblOffset val="100"/>
        <c:noMultiLvlLbl val="0"/>
      </c:catAx>
      <c:valAx>
        <c:axId val="1521493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Cost (US$ Mn)</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75648544"/>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Average Total Cost Per Minute</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'Costs - SR - LEO'!$AM$2</c:f>
              <c:strCache>
                <c:ptCount val="1"/>
                <c:pt idx="0">
                  <c:v>Average fixed cost (US$/Min)</c:v>
                </c:pt>
              </c:strCache>
            </c:strRef>
          </c:tx>
          <c:spPr>
            <a:solidFill>
              <a:schemeClr val="accent2"/>
            </a:solidFill>
            <a:ln>
              <a:noFill/>
            </a:ln>
            <a:effectLst/>
          </c:spPr>
          <c:invertIfNegative val="0"/>
          <c:val>
            <c:numRef>
              <c:f>'Costs - SR - LEO'!$AM$4:$AM$55</c:f>
              <c:numCache>
                <c:formatCode>0</c:formatCode>
                <c:ptCount val="52"/>
                <c:pt idx="0">
                  <c:v>31.306893713737452</c:v>
                </c:pt>
                <c:pt idx="1">
                  <c:v>15.653446856868726</c:v>
                </c:pt>
                <c:pt idx="2">
                  <c:v>10.435631237912483</c:v>
                </c:pt>
                <c:pt idx="3">
                  <c:v>7.826723428434363</c:v>
                </c:pt>
                <c:pt idx="4">
                  <c:v>6.2613787427474898</c:v>
                </c:pt>
                <c:pt idx="5">
                  <c:v>5.2178156189562417</c:v>
                </c:pt>
                <c:pt idx="6">
                  <c:v>4.4724133876767782</c:v>
                </c:pt>
                <c:pt idx="7">
                  <c:v>3.9133617142171815</c:v>
                </c:pt>
                <c:pt idx="8">
                  <c:v>3.4785437459708275</c:v>
                </c:pt>
                <c:pt idx="9">
                  <c:v>3.1306893713737449</c:v>
                </c:pt>
                <c:pt idx="10">
                  <c:v>2.8460812467034047</c:v>
                </c:pt>
                <c:pt idx="11">
                  <c:v>2.6089078094781208</c:v>
                </c:pt>
                <c:pt idx="12">
                  <c:v>2.4082225933644192</c:v>
                </c:pt>
                <c:pt idx="13">
                  <c:v>2.2362066938383891</c:v>
                </c:pt>
                <c:pt idx="14">
                  <c:v>2.0871262475824963</c:v>
                </c:pt>
                <c:pt idx="15">
                  <c:v>1.9566808571085907</c:v>
                </c:pt>
                <c:pt idx="16">
                  <c:v>1.8415819831610265</c:v>
                </c:pt>
                <c:pt idx="17">
                  <c:v>1.7392718729854137</c:v>
                </c:pt>
                <c:pt idx="18">
                  <c:v>1.6477312480914446</c:v>
                </c:pt>
                <c:pt idx="19">
                  <c:v>1.5653446856868725</c:v>
                </c:pt>
                <c:pt idx="20">
                  <c:v>1.4908044625589263</c:v>
                </c:pt>
                <c:pt idx="21">
                  <c:v>1.4230406233517023</c:v>
                </c:pt>
                <c:pt idx="22">
                  <c:v>1.3611692919016283</c:v>
                </c:pt>
                <c:pt idx="23">
                  <c:v>1.3044539047390604</c:v>
                </c:pt>
                <c:pt idx="24">
                  <c:v>1.252275748549498</c:v>
                </c:pt>
                <c:pt idx="25">
                  <c:v>1.2041112966822096</c:v>
                </c:pt>
                <c:pt idx="26">
                  <c:v>1.1595145819902759</c:v>
                </c:pt>
                <c:pt idx="27">
                  <c:v>1.1181033469191946</c:v>
                </c:pt>
                <c:pt idx="28">
                  <c:v>1.0795480590943949</c:v>
                </c:pt>
                <c:pt idx="29">
                  <c:v>1.0435631237912482</c:v>
                </c:pt>
                <c:pt idx="30">
                  <c:v>1.0098997972173371</c:v>
                </c:pt>
                <c:pt idx="31">
                  <c:v>0.97834042855429537</c:v>
                </c:pt>
                <c:pt idx="32">
                  <c:v>0.94869374890113489</c:v>
                </c:pt>
                <c:pt idx="33">
                  <c:v>0.92079099158051325</c:v>
                </c:pt>
                <c:pt idx="34">
                  <c:v>0.89448267753535571</c:v>
                </c:pt>
                <c:pt idx="35">
                  <c:v>0.86963593649270687</c:v>
                </c:pt>
                <c:pt idx="36">
                  <c:v>0.84613226253344453</c:v>
                </c:pt>
                <c:pt idx="37">
                  <c:v>0.82386562404572228</c:v>
                </c:pt>
                <c:pt idx="38">
                  <c:v>0.80274086445480641</c:v>
                </c:pt>
                <c:pt idx="39">
                  <c:v>0.78267234284343623</c:v>
                </c:pt>
                <c:pt idx="40">
                  <c:v>0.7635827735057914</c:v>
                </c:pt>
                <c:pt idx="41">
                  <c:v>0.74540223127946315</c:v>
                </c:pt>
                <c:pt idx="42">
                  <c:v>0.72806729566831285</c:v>
                </c:pt>
                <c:pt idx="43">
                  <c:v>0.71152031167585117</c:v>
                </c:pt>
                <c:pt idx="44">
                  <c:v>0.69570874919416548</c:v>
                </c:pt>
                <c:pt idx="45">
                  <c:v>0.68058464595081414</c:v>
                </c:pt>
                <c:pt idx="46">
                  <c:v>0.66610412156888188</c:v>
                </c:pt>
                <c:pt idx="47">
                  <c:v>0.65222695236953021</c:v>
                </c:pt>
                <c:pt idx="48">
                  <c:v>0.63891619823953982</c:v>
                </c:pt>
                <c:pt idx="49">
                  <c:v>0.62613787427474898</c:v>
                </c:pt>
                <c:pt idx="50">
                  <c:v>0.61386066105367554</c:v>
                </c:pt>
                <c:pt idx="51">
                  <c:v>0.60205564834110481</c:v>
                </c:pt>
              </c:numCache>
            </c:numRef>
          </c:val>
          <c:extLst>
            <c:ext xmlns:c16="http://schemas.microsoft.com/office/drawing/2014/chart" uri="{C3380CC4-5D6E-409C-BE32-E72D297353CC}">
              <c16:uniqueId val="{00000000-D479-4F26-8560-D54D7DEF289A}"/>
            </c:ext>
          </c:extLst>
        </c:ser>
        <c:ser>
          <c:idx val="2"/>
          <c:order val="2"/>
          <c:tx>
            <c:strRef>
              <c:f>'Costs - SR - LEO'!$AN$2</c:f>
              <c:strCache>
                <c:ptCount val="1"/>
                <c:pt idx="0">
                  <c:v>Average variable cost (US$/Min)</c:v>
                </c:pt>
              </c:strCache>
            </c:strRef>
          </c:tx>
          <c:spPr>
            <a:solidFill>
              <a:schemeClr val="accent3"/>
            </a:solidFill>
            <a:ln w="25400">
              <a:noFill/>
            </a:ln>
            <a:effectLst/>
          </c:spPr>
          <c:invertIfNegative val="0"/>
          <c:cat>
            <c:numRef>
              <c:f>'Costs - SR - LEO'!$AE$4:$AE$55</c:f>
              <c:numCache>
                <c:formatCode>_(* #,##0_);_(* \(#,##0\);_(* "-"??_);_(@_)</c:formatCode>
                <c:ptCount val="52"/>
                <c:pt idx="0">
                  <c:v>21000000</c:v>
                </c:pt>
                <c:pt idx="1">
                  <c:v>42000000</c:v>
                </c:pt>
                <c:pt idx="2">
                  <c:v>63000000</c:v>
                </c:pt>
                <c:pt idx="3">
                  <c:v>84000000</c:v>
                </c:pt>
                <c:pt idx="4">
                  <c:v>105000000</c:v>
                </c:pt>
                <c:pt idx="5">
                  <c:v>126000000</c:v>
                </c:pt>
                <c:pt idx="6">
                  <c:v>147000000</c:v>
                </c:pt>
                <c:pt idx="7">
                  <c:v>168000000</c:v>
                </c:pt>
                <c:pt idx="8">
                  <c:v>189000000</c:v>
                </c:pt>
                <c:pt idx="9">
                  <c:v>210000000</c:v>
                </c:pt>
                <c:pt idx="10">
                  <c:v>231000000</c:v>
                </c:pt>
                <c:pt idx="11">
                  <c:v>252000000</c:v>
                </c:pt>
                <c:pt idx="12">
                  <c:v>273000000</c:v>
                </c:pt>
                <c:pt idx="13">
                  <c:v>294000000</c:v>
                </c:pt>
                <c:pt idx="14">
                  <c:v>315000000</c:v>
                </c:pt>
                <c:pt idx="15">
                  <c:v>336000000</c:v>
                </c:pt>
                <c:pt idx="16">
                  <c:v>357000000</c:v>
                </c:pt>
                <c:pt idx="17">
                  <c:v>378000000</c:v>
                </c:pt>
                <c:pt idx="18">
                  <c:v>399000000</c:v>
                </c:pt>
                <c:pt idx="19">
                  <c:v>420000000</c:v>
                </c:pt>
                <c:pt idx="20">
                  <c:v>441000000</c:v>
                </c:pt>
                <c:pt idx="21">
                  <c:v>462000000</c:v>
                </c:pt>
                <c:pt idx="22">
                  <c:v>483000000</c:v>
                </c:pt>
                <c:pt idx="23">
                  <c:v>504000000</c:v>
                </c:pt>
                <c:pt idx="24">
                  <c:v>525000000</c:v>
                </c:pt>
                <c:pt idx="25">
                  <c:v>546000000</c:v>
                </c:pt>
                <c:pt idx="26">
                  <c:v>567000000</c:v>
                </c:pt>
                <c:pt idx="27">
                  <c:v>588000000</c:v>
                </c:pt>
                <c:pt idx="28">
                  <c:v>609000000</c:v>
                </c:pt>
                <c:pt idx="29">
                  <c:v>630000000</c:v>
                </c:pt>
                <c:pt idx="30">
                  <c:v>651000000</c:v>
                </c:pt>
                <c:pt idx="31">
                  <c:v>672000000</c:v>
                </c:pt>
                <c:pt idx="32">
                  <c:v>693000000</c:v>
                </c:pt>
                <c:pt idx="33">
                  <c:v>714000000</c:v>
                </c:pt>
                <c:pt idx="34">
                  <c:v>735000000</c:v>
                </c:pt>
                <c:pt idx="35">
                  <c:v>756000000</c:v>
                </c:pt>
                <c:pt idx="36">
                  <c:v>777000000</c:v>
                </c:pt>
                <c:pt idx="37">
                  <c:v>798000000</c:v>
                </c:pt>
                <c:pt idx="38">
                  <c:v>819000000</c:v>
                </c:pt>
                <c:pt idx="39">
                  <c:v>840000000</c:v>
                </c:pt>
                <c:pt idx="40">
                  <c:v>861000000</c:v>
                </c:pt>
                <c:pt idx="41">
                  <c:v>882000000</c:v>
                </c:pt>
                <c:pt idx="42">
                  <c:v>903000000</c:v>
                </c:pt>
                <c:pt idx="43">
                  <c:v>924000000</c:v>
                </c:pt>
                <c:pt idx="44">
                  <c:v>945000000</c:v>
                </c:pt>
                <c:pt idx="45">
                  <c:v>966000000</c:v>
                </c:pt>
                <c:pt idx="46">
                  <c:v>987000000</c:v>
                </c:pt>
                <c:pt idx="47">
                  <c:v>1008000000</c:v>
                </c:pt>
                <c:pt idx="48">
                  <c:v>1029000000</c:v>
                </c:pt>
                <c:pt idx="49">
                  <c:v>1050000000</c:v>
                </c:pt>
                <c:pt idx="50">
                  <c:v>1071000000</c:v>
                </c:pt>
                <c:pt idx="51">
                  <c:v>1092000000</c:v>
                </c:pt>
              </c:numCache>
            </c:numRef>
          </c:cat>
          <c:val>
            <c:numRef>
              <c:f>'Costs - SR - LEO'!$AN$4:$AN$55</c:f>
              <c:numCache>
                <c:formatCode>0</c:formatCode>
                <c:ptCount val="52"/>
                <c:pt idx="0">
                  <c:v>0</c:v>
                </c:pt>
                <c:pt idx="1">
                  <c:v>2.219995241186894</c:v>
                </c:pt>
                <c:pt idx="2">
                  <c:v>2.9599936549158583</c:v>
                </c:pt>
                <c:pt idx="3">
                  <c:v>3.3299928617803412</c:v>
                </c:pt>
                <c:pt idx="4">
                  <c:v>3.5519923858990299</c:v>
                </c:pt>
                <c:pt idx="5">
                  <c:v>3.6999920686448231</c:v>
                </c:pt>
                <c:pt idx="6">
                  <c:v>3.805706127748961</c:v>
                </c:pt>
                <c:pt idx="7">
                  <c:v>3.8849916720770641</c:v>
                </c:pt>
                <c:pt idx="8">
                  <c:v>3.9466582065544782</c:v>
                </c:pt>
                <c:pt idx="9">
                  <c:v>3.9959914341364091</c:v>
                </c:pt>
                <c:pt idx="10">
                  <c:v>4.036354983976171</c:v>
                </c:pt>
                <c:pt idx="11">
                  <c:v>4.0699912755093051</c:v>
                </c:pt>
                <c:pt idx="12">
                  <c:v>4.0984527529604193</c:v>
                </c:pt>
                <c:pt idx="13">
                  <c:v>4.1228483050613747</c:v>
                </c:pt>
                <c:pt idx="14">
                  <c:v>4.1439911168822015</c:v>
                </c:pt>
                <c:pt idx="15">
                  <c:v>4.1624910772254262</c:v>
                </c:pt>
                <c:pt idx="16">
                  <c:v>4.1788145716459182</c:v>
                </c:pt>
                <c:pt idx="17">
                  <c:v>4.1933243444641333</c:v>
                </c:pt>
                <c:pt idx="18">
                  <c:v>4.206306772775168</c:v>
                </c:pt>
                <c:pt idx="19">
                  <c:v>4.2179909582550978</c:v>
                </c:pt>
                <c:pt idx="20">
                  <c:v>4.2285623641655121</c:v>
                </c:pt>
                <c:pt idx="21">
                  <c:v>4.238172733174979</c:v>
                </c:pt>
                <c:pt idx="22">
                  <c:v>4.2469474179227538</c:v>
                </c:pt>
                <c:pt idx="23">
                  <c:v>4.2549908789415474</c:v>
                </c:pt>
                <c:pt idx="24">
                  <c:v>4.2623908630788376</c:v>
                </c:pt>
                <c:pt idx="25">
                  <c:v>4.269221617667105</c:v>
                </c:pt>
                <c:pt idx="26">
                  <c:v>4.2755463904340196</c:v>
                </c:pt>
                <c:pt idx="27">
                  <c:v>4.2814193937175835</c:v>
                </c:pt>
                <c:pt idx="28">
                  <c:v>4.2868873622919352</c:v>
                </c:pt>
                <c:pt idx="29">
                  <c:v>4.2919907996279978</c:v>
                </c:pt>
                <c:pt idx="30">
                  <c:v>4.2967649829423777</c:v>
                </c:pt>
                <c:pt idx="31">
                  <c:v>4.3012407797996097</c:v>
                </c:pt>
                <c:pt idx="32">
                  <c:v>4.3054453162412516</c:v>
                </c:pt>
                <c:pt idx="33">
                  <c:v>4.3094025270098566</c:v>
                </c:pt>
                <c:pt idx="34">
                  <c:v>4.3131336114488263</c:v>
                </c:pt>
                <c:pt idx="35">
                  <c:v>4.3166574134189641</c:v>
                </c:pt>
                <c:pt idx="36">
                  <c:v>4.3199907396069328</c:v>
                </c:pt>
                <c:pt idx="37">
                  <c:v>4.3231486275744819</c:v>
                </c:pt>
                <c:pt idx="38">
                  <c:v>4.3261445725693362</c:v>
                </c:pt>
                <c:pt idx="39">
                  <c:v>4.3289907203144473</c:v>
                </c:pt>
                <c:pt idx="40">
                  <c:v>4.3316980315841871</c:v>
                </c:pt>
                <c:pt idx="41">
                  <c:v>4.3342764232696549</c:v>
                </c:pt>
                <c:pt idx="42">
                  <c:v>4.3367348897604483</c:v>
                </c:pt>
                <c:pt idx="43">
                  <c:v>4.3390816077743883</c:v>
                </c:pt>
                <c:pt idx="44">
                  <c:v>4.3413240272099305</c:v>
                </c:pt>
                <c:pt idx="45">
                  <c:v>4.3434689501482762</c:v>
                </c:pt>
                <c:pt idx="46">
                  <c:v>4.3455225997700957</c:v>
                </c:pt>
                <c:pt idx="47">
                  <c:v>4.3474906806576721</c:v>
                </c:pt>
                <c:pt idx="48">
                  <c:v>4.3493784317131041</c:v>
                </c:pt>
                <c:pt idx="49">
                  <c:v>4.3511906727263172</c:v>
                </c:pt>
                <c:pt idx="50">
                  <c:v>4.3529318454645036</c:v>
                </c:pt>
                <c:pt idx="51">
                  <c:v>4.3546060500204513</c:v>
                </c:pt>
              </c:numCache>
            </c:numRef>
          </c:val>
          <c:extLst>
            <c:ext xmlns:c16="http://schemas.microsoft.com/office/drawing/2014/chart" uri="{C3380CC4-5D6E-409C-BE32-E72D297353CC}">
              <c16:uniqueId val="{00000002-78C2-4D9C-BBF6-403E44004ED9}"/>
            </c:ext>
          </c:extLst>
        </c:ser>
        <c:dLbls>
          <c:showLegendKey val="0"/>
          <c:showVal val="0"/>
          <c:showCatName val="0"/>
          <c:showSerName val="0"/>
          <c:showPercent val="0"/>
          <c:showBubbleSize val="0"/>
        </c:dLbls>
        <c:gapWidth val="150"/>
        <c:overlap val="100"/>
        <c:axId val="1575648544"/>
        <c:axId val="1521493440"/>
      </c:barChart>
      <c:lineChart>
        <c:grouping val="standard"/>
        <c:varyColors val="0"/>
        <c:ser>
          <c:idx val="0"/>
          <c:order val="0"/>
          <c:tx>
            <c:strRef>
              <c:f>'Costs - SR - LEO'!$AL$2</c:f>
              <c:strCache>
                <c:ptCount val="1"/>
                <c:pt idx="0">
                  <c:v> Average total cost ($/Min) </c:v>
                </c:pt>
              </c:strCache>
            </c:strRef>
          </c:tx>
          <c:spPr>
            <a:ln w="28575" cap="rnd">
              <a:noFill/>
              <a:round/>
            </a:ln>
            <a:effectLst/>
          </c:spPr>
          <c:marker>
            <c:symbol val="none"/>
          </c:marker>
          <c:dLbls>
            <c:numFmt formatCode="&quot;$&quot;#,##0" sourceLinked="0"/>
            <c:spPr>
              <a:noFill/>
              <a:ln>
                <a:noFill/>
              </a:ln>
              <a:effectLst/>
            </c:spPr>
            <c:txPr>
              <a:bodyPr rot="-5400000" spcFirstLastPara="1" vertOverflow="ellipsis"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'Costs - SR - LEO'!$AE$4:$AE$55</c:f>
              <c:numCache>
                <c:formatCode>_(* #,##0_);_(* \(#,##0\);_(* "-"??_);_(@_)</c:formatCode>
                <c:ptCount val="52"/>
                <c:pt idx="0">
                  <c:v>21000000</c:v>
                </c:pt>
                <c:pt idx="1">
                  <c:v>42000000</c:v>
                </c:pt>
                <c:pt idx="2">
                  <c:v>63000000</c:v>
                </c:pt>
                <c:pt idx="3">
                  <c:v>84000000</c:v>
                </c:pt>
                <c:pt idx="4">
                  <c:v>105000000</c:v>
                </c:pt>
                <c:pt idx="5">
                  <c:v>126000000</c:v>
                </c:pt>
                <c:pt idx="6">
                  <c:v>147000000</c:v>
                </c:pt>
                <c:pt idx="7">
                  <c:v>168000000</c:v>
                </c:pt>
                <c:pt idx="8">
                  <c:v>189000000</c:v>
                </c:pt>
                <c:pt idx="9">
                  <c:v>210000000</c:v>
                </c:pt>
                <c:pt idx="10">
                  <c:v>231000000</c:v>
                </c:pt>
                <c:pt idx="11">
                  <c:v>252000000</c:v>
                </c:pt>
                <c:pt idx="12">
                  <c:v>273000000</c:v>
                </c:pt>
                <c:pt idx="13">
                  <c:v>294000000</c:v>
                </c:pt>
                <c:pt idx="14">
                  <c:v>315000000</c:v>
                </c:pt>
                <c:pt idx="15">
                  <c:v>336000000</c:v>
                </c:pt>
                <c:pt idx="16">
                  <c:v>357000000</c:v>
                </c:pt>
                <c:pt idx="17">
                  <c:v>378000000</c:v>
                </c:pt>
                <c:pt idx="18">
                  <c:v>399000000</c:v>
                </c:pt>
                <c:pt idx="19">
                  <c:v>420000000</c:v>
                </c:pt>
                <c:pt idx="20">
                  <c:v>441000000</c:v>
                </c:pt>
                <c:pt idx="21">
                  <c:v>462000000</c:v>
                </c:pt>
                <c:pt idx="22">
                  <c:v>483000000</c:v>
                </c:pt>
                <c:pt idx="23">
                  <c:v>504000000</c:v>
                </c:pt>
                <c:pt idx="24">
                  <c:v>525000000</c:v>
                </c:pt>
                <c:pt idx="25">
                  <c:v>546000000</c:v>
                </c:pt>
                <c:pt idx="26">
                  <c:v>567000000</c:v>
                </c:pt>
                <c:pt idx="27">
                  <c:v>588000000</c:v>
                </c:pt>
                <c:pt idx="28">
                  <c:v>609000000</c:v>
                </c:pt>
                <c:pt idx="29">
                  <c:v>630000000</c:v>
                </c:pt>
                <c:pt idx="30">
                  <c:v>651000000</c:v>
                </c:pt>
                <c:pt idx="31">
                  <c:v>672000000</c:v>
                </c:pt>
                <c:pt idx="32">
                  <c:v>693000000</c:v>
                </c:pt>
                <c:pt idx="33">
                  <c:v>714000000</c:v>
                </c:pt>
                <c:pt idx="34">
                  <c:v>735000000</c:v>
                </c:pt>
                <c:pt idx="35">
                  <c:v>756000000</c:v>
                </c:pt>
                <c:pt idx="36">
                  <c:v>777000000</c:v>
                </c:pt>
                <c:pt idx="37">
                  <c:v>798000000</c:v>
                </c:pt>
                <c:pt idx="38">
                  <c:v>819000000</c:v>
                </c:pt>
                <c:pt idx="39">
                  <c:v>840000000</c:v>
                </c:pt>
                <c:pt idx="40">
                  <c:v>861000000</c:v>
                </c:pt>
                <c:pt idx="41">
                  <c:v>882000000</c:v>
                </c:pt>
                <c:pt idx="42">
                  <c:v>903000000</c:v>
                </c:pt>
                <c:pt idx="43">
                  <c:v>924000000</c:v>
                </c:pt>
                <c:pt idx="44">
                  <c:v>945000000</c:v>
                </c:pt>
                <c:pt idx="45">
                  <c:v>966000000</c:v>
                </c:pt>
                <c:pt idx="46">
                  <c:v>987000000</c:v>
                </c:pt>
                <c:pt idx="47">
                  <c:v>1008000000</c:v>
                </c:pt>
                <c:pt idx="48">
                  <c:v>1029000000</c:v>
                </c:pt>
                <c:pt idx="49">
                  <c:v>1050000000</c:v>
                </c:pt>
                <c:pt idx="50">
                  <c:v>1071000000</c:v>
                </c:pt>
                <c:pt idx="51">
                  <c:v>1092000000</c:v>
                </c:pt>
              </c:numCache>
            </c:numRef>
          </c:cat>
          <c:val>
            <c:numRef>
              <c:f>'Costs - SR - LEO'!$AL$4:$AL$55</c:f>
              <c:numCache>
                <c:formatCode>_(* #,##0.0_);_(* \(#,##0.0\);_(* "-"??_);_(@_)</c:formatCode>
                <c:ptCount val="52"/>
                <c:pt idx="0">
                  <c:v>31.306893713737452</c:v>
                </c:pt>
                <c:pt idx="1">
                  <c:v>17.873442098055619</c:v>
                </c:pt>
                <c:pt idx="2">
                  <c:v>13.395624892828341</c:v>
                </c:pt>
                <c:pt idx="3">
                  <c:v>11.156716290214703</c:v>
                </c:pt>
                <c:pt idx="4">
                  <c:v>9.8133711286465193</c:v>
                </c:pt>
                <c:pt idx="5">
                  <c:v>8.9178076876010657</c:v>
                </c:pt>
                <c:pt idx="6">
                  <c:v>8.2781195154257396</c:v>
                </c:pt>
                <c:pt idx="7">
                  <c:v>7.7983533862942451</c:v>
                </c:pt>
                <c:pt idx="8">
                  <c:v>7.4252019525253061</c:v>
                </c:pt>
                <c:pt idx="9">
                  <c:v>7.126680805510154</c:v>
                </c:pt>
                <c:pt idx="10">
                  <c:v>6.8824362306795752</c:v>
                </c:pt>
                <c:pt idx="11">
                  <c:v>6.6788990849874263</c:v>
                </c:pt>
                <c:pt idx="12">
                  <c:v>6.5066753463248386</c:v>
                </c:pt>
                <c:pt idx="13">
                  <c:v>6.3590549988997633</c:v>
                </c:pt>
                <c:pt idx="14">
                  <c:v>6.2311173644646978</c:v>
                </c:pt>
                <c:pt idx="15">
                  <c:v>6.119171934334017</c:v>
                </c:pt>
                <c:pt idx="16">
                  <c:v>6.0203965548069451</c:v>
                </c:pt>
                <c:pt idx="17">
                  <c:v>5.9325962174495466</c:v>
                </c:pt>
                <c:pt idx="18">
                  <c:v>5.8540380208666125</c:v>
                </c:pt>
                <c:pt idx="19">
                  <c:v>5.7833356439419701</c:v>
                </c:pt>
                <c:pt idx="20">
                  <c:v>5.7193668267244382</c:v>
                </c:pt>
                <c:pt idx="21">
                  <c:v>5.6612133565266811</c:v>
                </c:pt>
                <c:pt idx="22">
                  <c:v>5.6081167098243823</c:v>
                </c:pt>
                <c:pt idx="23">
                  <c:v>5.5594447836806076</c:v>
                </c:pt>
                <c:pt idx="24">
                  <c:v>5.5146666116283356</c:v>
                </c:pt>
                <c:pt idx="25">
                  <c:v>5.4733329143493146</c:v>
                </c:pt>
                <c:pt idx="26">
                  <c:v>5.4350609724242958</c:v>
                </c:pt>
                <c:pt idx="27">
                  <c:v>5.3995227406367778</c:v>
                </c:pt>
                <c:pt idx="28">
                  <c:v>5.3664354213863303</c:v>
                </c:pt>
                <c:pt idx="29">
                  <c:v>5.3355539234192459</c:v>
                </c:pt>
                <c:pt idx="30">
                  <c:v>5.3066647801597151</c:v>
                </c:pt>
                <c:pt idx="31">
                  <c:v>5.2795812083539051</c:v>
                </c:pt>
                <c:pt idx="32">
                  <c:v>5.254139065142386</c:v>
                </c:pt>
                <c:pt idx="33">
                  <c:v>5.2301935185903696</c:v>
                </c:pt>
                <c:pt idx="34">
                  <c:v>5.2076162889841822</c:v>
                </c:pt>
                <c:pt idx="35">
                  <c:v>5.1862933499116712</c:v>
                </c:pt>
                <c:pt idx="36">
                  <c:v>5.1661230021403775</c:v>
                </c:pt>
                <c:pt idx="37">
                  <c:v>5.1470142516202042</c:v>
                </c:pt>
                <c:pt idx="38">
                  <c:v>5.1288854370241426</c:v>
                </c:pt>
                <c:pt idx="39">
                  <c:v>5.1116630631578834</c:v>
                </c:pt>
                <c:pt idx="40">
                  <c:v>5.0952808050899785</c:v>
                </c:pt>
                <c:pt idx="41">
                  <c:v>5.0796786545491184</c:v>
                </c:pt>
                <c:pt idx="42">
                  <c:v>5.0648021854287615</c:v>
                </c:pt>
                <c:pt idx="43">
                  <c:v>5.0506019194502398</c:v>
                </c:pt>
                <c:pt idx="44">
                  <c:v>5.0370327764040956</c:v>
                </c:pt>
                <c:pt idx="45">
                  <c:v>5.0240535960990904</c:v>
                </c:pt>
                <c:pt idx="46">
                  <c:v>5.0116267213389776</c:v>
                </c:pt>
                <c:pt idx="47">
                  <c:v>4.9997176330272026</c:v>
                </c:pt>
                <c:pt idx="48">
                  <c:v>4.9882946299526436</c:v>
                </c:pt>
                <c:pt idx="49">
                  <c:v>4.9773285470010666</c:v>
                </c:pt>
                <c:pt idx="50">
                  <c:v>4.9667925065181793</c:v>
                </c:pt>
                <c:pt idx="51">
                  <c:v>4.9566616983615557</c:v>
                </c:pt>
              </c:numCache>
            </c:numRef>
          </c:val>
          <c:smooth val="0"/>
          <c:extLst>
            <c:ext xmlns:c16="http://schemas.microsoft.com/office/drawing/2014/chart" uri="{C3380CC4-5D6E-409C-BE32-E72D297353CC}">
              <c16:uniqueId val="{00000002-D479-4F26-8560-D54D7DEF289A}"/>
            </c:ext>
          </c:extLst>
        </c:ser>
        <c:dLbls>
          <c:showLegendKey val="0"/>
          <c:showVal val="0"/>
          <c:showCatName val="0"/>
          <c:showSerName val="0"/>
          <c:showPercent val="0"/>
          <c:showBubbleSize val="0"/>
        </c:dLbls>
        <c:marker val="1"/>
        <c:smooth val="0"/>
        <c:axId val="1575648544"/>
        <c:axId val="1521493440"/>
      </c:lineChart>
      <c:catAx>
        <c:axId val="157564854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Total Output of LEO Network (Minutes)</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21493440"/>
        <c:crosses val="autoZero"/>
        <c:auto val="1"/>
        <c:lblAlgn val="ctr"/>
        <c:lblOffset val="100"/>
        <c:noMultiLvlLbl val="0"/>
      </c:catAx>
      <c:valAx>
        <c:axId val="1521493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Cost (US$)</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75648544"/>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Total Cost of Production</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'Costs - SR - GEO'!$AK$2</c:f>
              <c:strCache>
                <c:ptCount val="1"/>
                <c:pt idx="0">
                  <c:v>Fixed cost ($M)</c:v>
                </c:pt>
              </c:strCache>
            </c:strRef>
          </c:tx>
          <c:spPr>
            <a:solidFill>
              <a:schemeClr val="accent2"/>
            </a:solidFill>
            <a:ln>
              <a:noFill/>
            </a:ln>
            <a:effectLst/>
          </c:spPr>
          <c:invertIfNegative val="0"/>
          <c:cat>
            <c:numRef>
              <c:f>'Costs - SR - GEO'!$AF$4:$AF$55</c:f>
              <c:numCache>
                <c:formatCode>_(* #,##0_);_(* \(#,##0\);_(* "-"??_);_(@_)</c:formatCode>
                <c:ptCount val="52"/>
                <c:pt idx="0">
                  <c:v>21000000</c:v>
                </c:pt>
                <c:pt idx="1">
                  <c:v>42000000</c:v>
                </c:pt>
                <c:pt idx="2">
                  <c:v>63000000</c:v>
                </c:pt>
                <c:pt idx="3">
                  <c:v>84000000</c:v>
                </c:pt>
                <c:pt idx="4">
                  <c:v>105000000</c:v>
                </c:pt>
                <c:pt idx="5">
                  <c:v>126000000</c:v>
                </c:pt>
                <c:pt idx="6">
                  <c:v>147000000</c:v>
                </c:pt>
                <c:pt idx="7">
                  <c:v>168000000</c:v>
                </c:pt>
                <c:pt idx="8">
                  <c:v>189000000</c:v>
                </c:pt>
                <c:pt idx="9">
                  <c:v>210000000</c:v>
                </c:pt>
                <c:pt idx="10">
                  <c:v>231000000</c:v>
                </c:pt>
                <c:pt idx="11">
                  <c:v>252000000</c:v>
                </c:pt>
                <c:pt idx="12">
                  <c:v>273000000</c:v>
                </c:pt>
                <c:pt idx="13">
                  <c:v>294000000</c:v>
                </c:pt>
                <c:pt idx="14">
                  <c:v>315000000</c:v>
                </c:pt>
                <c:pt idx="15">
                  <c:v>336000000</c:v>
                </c:pt>
                <c:pt idx="16">
                  <c:v>357000000</c:v>
                </c:pt>
                <c:pt idx="17">
                  <c:v>378000000</c:v>
                </c:pt>
                <c:pt idx="18">
                  <c:v>399000000</c:v>
                </c:pt>
                <c:pt idx="19">
                  <c:v>420000000</c:v>
                </c:pt>
                <c:pt idx="20">
                  <c:v>441000000</c:v>
                </c:pt>
                <c:pt idx="21">
                  <c:v>462000000</c:v>
                </c:pt>
                <c:pt idx="22">
                  <c:v>483000000</c:v>
                </c:pt>
                <c:pt idx="23">
                  <c:v>504000000</c:v>
                </c:pt>
                <c:pt idx="24">
                  <c:v>525000000</c:v>
                </c:pt>
                <c:pt idx="25">
                  <c:v>546000000</c:v>
                </c:pt>
                <c:pt idx="26">
                  <c:v>567000000</c:v>
                </c:pt>
                <c:pt idx="27">
                  <c:v>588000000</c:v>
                </c:pt>
                <c:pt idx="28">
                  <c:v>609000000</c:v>
                </c:pt>
                <c:pt idx="29">
                  <c:v>630000000</c:v>
                </c:pt>
                <c:pt idx="30">
                  <c:v>651000000</c:v>
                </c:pt>
                <c:pt idx="31">
                  <c:v>672000000</c:v>
                </c:pt>
                <c:pt idx="32">
                  <c:v>693000000</c:v>
                </c:pt>
                <c:pt idx="33">
                  <c:v>714000000</c:v>
                </c:pt>
                <c:pt idx="34">
                  <c:v>735000000</c:v>
                </c:pt>
                <c:pt idx="35">
                  <c:v>756000000</c:v>
                </c:pt>
                <c:pt idx="36">
                  <c:v>777000000</c:v>
                </c:pt>
                <c:pt idx="37">
                  <c:v>798000000</c:v>
                </c:pt>
                <c:pt idx="38">
                  <c:v>819000000</c:v>
                </c:pt>
                <c:pt idx="39">
                  <c:v>840000000</c:v>
                </c:pt>
                <c:pt idx="40">
                  <c:v>861000000</c:v>
                </c:pt>
                <c:pt idx="41">
                  <c:v>882000000</c:v>
                </c:pt>
                <c:pt idx="42">
                  <c:v>903000000</c:v>
                </c:pt>
                <c:pt idx="43">
                  <c:v>924000000</c:v>
                </c:pt>
                <c:pt idx="44">
                  <c:v>945000000</c:v>
                </c:pt>
                <c:pt idx="45">
                  <c:v>966000000</c:v>
                </c:pt>
                <c:pt idx="46">
                  <c:v>987000000</c:v>
                </c:pt>
                <c:pt idx="47">
                  <c:v>1008000000</c:v>
                </c:pt>
                <c:pt idx="48">
                  <c:v>1029000000</c:v>
                </c:pt>
                <c:pt idx="49">
                  <c:v>1050000000</c:v>
                </c:pt>
                <c:pt idx="50">
                  <c:v>1071000000</c:v>
                </c:pt>
                <c:pt idx="51">
                  <c:v>1092000000</c:v>
                </c:pt>
              </c:numCache>
            </c:numRef>
          </c:cat>
          <c:val>
            <c:numRef>
              <c:f>'Costs - SR - GEO'!$AK$4:$AK$55</c:f>
              <c:numCache>
                <c:formatCode>_(* #,##0_);_(* \(#,##0\);_(* "-"??_);_(@_)</c:formatCode>
                <c:ptCount val="52"/>
                <c:pt idx="0">
                  <c:v>1518.427193582557</c:v>
                </c:pt>
                <c:pt idx="1">
                  <c:v>1518.427193582557</c:v>
                </c:pt>
                <c:pt idx="2">
                  <c:v>1518.427193582557</c:v>
                </c:pt>
                <c:pt idx="3">
                  <c:v>1518.427193582557</c:v>
                </c:pt>
                <c:pt idx="4">
                  <c:v>1518.427193582557</c:v>
                </c:pt>
                <c:pt idx="5">
                  <c:v>1518.427193582557</c:v>
                </c:pt>
                <c:pt idx="6">
                  <c:v>1518.427193582557</c:v>
                </c:pt>
                <c:pt idx="7">
                  <c:v>1518.427193582557</c:v>
                </c:pt>
                <c:pt idx="8">
                  <c:v>1518.427193582557</c:v>
                </c:pt>
                <c:pt idx="9">
                  <c:v>1518.427193582557</c:v>
                </c:pt>
                <c:pt idx="10">
                  <c:v>1518.427193582557</c:v>
                </c:pt>
                <c:pt idx="11">
                  <c:v>1518.427193582557</c:v>
                </c:pt>
                <c:pt idx="12">
                  <c:v>1518.427193582557</c:v>
                </c:pt>
                <c:pt idx="13">
                  <c:v>1518.427193582557</c:v>
                </c:pt>
                <c:pt idx="14">
                  <c:v>1518.427193582557</c:v>
                </c:pt>
                <c:pt idx="15">
                  <c:v>1518.427193582557</c:v>
                </c:pt>
                <c:pt idx="16">
                  <c:v>1518.427193582557</c:v>
                </c:pt>
                <c:pt idx="17">
                  <c:v>1518.427193582557</c:v>
                </c:pt>
                <c:pt idx="18">
                  <c:v>1518.427193582557</c:v>
                </c:pt>
                <c:pt idx="19">
                  <c:v>1518.427193582557</c:v>
                </c:pt>
                <c:pt idx="20">
                  <c:v>1518.427193582557</c:v>
                </c:pt>
                <c:pt idx="21">
                  <c:v>1518.427193582557</c:v>
                </c:pt>
                <c:pt idx="22">
                  <c:v>1518.427193582557</c:v>
                </c:pt>
                <c:pt idx="23">
                  <c:v>1518.427193582557</c:v>
                </c:pt>
                <c:pt idx="24">
                  <c:v>1518.427193582557</c:v>
                </c:pt>
                <c:pt idx="25">
                  <c:v>1518.427193582557</c:v>
                </c:pt>
                <c:pt idx="26">
                  <c:v>1518.427193582557</c:v>
                </c:pt>
                <c:pt idx="27">
                  <c:v>1518.427193582557</c:v>
                </c:pt>
                <c:pt idx="28">
                  <c:v>1518.427193582557</c:v>
                </c:pt>
                <c:pt idx="29">
                  <c:v>1518.427193582557</c:v>
                </c:pt>
                <c:pt idx="30">
                  <c:v>1518.427193582557</c:v>
                </c:pt>
                <c:pt idx="31">
                  <c:v>1518.427193582557</c:v>
                </c:pt>
                <c:pt idx="32">
                  <c:v>1518.427193582557</c:v>
                </c:pt>
                <c:pt idx="33">
                  <c:v>1518.427193582557</c:v>
                </c:pt>
                <c:pt idx="34">
                  <c:v>1518.427193582557</c:v>
                </c:pt>
                <c:pt idx="35">
                  <c:v>1518.427193582557</c:v>
                </c:pt>
                <c:pt idx="36">
                  <c:v>1518.427193582557</c:v>
                </c:pt>
                <c:pt idx="37">
                  <c:v>1518.427193582557</c:v>
                </c:pt>
                <c:pt idx="38">
                  <c:v>1518.427193582557</c:v>
                </c:pt>
                <c:pt idx="39">
                  <c:v>1518.427193582557</c:v>
                </c:pt>
                <c:pt idx="40">
                  <c:v>1518.427193582557</c:v>
                </c:pt>
                <c:pt idx="41">
                  <c:v>1518.427193582557</c:v>
                </c:pt>
                <c:pt idx="42">
                  <c:v>1518.427193582557</c:v>
                </c:pt>
                <c:pt idx="43">
                  <c:v>1518.427193582557</c:v>
                </c:pt>
                <c:pt idx="44">
                  <c:v>1518.427193582557</c:v>
                </c:pt>
                <c:pt idx="45">
                  <c:v>1518.427193582557</c:v>
                </c:pt>
                <c:pt idx="46">
                  <c:v>1518.427193582557</c:v>
                </c:pt>
                <c:pt idx="47">
                  <c:v>1518.427193582557</c:v>
                </c:pt>
                <c:pt idx="48">
                  <c:v>1518.427193582557</c:v>
                </c:pt>
                <c:pt idx="49">
                  <c:v>1518.427193582557</c:v>
                </c:pt>
                <c:pt idx="50">
                  <c:v>1518.427193582557</c:v>
                </c:pt>
                <c:pt idx="51">
                  <c:v>1518.427193582557</c:v>
                </c:pt>
              </c:numCache>
            </c:numRef>
          </c:val>
          <c:extLst>
            <c:ext xmlns:c16="http://schemas.microsoft.com/office/drawing/2014/chart" uri="{C3380CC4-5D6E-409C-BE32-E72D297353CC}">
              <c16:uniqueId val="{00000000-7137-420D-B5C4-F0CA925C4597}"/>
            </c:ext>
          </c:extLst>
        </c:ser>
        <c:ser>
          <c:idx val="2"/>
          <c:order val="2"/>
          <c:tx>
            <c:strRef>
              <c:f>'Costs - SR - GEO'!$AL$2</c:f>
              <c:strCache>
                <c:ptCount val="1"/>
                <c:pt idx="0">
                  <c:v>Variable cost ($M)</c:v>
                </c:pt>
              </c:strCache>
            </c:strRef>
          </c:tx>
          <c:spPr>
            <a:solidFill>
              <a:schemeClr val="accent3"/>
            </a:solidFill>
            <a:ln>
              <a:noFill/>
            </a:ln>
            <a:effectLst/>
          </c:spPr>
          <c:invertIfNegative val="0"/>
          <c:cat>
            <c:numRef>
              <c:f>'Costs - SR - GEO'!$AF$4:$AF$55</c:f>
              <c:numCache>
                <c:formatCode>_(* #,##0_);_(* \(#,##0\);_(* "-"??_);_(@_)</c:formatCode>
                <c:ptCount val="52"/>
                <c:pt idx="0">
                  <c:v>21000000</c:v>
                </c:pt>
                <c:pt idx="1">
                  <c:v>42000000</c:v>
                </c:pt>
                <c:pt idx="2">
                  <c:v>63000000</c:v>
                </c:pt>
                <c:pt idx="3">
                  <c:v>84000000</c:v>
                </c:pt>
                <c:pt idx="4">
                  <c:v>105000000</c:v>
                </c:pt>
                <c:pt idx="5">
                  <c:v>126000000</c:v>
                </c:pt>
                <c:pt idx="6">
                  <c:v>147000000</c:v>
                </c:pt>
                <c:pt idx="7">
                  <c:v>168000000</c:v>
                </c:pt>
                <c:pt idx="8">
                  <c:v>189000000</c:v>
                </c:pt>
                <c:pt idx="9">
                  <c:v>210000000</c:v>
                </c:pt>
                <c:pt idx="10">
                  <c:v>231000000</c:v>
                </c:pt>
                <c:pt idx="11">
                  <c:v>252000000</c:v>
                </c:pt>
                <c:pt idx="12">
                  <c:v>273000000</c:v>
                </c:pt>
                <c:pt idx="13">
                  <c:v>294000000</c:v>
                </c:pt>
                <c:pt idx="14">
                  <c:v>315000000</c:v>
                </c:pt>
                <c:pt idx="15">
                  <c:v>336000000</c:v>
                </c:pt>
                <c:pt idx="16">
                  <c:v>357000000</c:v>
                </c:pt>
                <c:pt idx="17">
                  <c:v>378000000</c:v>
                </c:pt>
                <c:pt idx="18">
                  <c:v>399000000</c:v>
                </c:pt>
                <c:pt idx="19">
                  <c:v>420000000</c:v>
                </c:pt>
                <c:pt idx="20">
                  <c:v>441000000</c:v>
                </c:pt>
                <c:pt idx="21">
                  <c:v>462000000</c:v>
                </c:pt>
                <c:pt idx="22">
                  <c:v>483000000</c:v>
                </c:pt>
                <c:pt idx="23">
                  <c:v>504000000</c:v>
                </c:pt>
                <c:pt idx="24">
                  <c:v>525000000</c:v>
                </c:pt>
                <c:pt idx="25">
                  <c:v>546000000</c:v>
                </c:pt>
                <c:pt idx="26">
                  <c:v>567000000</c:v>
                </c:pt>
                <c:pt idx="27">
                  <c:v>588000000</c:v>
                </c:pt>
                <c:pt idx="28">
                  <c:v>609000000</c:v>
                </c:pt>
                <c:pt idx="29">
                  <c:v>630000000</c:v>
                </c:pt>
                <c:pt idx="30">
                  <c:v>651000000</c:v>
                </c:pt>
                <c:pt idx="31">
                  <c:v>672000000</c:v>
                </c:pt>
                <c:pt idx="32">
                  <c:v>693000000</c:v>
                </c:pt>
                <c:pt idx="33">
                  <c:v>714000000</c:v>
                </c:pt>
                <c:pt idx="34">
                  <c:v>735000000</c:v>
                </c:pt>
                <c:pt idx="35">
                  <c:v>756000000</c:v>
                </c:pt>
                <c:pt idx="36">
                  <c:v>777000000</c:v>
                </c:pt>
                <c:pt idx="37">
                  <c:v>798000000</c:v>
                </c:pt>
                <c:pt idx="38">
                  <c:v>819000000</c:v>
                </c:pt>
                <c:pt idx="39">
                  <c:v>840000000</c:v>
                </c:pt>
                <c:pt idx="40">
                  <c:v>861000000</c:v>
                </c:pt>
                <c:pt idx="41">
                  <c:v>882000000</c:v>
                </c:pt>
                <c:pt idx="42">
                  <c:v>903000000</c:v>
                </c:pt>
                <c:pt idx="43">
                  <c:v>924000000</c:v>
                </c:pt>
                <c:pt idx="44">
                  <c:v>945000000</c:v>
                </c:pt>
                <c:pt idx="45">
                  <c:v>966000000</c:v>
                </c:pt>
                <c:pt idx="46">
                  <c:v>987000000</c:v>
                </c:pt>
                <c:pt idx="47">
                  <c:v>1008000000</c:v>
                </c:pt>
                <c:pt idx="48">
                  <c:v>1029000000</c:v>
                </c:pt>
                <c:pt idx="49">
                  <c:v>1050000000</c:v>
                </c:pt>
                <c:pt idx="50">
                  <c:v>1071000000</c:v>
                </c:pt>
                <c:pt idx="51">
                  <c:v>1092000000</c:v>
                </c:pt>
              </c:numCache>
            </c:numRef>
          </c:cat>
          <c:val>
            <c:numRef>
              <c:f>'Costs - SR - GEO'!$AL$4:$AL$55</c:f>
              <c:numCache>
                <c:formatCode>_(* #,##0_);_(* \(#,##0\);_(* "-"??_);_(@_)</c:formatCode>
                <c:ptCount val="52"/>
                <c:pt idx="0">
                  <c:v>0</c:v>
                </c:pt>
                <c:pt idx="1">
                  <c:v>433.93557647937666</c:v>
                </c:pt>
                <c:pt idx="2">
                  <c:v>867.87115295875333</c:v>
                </c:pt>
                <c:pt idx="3">
                  <c:v>1301.8067294381299</c:v>
                </c:pt>
                <c:pt idx="4">
                  <c:v>1735.7423059175067</c:v>
                </c:pt>
                <c:pt idx="5">
                  <c:v>2169.6778823968834</c:v>
                </c:pt>
                <c:pt idx="6">
                  <c:v>2603.6134588762602</c:v>
                </c:pt>
                <c:pt idx="7">
                  <c:v>3037.549035355637</c:v>
                </c:pt>
                <c:pt idx="8">
                  <c:v>3471.4846118350138</c:v>
                </c:pt>
                <c:pt idx="9">
                  <c:v>3905.4201883143905</c:v>
                </c:pt>
                <c:pt idx="10">
                  <c:v>4339.3557647937669</c:v>
                </c:pt>
                <c:pt idx="11">
                  <c:v>4773.2913412731432</c:v>
                </c:pt>
                <c:pt idx="12">
                  <c:v>5207.2269177525195</c:v>
                </c:pt>
                <c:pt idx="13">
                  <c:v>5641.1624942318958</c:v>
                </c:pt>
                <c:pt idx="14">
                  <c:v>6075.0980707112722</c:v>
                </c:pt>
                <c:pt idx="15">
                  <c:v>6509.0336471906485</c:v>
                </c:pt>
                <c:pt idx="16">
                  <c:v>6942.9692236700248</c:v>
                </c:pt>
                <c:pt idx="17">
                  <c:v>7376.9048001494011</c:v>
                </c:pt>
                <c:pt idx="18">
                  <c:v>7810.8403766287774</c:v>
                </c:pt>
                <c:pt idx="19">
                  <c:v>8244.7759531081538</c:v>
                </c:pt>
                <c:pt idx="20">
                  <c:v>8678.7115295875301</c:v>
                </c:pt>
                <c:pt idx="21">
                  <c:v>9112.6471060669064</c:v>
                </c:pt>
                <c:pt idx="22">
                  <c:v>9546.5826825462827</c:v>
                </c:pt>
                <c:pt idx="23">
                  <c:v>9980.5182590256591</c:v>
                </c:pt>
                <c:pt idx="24">
                  <c:v>10414.453835505035</c:v>
                </c:pt>
                <c:pt idx="25">
                  <c:v>10848.389411984412</c:v>
                </c:pt>
                <c:pt idx="26">
                  <c:v>11282.324988463788</c:v>
                </c:pt>
                <c:pt idx="27">
                  <c:v>11716.260564943164</c:v>
                </c:pt>
                <c:pt idx="28">
                  <c:v>12150.196141422541</c:v>
                </c:pt>
                <c:pt idx="29">
                  <c:v>12584.131717901917</c:v>
                </c:pt>
                <c:pt idx="30">
                  <c:v>13018.067294381293</c:v>
                </c:pt>
                <c:pt idx="31">
                  <c:v>13452.00287086067</c:v>
                </c:pt>
                <c:pt idx="32">
                  <c:v>13885.938447340046</c:v>
                </c:pt>
                <c:pt idx="33">
                  <c:v>14319.874023819422</c:v>
                </c:pt>
                <c:pt idx="34">
                  <c:v>14753.809600298799</c:v>
                </c:pt>
                <c:pt idx="35">
                  <c:v>15187.745176778175</c:v>
                </c:pt>
                <c:pt idx="36">
                  <c:v>15621.680753257551</c:v>
                </c:pt>
                <c:pt idx="37">
                  <c:v>16055.616329736928</c:v>
                </c:pt>
                <c:pt idx="38">
                  <c:v>16489.551906216304</c:v>
                </c:pt>
                <c:pt idx="39">
                  <c:v>16923.48748269568</c:v>
                </c:pt>
                <c:pt idx="40">
                  <c:v>17357.423059175057</c:v>
                </c:pt>
                <c:pt idx="41">
                  <c:v>17791.358635654433</c:v>
                </c:pt>
                <c:pt idx="42">
                  <c:v>18225.294212133809</c:v>
                </c:pt>
                <c:pt idx="43">
                  <c:v>18659.229788613186</c:v>
                </c:pt>
                <c:pt idx="44">
                  <c:v>19093.165365092562</c:v>
                </c:pt>
                <c:pt idx="45">
                  <c:v>19527.100941571938</c:v>
                </c:pt>
                <c:pt idx="46">
                  <c:v>19961.036518051314</c:v>
                </c:pt>
                <c:pt idx="47">
                  <c:v>20394.972094530691</c:v>
                </c:pt>
                <c:pt idx="48">
                  <c:v>20828.907671010067</c:v>
                </c:pt>
                <c:pt idx="49">
                  <c:v>21262.843247489443</c:v>
                </c:pt>
                <c:pt idx="50">
                  <c:v>21696.77882396882</c:v>
                </c:pt>
                <c:pt idx="51">
                  <c:v>22130.714400448196</c:v>
                </c:pt>
              </c:numCache>
            </c:numRef>
          </c:val>
          <c:extLst>
            <c:ext xmlns:c16="http://schemas.microsoft.com/office/drawing/2014/chart" uri="{C3380CC4-5D6E-409C-BE32-E72D297353CC}">
              <c16:uniqueId val="{00000001-7137-420D-B5C4-F0CA925C4597}"/>
            </c:ext>
          </c:extLst>
        </c:ser>
        <c:dLbls>
          <c:showLegendKey val="0"/>
          <c:showVal val="0"/>
          <c:showCatName val="0"/>
          <c:showSerName val="0"/>
          <c:showPercent val="0"/>
          <c:showBubbleSize val="0"/>
        </c:dLbls>
        <c:gapWidth val="150"/>
        <c:overlap val="100"/>
        <c:axId val="1575648544"/>
        <c:axId val="1521493440"/>
      </c:barChart>
      <c:lineChart>
        <c:grouping val="standard"/>
        <c:varyColors val="0"/>
        <c:ser>
          <c:idx val="0"/>
          <c:order val="0"/>
          <c:tx>
            <c:strRef>
              <c:f>'Costs - SR - GEO'!$AJ$2</c:f>
              <c:strCache>
                <c:ptCount val="1"/>
                <c:pt idx="0">
                  <c:v>Total cost ($M)</c:v>
                </c:pt>
              </c:strCache>
            </c:strRef>
          </c:tx>
          <c:spPr>
            <a:ln w="28575" cap="rnd">
              <a:noFill/>
              <a:round/>
            </a:ln>
            <a:effectLst/>
          </c:spPr>
          <c:marker>
            <c:symbol val="none"/>
          </c:marker>
          <c:dLbls>
            <c:numFmt formatCode="&quot;$&quot;#,##0" sourceLinked="0"/>
            <c:spPr>
              <a:noFill/>
              <a:ln>
                <a:noFill/>
              </a:ln>
              <a:effectLst/>
            </c:spPr>
            <c:txPr>
              <a:bodyPr rot="-5400000" spcFirstLastPara="1" vertOverflow="ellipsis"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'Costs - SR - GEO'!$AF$4:$AF$55</c:f>
              <c:numCache>
                <c:formatCode>_(* #,##0_);_(* \(#,##0\);_(* "-"??_);_(@_)</c:formatCode>
                <c:ptCount val="52"/>
                <c:pt idx="0">
                  <c:v>21000000</c:v>
                </c:pt>
                <c:pt idx="1">
                  <c:v>42000000</c:v>
                </c:pt>
                <c:pt idx="2">
                  <c:v>63000000</c:v>
                </c:pt>
                <c:pt idx="3">
                  <c:v>84000000</c:v>
                </c:pt>
                <c:pt idx="4">
                  <c:v>105000000</c:v>
                </c:pt>
                <c:pt idx="5">
                  <c:v>126000000</c:v>
                </c:pt>
                <c:pt idx="6">
                  <c:v>147000000</c:v>
                </c:pt>
                <c:pt idx="7">
                  <c:v>168000000</c:v>
                </c:pt>
                <c:pt idx="8">
                  <c:v>189000000</c:v>
                </c:pt>
                <c:pt idx="9">
                  <c:v>210000000</c:v>
                </c:pt>
                <c:pt idx="10">
                  <c:v>231000000</c:v>
                </c:pt>
                <c:pt idx="11">
                  <c:v>252000000</c:v>
                </c:pt>
                <c:pt idx="12">
                  <c:v>273000000</c:v>
                </c:pt>
                <c:pt idx="13">
                  <c:v>294000000</c:v>
                </c:pt>
                <c:pt idx="14">
                  <c:v>315000000</c:v>
                </c:pt>
                <c:pt idx="15">
                  <c:v>336000000</c:v>
                </c:pt>
                <c:pt idx="16">
                  <c:v>357000000</c:v>
                </c:pt>
                <c:pt idx="17">
                  <c:v>378000000</c:v>
                </c:pt>
                <c:pt idx="18">
                  <c:v>399000000</c:v>
                </c:pt>
                <c:pt idx="19">
                  <c:v>420000000</c:v>
                </c:pt>
                <c:pt idx="20">
                  <c:v>441000000</c:v>
                </c:pt>
                <c:pt idx="21">
                  <c:v>462000000</c:v>
                </c:pt>
                <c:pt idx="22">
                  <c:v>483000000</c:v>
                </c:pt>
                <c:pt idx="23">
                  <c:v>504000000</c:v>
                </c:pt>
                <c:pt idx="24">
                  <c:v>525000000</c:v>
                </c:pt>
                <c:pt idx="25">
                  <c:v>546000000</c:v>
                </c:pt>
                <c:pt idx="26">
                  <c:v>567000000</c:v>
                </c:pt>
                <c:pt idx="27">
                  <c:v>588000000</c:v>
                </c:pt>
                <c:pt idx="28">
                  <c:v>609000000</c:v>
                </c:pt>
                <c:pt idx="29">
                  <c:v>630000000</c:v>
                </c:pt>
                <c:pt idx="30">
                  <c:v>651000000</c:v>
                </c:pt>
                <c:pt idx="31">
                  <c:v>672000000</c:v>
                </c:pt>
                <c:pt idx="32">
                  <c:v>693000000</c:v>
                </c:pt>
                <c:pt idx="33">
                  <c:v>714000000</c:v>
                </c:pt>
                <c:pt idx="34">
                  <c:v>735000000</c:v>
                </c:pt>
                <c:pt idx="35">
                  <c:v>756000000</c:v>
                </c:pt>
                <c:pt idx="36">
                  <c:v>777000000</c:v>
                </c:pt>
                <c:pt idx="37">
                  <c:v>798000000</c:v>
                </c:pt>
                <c:pt idx="38">
                  <c:v>819000000</c:v>
                </c:pt>
                <c:pt idx="39">
                  <c:v>840000000</c:v>
                </c:pt>
                <c:pt idx="40">
                  <c:v>861000000</c:v>
                </c:pt>
                <c:pt idx="41">
                  <c:v>882000000</c:v>
                </c:pt>
                <c:pt idx="42">
                  <c:v>903000000</c:v>
                </c:pt>
                <c:pt idx="43">
                  <c:v>924000000</c:v>
                </c:pt>
                <c:pt idx="44">
                  <c:v>945000000</c:v>
                </c:pt>
                <c:pt idx="45">
                  <c:v>966000000</c:v>
                </c:pt>
                <c:pt idx="46">
                  <c:v>987000000</c:v>
                </c:pt>
                <c:pt idx="47">
                  <c:v>1008000000</c:v>
                </c:pt>
                <c:pt idx="48">
                  <c:v>1029000000</c:v>
                </c:pt>
                <c:pt idx="49">
                  <c:v>1050000000</c:v>
                </c:pt>
                <c:pt idx="50">
                  <c:v>1071000000</c:v>
                </c:pt>
                <c:pt idx="51">
                  <c:v>1092000000</c:v>
                </c:pt>
              </c:numCache>
            </c:numRef>
          </c:cat>
          <c:val>
            <c:numRef>
              <c:f>'Costs - SR - GEO'!$AJ$4:$AJ$55</c:f>
              <c:numCache>
                <c:formatCode>_(* #,##0_);_(* \(#,##0\);_(* "-"??_);_(@_)</c:formatCode>
                <c:ptCount val="52"/>
                <c:pt idx="0">
                  <c:v>1518.427193582557</c:v>
                </c:pt>
                <c:pt idx="1">
                  <c:v>1952.3627700619336</c:v>
                </c:pt>
                <c:pt idx="2">
                  <c:v>2386.2983465413104</c:v>
                </c:pt>
                <c:pt idx="3">
                  <c:v>2820.2339230206871</c:v>
                </c:pt>
                <c:pt idx="4">
                  <c:v>3254.1694995000635</c:v>
                </c:pt>
                <c:pt idx="5">
                  <c:v>3688.1050759794407</c:v>
                </c:pt>
                <c:pt idx="6">
                  <c:v>4122.040652458817</c:v>
                </c:pt>
                <c:pt idx="7">
                  <c:v>4555.9762289381943</c:v>
                </c:pt>
                <c:pt idx="8">
                  <c:v>4989.9118054175706</c:v>
                </c:pt>
                <c:pt idx="9">
                  <c:v>5423.8473818969478</c:v>
                </c:pt>
                <c:pt idx="10">
                  <c:v>5857.7829583763241</c:v>
                </c:pt>
                <c:pt idx="11">
                  <c:v>6291.7185348557005</c:v>
                </c:pt>
                <c:pt idx="12">
                  <c:v>6725.6541113350768</c:v>
                </c:pt>
                <c:pt idx="13">
                  <c:v>7159.5896878144531</c:v>
                </c:pt>
                <c:pt idx="14">
                  <c:v>7593.5252642938294</c:v>
                </c:pt>
                <c:pt idx="15">
                  <c:v>8027.4608407732057</c:v>
                </c:pt>
                <c:pt idx="16">
                  <c:v>8461.3964172525812</c:v>
                </c:pt>
                <c:pt idx="17">
                  <c:v>8895.3319937319575</c:v>
                </c:pt>
                <c:pt idx="18">
                  <c:v>9329.2675702113338</c:v>
                </c:pt>
                <c:pt idx="19">
                  <c:v>9763.2031466907101</c:v>
                </c:pt>
                <c:pt idx="20">
                  <c:v>10197.138723170086</c:v>
                </c:pt>
                <c:pt idx="21">
                  <c:v>10631.074299649463</c:v>
                </c:pt>
                <c:pt idx="22">
                  <c:v>11065.009876128839</c:v>
                </c:pt>
                <c:pt idx="23">
                  <c:v>11498.945452608215</c:v>
                </c:pt>
                <c:pt idx="24">
                  <c:v>11932.881029087592</c:v>
                </c:pt>
                <c:pt idx="25">
                  <c:v>12366.816605566968</c:v>
                </c:pt>
                <c:pt idx="26">
                  <c:v>12800.752182046344</c:v>
                </c:pt>
                <c:pt idx="27">
                  <c:v>13234.687758525721</c:v>
                </c:pt>
                <c:pt idx="28">
                  <c:v>13668.623335005097</c:v>
                </c:pt>
                <c:pt idx="29">
                  <c:v>14102.558911484473</c:v>
                </c:pt>
                <c:pt idx="30">
                  <c:v>14536.49448796385</c:v>
                </c:pt>
                <c:pt idx="31">
                  <c:v>14970.430064443226</c:v>
                </c:pt>
                <c:pt idx="32">
                  <c:v>15404.365640922602</c:v>
                </c:pt>
                <c:pt idx="33">
                  <c:v>15838.301217401979</c:v>
                </c:pt>
                <c:pt idx="34">
                  <c:v>16272.236793881355</c:v>
                </c:pt>
                <c:pt idx="35">
                  <c:v>16706.172370360731</c:v>
                </c:pt>
                <c:pt idx="36">
                  <c:v>17140.107946840108</c:v>
                </c:pt>
                <c:pt idx="37">
                  <c:v>17574.043523319484</c:v>
                </c:pt>
                <c:pt idx="38">
                  <c:v>18007.97909979886</c:v>
                </c:pt>
                <c:pt idx="39">
                  <c:v>18441.914676278237</c:v>
                </c:pt>
                <c:pt idx="40">
                  <c:v>18875.850252757613</c:v>
                </c:pt>
                <c:pt idx="41">
                  <c:v>19309.785829236989</c:v>
                </c:pt>
                <c:pt idx="42">
                  <c:v>19743.721405716366</c:v>
                </c:pt>
                <c:pt idx="43">
                  <c:v>20177.656982195742</c:v>
                </c:pt>
                <c:pt idx="44">
                  <c:v>20611.592558675118</c:v>
                </c:pt>
                <c:pt idx="45">
                  <c:v>21045.528135154495</c:v>
                </c:pt>
                <c:pt idx="46">
                  <c:v>21479.463711633871</c:v>
                </c:pt>
                <c:pt idx="47">
                  <c:v>21913.399288113247</c:v>
                </c:pt>
                <c:pt idx="48">
                  <c:v>22347.334864592623</c:v>
                </c:pt>
                <c:pt idx="49">
                  <c:v>22781.270441072</c:v>
                </c:pt>
                <c:pt idx="50">
                  <c:v>23215.206017551376</c:v>
                </c:pt>
                <c:pt idx="51">
                  <c:v>23649.141594030752</c:v>
                </c:pt>
              </c:numCache>
            </c:numRef>
          </c:val>
          <c:smooth val="0"/>
          <c:extLst>
            <c:ext xmlns:c16="http://schemas.microsoft.com/office/drawing/2014/chart" uri="{C3380CC4-5D6E-409C-BE32-E72D297353CC}">
              <c16:uniqueId val="{00000002-7137-420D-B5C4-F0CA925C4597}"/>
            </c:ext>
          </c:extLst>
        </c:ser>
        <c:dLbls>
          <c:showLegendKey val="0"/>
          <c:showVal val="0"/>
          <c:showCatName val="0"/>
          <c:showSerName val="0"/>
          <c:showPercent val="0"/>
          <c:showBubbleSize val="0"/>
        </c:dLbls>
        <c:marker val="1"/>
        <c:smooth val="0"/>
        <c:axId val="1575648544"/>
        <c:axId val="1521493440"/>
      </c:lineChart>
      <c:catAx>
        <c:axId val="157564854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Total Output of LEO Network (Minutes)</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21493440"/>
        <c:crosses val="autoZero"/>
        <c:auto val="1"/>
        <c:lblAlgn val="ctr"/>
        <c:lblOffset val="100"/>
        <c:noMultiLvlLbl val="0"/>
      </c:catAx>
      <c:valAx>
        <c:axId val="1521493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Cost (US$ Mn)</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75648544"/>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Average Total Cost Per Minute</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'Costs - SR - GEO'!$AN$2</c:f>
              <c:strCache>
                <c:ptCount val="1"/>
                <c:pt idx="0">
                  <c:v>Average fixed cost (US$/Min)</c:v>
                </c:pt>
              </c:strCache>
            </c:strRef>
          </c:tx>
          <c:spPr>
            <a:solidFill>
              <a:schemeClr val="accent2"/>
            </a:solidFill>
            <a:ln>
              <a:noFill/>
            </a:ln>
            <a:effectLst/>
          </c:spPr>
          <c:invertIfNegative val="0"/>
          <c:cat>
            <c:numRef>
              <c:f>'Costs - SR - GEO'!$AF$4:$AF$55</c:f>
              <c:numCache>
                <c:formatCode>_(* #,##0_);_(* \(#,##0\);_(* "-"??_);_(@_)</c:formatCode>
                <c:ptCount val="52"/>
                <c:pt idx="0">
                  <c:v>21000000</c:v>
                </c:pt>
                <c:pt idx="1">
                  <c:v>42000000</c:v>
                </c:pt>
                <c:pt idx="2">
                  <c:v>63000000</c:v>
                </c:pt>
                <c:pt idx="3">
                  <c:v>84000000</c:v>
                </c:pt>
                <c:pt idx="4">
                  <c:v>105000000</c:v>
                </c:pt>
                <c:pt idx="5">
                  <c:v>126000000</c:v>
                </c:pt>
                <c:pt idx="6">
                  <c:v>147000000</c:v>
                </c:pt>
                <c:pt idx="7">
                  <c:v>168000000</c:v>
                </c:pt>
                <c:pt idx="8">
                  <c:v>189000000</c:v>
                </c:pt>
                <c:pt idx="9">
                  <c:v>210000000</c:v>
                </c:pt>
                <c:pt idx="10">
                  <c:v>231000000</c:v>
                </c:pt>
                <c:pt idx="11">
                  <c:v>252000000</c:v>
                </c:pt>
                <c:pt idx="12">
                  <c:v>273000000</c:v>
                </c:pt>
                <c:pt idx="13">
                  <c:v>294000000</c:v>
                </c:pt>
                <c:pt idx="14">
                  <c:v>315000000</c:v>
                </c:pt>
                <c:pt idx="15">
                  <c:v>336000000</c:v>
                </c:pt>
                <c:pt idx="16">
                  <c:v>357000000</c:v>
                </c:pt>
                <c:pt idx="17">
                  <c:v>378000000</c:v>
                </c:pt>
                <c:pt idx="18">
                  <c:v>399000000</c:v>
                </c:pt>
                <c:pt idx="19">
                  <c:v>420000000</c:v>
                </c:pt>
                <c:pt idx="20">
                  <c:v>441000000</c:v>
                </c:pt>
                <c:pt idx="21">
                  <c:v>462000000</c:v>
                </c:pt>
                <c:pt idx="22">
                  <c:v>483000000</c:v>
                </c:pt>
                <c:pt idx="23">
                  <c:v>504000000</c:v>
                </c:pt>
                <c:pt idx="24">
                  <c:v>525000000</c:v>
                </c:pt>
                <c:pt idx="25">
                  <c:v>546000000</c:v>
                </c:pt>
                <c:pt idx="26">
                  <c:v>567000000</c:v>
                </c:pt>
                <c:pt idx="27">
                  <c:v>588000000</c:v>
                </c:pt>
                <c:pt idx="28">
                  <c:v>609000000</c:v>
                </c:pt>
                <c:pt idx="29">
                  <c:v>630000000</c:v>
                </c:pt>
                <c:pt idx="30">
                  <c:v>651000000</c:v>
                </c:pt>
                <c:pt idx="31">
                  <c:v>672000000</c:v>
                </c:pt>
                <c:pt idx="32">
                  <c:v>693000000</c:v>
                </c:pt>
                <c:pt idx="33">
                  <c:v>714000000</c:v>
                </c:pt>
                <c:pt idx="34">
                  <c:v>735000000</c:v>
                </c:pt>
                <c:pt idx="35">
                  <c:v>756000000</c:v>
                </c:pt>
                <c:pt idx="36">
                  <c:v>777000000</c:v>
                </c:pt>
                <c:pt idx="37">
                  <c:v>798000000</c:v>
                </c:pt>
                <c:pt idx="38">
                  <c:v>819000000</c:v>
                </c:pt>
                <c:pt idx="39">
                  <c:v>840000000</c:v>
                </c:pt>
                <c:pt idx="40">
                  <c:v>861000000</c:v>
                </c:pt>
                <c:pt idx="41">
                  <c:v>882000000</c:v>
                </c:pt>
                <c:pt idx="42">
                  <c:v>903000000</c:v>
                </c:pt>
                <c:pt idx="43">
                  <c:v>924000000</c:v>
                </c:pt>
                <c:pt idx="44">
                  <c:v>945000000</c:v>
                </c:pt>
                <c:pt idx="45">
                  <c:v>966000000</c:v>
                </c:pt>
                <c:pt idx="46">
                  <c:v>987000000</c:v>
                </c:pt>
                <c:pt idx="47">
                  <c:v>1008000000</c:v>
                </c:pt>
                <c:pt idx="48">
                  <c:v>1029000000</c:v>
                </c:pt>
                <c:pt idx="49">
                  <c:v>1050000000</c:v>
                </c:pt>
                <c:pt idx="50">
                  <c:v>1071000000</c:v>
                </c:pt>
                <c:pt idx="51">
                  <c:v>1092000000</c:v>
                </c:pt>
              </c:numCache>
            </c:numRef>
          </c:cat>
          <c:val>
            <c:numRef>
              <c:f>'Costs - SR - GEO'!$AN$4:$AN$55</c:f>
              <c:numCache>
                <c:formatCode>_(* #,##0_);_(* \(#,##0\);_(* "-"??_);_(@_)</c:formatCode>
                <c:ptCount val="52"/>
                <c:pt idx="0">
                  <c:v>72.30605683726462</c:v>
                </c:pt>
                <c:pt idx="1">
                  <c:v>36.15302841863231</c:v>
                </c:pt>
                <c:pt idx="2">
                  <c:v>24.102018945754875</c:v>
                </c:pt>
                <c:pt idx="3">
                  <c:v>18.076514209316155</c:v>
                </c:pt>
                <c:pt idx="4">
                  <c:v>14.461211367452925</c:v>
                </c:pt>
                <c:pt idx="5">
                  <c:v>12.051009472877437</c:v>
                </c:pt>
                <c:pt idx="6">
                  <c:v>10.329436691037802</c:v>
                </c:pt>
                <c:pt idx="7">
                  <c:v>9.0382571046580775</c:v>
                </c:pt>
                <c:pt idx="8">
                  <c:v>8.0340063152516255</c:v>
                </c:pt>
                <c:pt idx="9">
                  <c:v>7.2306056837264627</c:v>
                </c:pt>
                <c:pt idx="10">
                  <c:v>6.5732778942967842</c:v>
                </c:pt>
                <c:pt idx="11">
                  <c:v>6.0255047364387186</c:v>
                </c:pt>
                <c:pt idx="12">
                  <c:v>5.5620043720972792</c:v>
                </c:pt>
                <c:pt idx="13">
                  <c:v>5.1647183455189012</c:v>
                </c:pt>
                <c:pt idx="14">
                  <c:v>4.8204037891509746</c:v>
                </c:pt>
                <c:pt idx="15">
                  <c:v>4.5191285523290388</c:v>
                </c:pt>
                <c:pt idx="16">
                  <c:v>4.253297461015566</c:v>
                </c:pt>
                <c:pt idx="17">
                  <c:v>4.0170031576258127</c:v>
                </c:pt>
                <c:pt idx="18">
                  <c:v>3.8055819388034009</c:v>
                </c:pt>
                <c:pt idx="19">
                  <c:v>3.6153028418632314</c:v>
                </c:pt>
                <c:pt idx="20">
                  <c:v>3.4431455636792676</c:v>
                </c:pt>
                <c:pt idx="21">
                  <c:v>3.2866389471483921</c:v>
                </c:pt>
                <c:pt idx="22">
                  <c:v>3.1437416016202011</c:v>
                </c:pt>
                <c:pt idx="23">
                  <c:v>3.0127523682193593</c:v>
                </c:pt>
                <c:pt idx="24">
                  <c:v>2.8922422734905848</c:v>
                </c:pt>
                <c:pt idx="25">
                  <c:v>2.7810021860486396</c:v>
                </c:pt>
                <c:pt idx="26">
                  <c:v>2.6780021050838747</c:v>
                </c:pt>
                <c:pt idx="27">
                  <c:v>2.5823591727594506</c:v>
                </c:pt>
                <c:pt idx="28">
                  <c:v>2.493312304733263</c:v>
                </c:pt>
                <c:pt idx="29">
                  <c:v>2.4102018945754873</c:v>
                </c:pt>
                <c:pt idx="30">
                  <c:v>2.3324534463633748</c:v>
                </c:pt>
                <c:pt idx="31">
                  <c:v>2.2595642761645194</c:v>
                </c:pt>
                <c:pt idx="32">
                  <c:v>2.1910926314322614</c:v>
                </c:pt>
                <c:pt idx="33">
                  <c:v>2.126648730507783</c:v>
                </c:pt>
                <c:pt idx="34">
                  <c:v>2.0658873382075607</c:v>
                </c:pt>
                <c:pt idx="35">
                  <c:v>2.0085015788129064</c:v>
                </c:pt>
                <c:pt idx="36">
                  <c:v>1.9542177523585031</c:v>
                </c:pt>
                <c:pt idx="37">
                  <c:v>1.9027909694017004</c:v>
                </c:pt>
                <c:pt idx="38">
                  <c:v>1.8540014573657595</c:v>
                </c:pt>
                <c:pt idx="39">
                  <c:v>1.8076514209316157</c:v>
                </c:pt>
                <c:pt idx="40">
                  <c:v>1.7635623618845031</c:v>
                </c:pt>
                <c:pt idx="41">
                  <c:v>1.7215727818396338</c:v>
                </c:pt>
                <c:pt idx="42">
                  <c:v>1.681536205517782</c:v>
                </c:pt>
                <c:pt idx="43">
                  <c:v>1.6433194735741961</c:v>
                </c:pt>
                <c:pt idx="44">
                  <c:v>1.6068012630503248</c:v>
                </c:pt>
                <c:pt idx="45">
                  <c:v>1.5718708008101006</c:v>
                </c:pt>
                <c:pt idx="46">
                  <c:v>1.5384267412183961</c:v>
                </c:pt>
                <c:pt idx="47">
                  <c:v>1.5063761841096797</c:v>
                </c:pt>
                <c:pt idx="48">
                  <c:v>1.4756338130054005</c:v>
                </c:pt>
                <c:pt idx="49">
                  <c:v>1.4461211367452924</c:v>
                </c:pt>
                <c:pt idx="50">
                  <c:v>1.4177658203385219</c:v>
                </c:pt>
                <c:pt idx="51">
                  <c:v>1.3905010930243198</c:v>
                </c:pt>
              </c:numCache>
            </c:numRef>
          </c:val>
          <c:extLst>
            <c:ext xmlns:c16="http://schemas.microsoft.com/office/drawing/2014/chart" uri="{C3380CC4-5D6E-409C-BE32-E72D297353CC}">
              <c16:uniqueId val="{00000000-CBB7-49BF-AAF8-C08600C99AAE}"/>
            </c:ext>
          </c:extLst>
        </c:ser>
        <c:ser>
          <c:idx val="2"/>
          <c:order val="2"/>
          <c:tx>
            <c:strRef>
              <c:f>'Costs - SR - GEO'!$AO$2</c:f>
              <c:strCache>
                <c:ptCount val="1"/>
                <c:pt idx="0">
                  <c:v>Average variable cost (US$/Min)</c:v>
                </c:pt>
              </c:strCache>
            </c:strRef>
          </c:tx>
          <c:spPr>
            <a:solidFill>
              <a:schemeClr val="accent3"/>
            </a:solidFill>
            <a:ln>
              <a:noFill/>
            </a:ln>
            <a:effectLst/>
          </c:spPr>
          <c:invertIfNegative val="0"/>
          <c:cat>
            <c:numRef>
              <c:f>'Costs - SR - GEO'!$AF$4:$AF$55</c:f>
              <c:numCache>
                <c:formatCode>_(* #,##0_);_(* \(#,##0\);_(* "-"??_);_(@_)</c:formatCode>
                <c:ptCount val="52"/>
                <c:pt idx="0">
                  <c:v>21000000</c:v>
                </c:pt>
                <c:pt idx="1">
                  <c:v>42000000</c:v>
                </c:pt>
                <c:pt idx="2">
                  <c:v>63000000</c:v>
                </c:pt>
                <c:pt idx="3">
                  <c:v>84000000</c:v>
                </c:pt>
                <c:pt idx="4">
                  <c:v>105000000</c:v>
                </c:pt>
                <c:pt idx="5">
                  <c:v>126000000</c:v>
                </c:pt>
                <c:pt idx="6">
                  <c:v>147000000</c:v>
                </c:pt>
                <c:pt idx="7">
                  <c:v>168000000</c:v>
                </c:pt>
                <c:pt idx="8">
                  <c:v>189000000</c:v>
                </c:pt>
                <c:pt idx="9">
                  <c:v>210000000</c:v>
                </c:pt>
                <c:pt idx="10">
                  <c:v>231000000</c:v>
                </c:pt>
                <c:pt idx="11">
                  <c:v>252000000</c:v>
                </c:pt>
                <c:pt idx="12">
                  <c:v>273000000</c:v>
                </c:pt>
                <c:pt idx="13">
                  <c:v>294000000</c:v>
                </c:pt>
                <c:pt idx="14">
                  <c:v>315000000</c:v>
                </c:pt>
                <c:pt idx="15">
                  <c:v>336000000</c:v>
                </c:pt>
                <c:pt idx="16">
                  <c:v>357000000</c:v>
                </c:pt>
                <c:pt idx="17">
                  <c:v>378000000</c:v>
                </c:pt>
                <c:pt idx="18">
                  <c:v>399000000</c:v>
                </c:pt>
                <c:pt idx="19">
                  <c:v>420000000</c:v>
                </c:pt>
                <c:pt idx="20">
                  <c:v>441000000</c:v>
                </c:pt>
                <c:pt idx="21">
                  <c:v>462000000</c:v>
                </c:pt>
                <c:pt idx="22">
                  <c:v>483000000</c:v>
                </c:pt>
                <c:pt idx="23">
                  <c:v>504000000</c:v>
                </c:pt>
                <c:pt idx="24">
                  <c:v>525000000</c:v>
                </c:pt>
                <c:pt idx="25">
                  <c:v>546000000</c:v>
                </c:pt>
                <c:pt idx="26">
                  <c:v>567000000</c:v>
                </c:pt>
                <c:pt idx="27">
                  <c:v>588000000</c:v>
                </c:pt>
                <c:pt idx="28">
                  <c:v>609000000</c:v>
                </c:pt>
                <c:pt idx="29">
                  <c:v>630000000</c:v>
                </c:pt>
                <c:pt idx="30">
                  <c:v>651000000</c:v>
                </c:pt>
                <c:pt idx="31">
                  <c:v>672000000</c:v>
                </c:pt>
                <c:pt idx="32">
                  <c:v>693000000</c:v>
                </c:pt>
                <c:pt idx="33">
                  <c:v>714000000</c:v>
                </c:pt>
                <c:pt idx="34">
                  <c:v>735000000</c:v>
                </c:pt>
                <c:pt idx="35">
                  <c:v>756000000</c:v>
                </c:pt>
                <c:pt idx="36">
                  <c:v>777000000</c:v>
                </c:pt>
                <c:pt idx="37">
                  <c:v>798000000</c:v>
                </c:pt>
                <c:pt idx="38">
                  <c:v>819000000</c:v>
                </c:pt>
                <c:pt idx="39">
                  <c:v>840000000</c:v>
                </c:pt>
                <c:pt idx="40">
                  <c:v>861000000</c:v>
                </c:pt>
                <c:pt idx="41">
                  <c:v>882000000</c:v>
                </c:pt>
                <c:pt idx="42">
                  <c:v>903000000</c:v>
                </c:pt>
                <c:pt idx="43">
                  <c:v>924000000</c:v>
                </c:pt>
                <c:pt idx="44">
                  <c:v>945000000</c:v>
                </c:pt>
                <c:pt idx="45">
                  <c:v>966000000</c:v>
                </c:pt>
                <c:pt idx="46">
                  <c:v>987000000</c:v>
                </c:pt>
                <c:pt idx="47">
                  <c:v>1008000000</c:v>
                </c:pt>
                <c:pt idx="48">
                  <c:v>1029000000</c:v>
                </c:pt>
                <c:pt idx="49">
                  <c:v>1050000000</c:v>
                </c:pt>
                <c:pt idx="50">
                  <c:v>1071000000</c:v>
                </c:pt>
                <c:pt idx="51">
                  <c:v>1092000000</c:v>
                </c:pt>
              </c:numCache>
            </c:numRef>
          </c:cat>
          <c:val>
            <c:numRef>
              <c:f>'Costs - SR - GEO'!$AO$4:$AO$55</c:f>
              <c:numCache>
                <c:formatCode>0</c:formatCode>
                <c:ptCount val="52"/>
                <c:pt idx="0">
                  <c:v>0</c:v>
                </c:pt>
                <c:pt idx="1">
                  <c:v>10.331799439985158</c:v>
                </c:pt>
                <c:pt idx="2">
                  <c:v>13.775732586646878</c:v>
                </c:pt>
                <c:pt idx="3">
                  <c:v>15.497699159977737</c:v>
                </c:pt>
                <c:pt idx="4">
                  <c:v>16.530879103976254</c:v>
                </c:pt>
                <c:pt idx="5">
                  <c:v>17.219665733308599</c:v>
                </c:pt>
                <c:pt idx="6">
                  <c:v>17.7116561828317</c:v>
                </c:pt>
                <c:pt idx="7">
                  <c:v>18.080649019974032</c:v>
                </c:pt>
                <c:pt idx="8">
                  <c:v>18.367643448862506</c:v>
                </c:pt>
                <c:pt idx="9">
                  <c:v>18.597238991973288</c:v>
                </c:pt>
                <c:pt idx="10">
                  <c:v>18.785089890882109</c:v>
                </c:pt>
                <c:pt idx="11">
                  <c:v>18.941632306639459</c:v>
                </c:pt>
                <c:pt idx="12">
                  <c:v>19.074091273818752</c:v>
                </c:pt>
                <c:pt idx="13">
                  <c:v>19.187627531401006</c:v>
                </c:pt>
                <c:pt idx="14">
                  <c:v>19.286025621305626</c:v>
                </c:pt>
                <c:pt idx="15">
                  <c:v>19.372123949972167</c:v>
                </c:pt>
                <c:pt idx="16">
                  <c:v>19.448093063501467</c:v>
                </c:pt>
                <c:pt idx="17">
                  <c:v>19.515621164416405</c:v>
                </c:pt>
                <c:pt idx="18">
                  <c:v>19.5760410441824</c:v>
                </c:pt>
                <c:pt idx="19">
                  <c:v>19.630418935971793</c:v>
                </c:pt>
                <c:pt idx="20">
                  <c:v>19.679617980924107</c:v>
                </c:pt>
                <c:pt idx="21">
                  <c:v>19.724344385426207</c:v>
                </c:pt>
                <c:pt idx="22">
                  <c:v>19.765181537362906</c:v>
                </c:pt>
                <c:pt idx="23">
                  <c:v>19.802615593304878</c:v>
                </c:pt>
                <c:pt idx="24">
                  <c:v>19.837054924771493</c:v>
                </c:pt>
                <c:pt idx="25">
                  <c:v>19.868845076894527</c:v>
                </c:pt>
                <c:pt idx="26">
                  <c:v>19.898280402934372</c:v>
                </c:pt>
                <c:pt idx="27">
                  <c:v>19.925613205685654</c:v>
                </c:pt>
                <c:pt idx="28">
                  <c:v>19.95106098755754</c:v>
                </c:pt>
                <c:pt idx="29">
                  <c:v>19.974812250637964</c:v>
                </c:pt>
                <c:pt idx="30">
                  <c:v>19.997031174164814</c:v>
                </c:pt>
                <c:pt idx="31">
                  <c:v>20.017861414971236</c:v>
                </c:pt>
                <c:pt idx="32">
                  <c:v>20.037429216940904</c:v>
                </c:pt>
                <c:pt idx="33">
                  <c:v>20.055845971735884</c:v>
                </c:pt>
                <c:pt idx="34">
                  <c:v>20.073210340542584</c:v>
                </c:pt>
                <c:pt idx="35">
                  <c:v>20.089610022193352</c:v>
                </c:pt>
                <c:pt idx="36">
                  <c:v>20.105123234565706</c:v>
                </c:pt>
                <c:pt idx="37">
                  <c:v>20.119819962076352</c:v>
                </c:pt>
                <c:pt idx="38">
                  <c:v>20.133763011253119</c:v>
                </c:pt>
                <c:pt idx="39">
                  <c:v>20.147008907971049</c:v>
                </c:pt>
                <c:pt idx="40">
                  <c:v>20.159608663385665</c:v>
                </c:pt>
                <c:pt idx="41">
                  <c:v>20.171608430447204</c:v>
                </c:pt>
                <c:pt idx="42">
                  <c:v>20.183050068808207</c:v>
                </c:pt>
                <c:pt idx="43">
                  <c:v>20.193971632698254</c:v>
                </c:pt>
                <c:pt idx="44">
                  <c:v>20.204407793748743</c:v>
                </c:pt>
                <c:pt idx="45">
                  <c:v>20.214390208666604</c:v>
                </c:pt>
                <c:pt idx="46">
                  <c:v>20.223947839970936</c:v>
                </c:pt>
                <c:pt idx="47">
                  <c:v>20.23310723663759</c:v>
                </c:pt>
                <c:pt idx="48">
                  <c:v>20.241892780379072</c:v>
                </c:pt>
                <c:pt idx="49">
                  <c:v>20.250326902370901</c:v>
                </c:pt>
                <c:pt idx="50">
                  <c:v>20.258430274480691</c:v>
                </c:pt>
                <c:pt idx="51">
                  <c:v>20.266221978432412</c:v>
                </c:pt>
              </c:numCache>
            </c:numRef>
          </c:val>
          <c:extLst>
            <c:ext xmlns:c16="http://schemas.microsoft.com/office/drawing/2014/chart" uri="{C3380CC4-5D6E-409C-BE32-E72D297353CC}">
              <c16:uniqueId val="{00000001-CBB7-49BF-AAF8-C08600C99AAE}"/>
            </c:ext>
          </c:extLst>
        </c:ser>
        <c:dLbls>
          <c:showLegendKey val="0"/>
          <c:showVal val="0"/>
          <c:showCatName val="0"/>
          <c:showSerName val="0"/>
          <c:showPercent val="0"/>
          <c:showBubbleSize val="0"/>
        </c:dLbls>
        <c:gapWidth val="150"/>
        <c:overlap val="100"/>
        <c:axId val="1575648544"/>
        <c:axId val="1521493440"/>
      </c:barChart>
      <c:lineChart>
        <c:grouping val="standard"/>
        <c:varyColors val="0"/>
        <c:ser>
          <c:idx val="0"/>
          <c:order val="0"/>
          <c:tx>
            <c:strRef>
              <c:f>'Costs - SR - GEO'!$AM$2</c:f>
              <c:strCache>
                <c:ptCount val="1"/>
                <c:pt idx="0">
                  <c:v>Average total cost ($/Min)</c:v>
                </c:pt>
              </c:strCache>
            </c:strRef>
          </c:tx>
          <c:spPr>
            <a:ln w="28575" cap="rnd">
              <a:noFill/>
              <a:round/>
            </a:ln>
            <a:effectLst/>
          </c:spPr>
          <c:marker>
            <c:symbol val="none"/>
          </c:marker>
          <c:dLbls>
            <c:numFmt formatCode="&quot;$&quot;#,##0" sourceLinked="0"/>
            <c:spPr>
              <a:noFill/>
              <a:ln>
                <a:noFill/>
              </a:ln>
              <a:effectLst/>
            </c:spPr>
            <c:txPr>
              <a:bodyPr rot="-5400000" spcFirstLastPara="1" vertOverflow="ellipsis"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'Costs - SR - GEO'!$AM$4:$AM$55</c:f>
              <c:numCache>
                <c:formatCode>_(* #,##0_);_(* \(#,##0\);_(* "-"??_);_(@_)</c:formatCode>
                <c:ptCount val="52"/>
                <c:pt idx="0">
                  <c:v>72.30605683726462</c:v>
                </c:pt>
                <c:pt idx="1">
                  <c:v>46.484827858617464</c:v>
                </c:pt>
                <c:pt idx="2">
                  <c:v>37.877751532401753</c:v>
                </c:pt>
                <c:pt idx="3">
                  <c:v>33.574213369293894</c:v>
                </c:pt>
                <c:pt idx="4">
                  <c:v>30.992090471429179</c:v>
                </c:pt>
                <c:pt idx="5">
                  <c:v>29.270675206186034</c:v>
                </c:pt>
                <c:pt idx="6">
                  <c:v>28.041092873869502</c:v>
                </c:pt>
                <c:pt idx="7">
                  <c:v>27.118906124632112</c:v>
                </c:pt>
                <c:pt idx="8">
                  <c:v>26.401649764114133</c:v>
                </c:pt>
                <c:pt idx="9">
                  <c:v>25.827844675699751</c:v>
                </c:pt>
                <c:pt idx="10">
                  <c:v>25.358367785178892</c:v>
                </c:pt>
                <c:pt idx="11">
                  <c:v>24.967137043078178</c:v>
                </c:pt>
                <c:pt idx="12">
                  <c:v>24.636095645916029</c:v>
                </c:pt>
                <c:pt idx="13">
                  <c:v>24.352345876919905</c:v>
                </c:pt>
                <c:pt idx="14">
                  <c:v>24.106429410456599</c:v>
                </c:pt>
                <c:pt idx="15">
                  <c:v>23.891252502301207</c:v>
                </c:pt>
                <c:pt idx="16">
                  <c:v>23.701390524517034</c:v>
                </c:pt>
                <c:pt idx="17">
                  <c:v>23.532624322042217</c:v>
                </c:pt>
                <c:pt idx="18">
                  <c:v>23.3816229829858</c:v>
                </c:pt>
                <c:pt idx="19">
                  <c:v>23.245721777835023</c:v>
                </c:pt>
                <c:pt idx="20">
                  <c:v>23.122763544603373</c:v>
                </c:pt>
                <c:pt idx="21">
                  <c:v>23.0109833325746</c:v>
                </c:pt>
                <c:pt idx="22">
                  <c:v>22.908923138983106</c:v>
                </c:pt>
                <c:pt idx="23">
                  <c:v>22.815367961524238</c:v>
                </c:pt>
                <c:pt idx="24">
                  <c:v>22.729297198262078</c:v>
                </c:pt>
                <c:pt idx="25">
                  <c:v>22.649847262943165</c:v>
                </c:pt>
                <c:pt idx="26">
                  <c:v>22.576282508018245</c:v>
                </c:pt>
                <c:pt idx="27">
                  <c:v>22.507972378445103</c:v>
                </c:pt>
                <c:pt idx="28">
                  <c:v>22.444373292290802</c:v>
                </c:pt>
                <c:pt idx="29">
                  <c:v>22.38501414521345</c:v>
                </c:pt>
                <c:pt idx="30">
                  <c:v>22.329484620528188</c:v>
                </c:pt>
                <c:pt idx="31">
                  <c:v>22.277425691135754</c:v>
                </c:pt>
                <c:pt idx="32">
                  <c:v>22.228521848373166</c:v>
                </c:pt>
                <c:pt idx="33">
                  <c:v>22.182494702243666</c:v>
                </c:pt>
                <c:pt idx="34">
                  <c:v>22.139097678750144</c:v>
                </c:pt>
                <c:pt idx="35">
                  <c:v>22.098111601006259</c:v>
                </c:pt>
                <c:pt idx="36">
                  <c:v>22.059340986924209</c:v>
                </c:pt>
                <c:pt idx="37">
                  <c:v>22.022610931478052</c:v>
                </c:pt>
                <c:pt idx="38">
                  <c:v>21.987764468618877</c:v>
                </c:pt>
                <c:pt idx="39">
                  <c:v>21.954660328902666</c:v>
                </c:pt>
                <c:pt idx="40">
                  <c:v>21.923171025270168</c:v>
                </c:pt>
                <c:pt idx="41">
                  <c:v>21.893181212286837</c:v>
                </c:pt>
                <c:pt idx="42">
                  <c:v>21.86458627432599</c:v>
                </c:pt>
                <c:pt idx="43">
                  <c:v>21.837291106272449</c:v>
                </c:pt>
                <c:pt idx="44">
                  <c:v>21.811209056799068</c:v>
                </c:pt>
                <c:pt idx="45">
                  <c:v>21.786261009476704</c:v>
                </c:pt>
                <c:pt idx="46">
                  <c:v>21.762374581189331</c:v>
                </c:pt>
                <c:pt idx="47">
                  <c:v>21.73948342074727</c:v>
                </c:pt>
                <c:pt idx="48">
                  <c:v>21.717526593384473</c:v>
                </c:pt>
                <c:pt idx="49">
                  <c:v>21.696448039116195</c:v>
                </c:pt>
                <c:pt idx="50">
                  <c:v>21.676196094819215</c:v>
                </c:pt>
                <c:pt idx="51">
                  <c:v>21.656723071456732</c:v>
                </c:pt>
              </c:numCache>
            </c:numRef>
          </c:val>
          <c:smooth val="0"/>
          <c:extLst>
            <c:ext xmlns:c16="http://schemas.microsoft.com/office/drawing/2014/chart" uri="{C3380CC4-5D6E-409C-BE32-E72D297353CC}">
              <c16:uniqueId val="{00000002-CBB7-49BF-AAF8-C08600C99AAE}"/>
            </c:ext>
          </c:extLst>
        </c:ser>
        <c:dLbls>
          <c:showLegendKey val="0"/>
          <c:showVal val="0"/>
          <c:showCatName val="0"/>
          <c:showSerName val="0"/>
          <c:showPercent val="0"/>
          <c:showBubbleSize val="0"/>
        </c:dLbls>
        <c:marker val="1"/>
        <c:smooth val="0"/>
        <c:axId val="1575648544"/>
        <c:axId val="1521493440"/>
      </c:lineChart>
      <c:catAx>
        <c:axId val="157564854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Total Output of LEO Network (Minutes)</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21493440"/>
        <c:crosses val="autoZero"/>
        <c:auto val="1"/>
        <c:lblAlgn val="ctr"/>
        <c:lblOffset val="100"/>
        <c:noMultiLvlLbl val="0"/>
      </c:catAx>
      <c:valAx>
        <c:axId val="1521493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Cost (US$)</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75648544"/>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DTE_cost_per_minute_forecast!$B$3</c:f>
              <c:strCache>
                <c:ptCount val="1"/>
                <c:pt idx="0">
                  <c:v>Human Space Flight</c:v>
                </c:pt>
              </c:strCache>
            </c:strRef>
          </c:tx>
          <c:spPr>
            <a:solidFill>
              <a:schemeClr val="accent1"/>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EE7-4A41-AE90-B9712615D825}"/>
            </c:ext>
          </c:extLst>
        </c:ser>
        <c:ser>
          <c:idx val="1"/>
          <c:order val="1"/>
          <c:tx>
            <c:strRef>
              <c:f>DTE_cost_per_minute_forecast!$B$4</c:f>
              <c:strCache>
                <c:ptCount val="1"/>
                <c:pt idx="0">
                  <c:v>Near Earth Robotic - LEO Science</c:v>
                </c:pt>
              </c:strCache>
            </c:strRef>
          </c:tx>
          <c:spPr>
            <a:solidFill>
              <a:schemeClr val="accent2"/>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EE7-4A41-AE90-B9712615D825}"/>
            </c:ext>
          </c:extLst>
        </c:ser>
        <c:ser>
          <c:idx val="2"/>
          <c:order val="2"/>
          <c:tx>
            <c:strRef>
              <c:f>DTE_cost_per_minute_forecast!$B$5</c:f>
              <c:strCache>
                <c:ptCount val="1"/>
                <c:pt idx="0">
                  <c:v>Near Earth Robotic - GEO and Near Earth</c:v>
                </c:pt>
              </c:strCache>
            </c:strRef>
          </c:tx>
          <c:spPr>
            <a:solidFill>
              <a:schemeClr val="accent3"/>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1EE7-4A41-AE90-B9712615D825}"/>
            </c:ext>
          </c:extLst>
        </c:ser>
        <c:ser>
          <c:idx val="3"/>
          <c:order val="3"/>
          <c:tx>
            <c:strRef>
              <c:f>DTE_cost_per_minute_forecast!$B$6</c:f>
              <c:strCache>
                <c:ptCount val="1"/>
                <c:pt idx="0">
                  <c:v>Deep Space Robotic</c:v>
                </c:pt>
              </c:strCache>
            </c:strRef>
          </c:tx>
          <c:spPr>
            <a:solidFill>
              <a:schemeClr val="accent4"/>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EE7-4A41-AE90-B9712615D825}"/>
            </c:ext>
          </c:extLst>
        </c:ser>
        <c:ser>
          <c:idx val="4"/>
          <c:order val="4"/>
          <c:tx>
            <c:strRef>
              <c:f>DTE_cost_per_minute_forecast!$B$7</c:f>
              <c:strCache>
                <c:ptCount val="1"/>
                <c:pt idx="0">
                  <c:v>Near Earth Robotic - Low Latency &amp; Complex Needs</c:v>
                </c:pt>
              </c:strCache>
            </c:strRef>
          </c:tx>
          <c:spPr>
            <a:solidFill>
              <a:schemeClr val="accent5"/>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EE7-4A41-AE90-B9712615D825}"/>
            </c:ext>
          </c:extLst>
        </c:ser>
        <c:ser>
          <c:idx val="5"/>
          <c:order val="5"/>
          <c:tx>
            <c:strRef>
              <c:f>DTE_cost_per_minute_forecast!$B$8</c:f>
              <c:strCache>
                <c:ptCount val="1"/>
                <c:pt idx="0">
                  <c:v>Mission Operations</c:v>
                </c:pt>
              </c:strCache>
            </c:strRef>
          </c:tx>
          <c:spPr>
            <a:solidFill>
              <a:schemeClr val="accent6"/>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EE7-4A41-AE90-B9712615D825}"/>
            </c:ext>
          </c:extLst>
        </c:ser>
        <c:ser>
          <c:idx val="6"/>
          <c:order val="6"/>
          <c:tx>
            <c:strRef>
              <c:f>DTE_cost_per_minute_forecast!$B$9</c:f>
              <c:strCache>
                <c:ptCount val="1"/>
                <c:pt idx="0">
                  <c:v>Launch Events</c:v>
                </c:pt>
              </c:strCache>
            </c:strRef>
          </c:tx>
          <c:spPr>
            <a:solidFill>
              <a:schemeClr val="accent1">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1EE7-4A41-AE90-B9712615D825}"/>
            </c:ext>
          </c:extLst>
        </c:ser>
        <c:ser>
          <c:idx val="7"/>
          <c:order val="7"/>
          <c:tx>
            <c:strRef>
              <c:f>DTE_cost_per_minute_forecast!$B$10</c:f>
              <c:strCache>
                <c:ptCount val="1"/>
                <c:pt idx="0">
                  <c:v>Terrestrial &amp; Aerial</c:v>
                </c:pt>
              </c:strCache>
            </c:strRef>
          </c:tx>
          <c:spPr>
            <a:solidFill>
              <a:schemeClr val="accent2">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1EE7-4A41-AE90-B9712615D82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DTE_cost_per_minute_forecast!$B$21</c:f>
              <c:strCache>
                <c:ptCount val="1"/>
                <c:pt idx="0">
                  <c:v>Human Space Flight</c:v>
                </c:pt>
              </c:strCache>
            </c:strRef>
          </c:tx>
          <c:spPr>
            <a:solidFill>
              <a:schemeClr val="accent1"/>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9894-4741-90D0-8FE377FCD32E}"/>
            </c:ext>
          </c:extLst>
        </c:ser>
        <c:ser>
          <c:idx val="1"/>
          <c:order val="1"/>
          <c:tx>
            <c:strRef>
              <c:f>DTE_cost_per_minute_forecast!$B$22</c:f>
              <c:strCache>
                <c:ptCount val="1"/>
                <c:pt idx="0">
                  <c:v>Near Earth Robotic - LEO Science</c:v>
                </c:pt>
              </c:strCache>
            </c:strRef>
          </c:tx>
          <c:spPr>
            <a:solidFill>
              <a:schemeClr val="accent2"/>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894-4741-90D0-8FE377FCD32E}"/>
            </c:ext>
          </c:extLst>
        </c:ser>
        <c:ser>
          <c:idx val="2"/>
          <c:order val="2"/>
          <c:tx>
            <c:strRef>
              <c:f>DTE_cost_per_minute_forecast!$B$23</c:f>
              <c:strCache>
                <c:ptCount val="1"/>
                <c:pt idx="0">
                  <c:v>Near Earth Robotic - GEO and Near Earth</c:v>
                </c:pt>
              </c:strCache>
            </c:strRef>
          </c:tx>
          <c:spPr>
            <a:solidFill>
              <a:schemeClr val="accent3"/>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9894-4741-90D0-8FE377FCD32E}"/>
            </c:ext>
          </c:extLst>
        </c:ser>
        <c:ser>
          <c:idx val="3"/>
          <c:order val="3"/>
          <c:tx>
            <c:strRef>
              <c:f>DTE_cost_per_minute_forecast!$B$24</c:f>
              <c:strCache>
                <c:ptCount val="1"/>
                <c:pt idx="0">
                  <c:v>Deep Space Robotic</c:v>
                </c:pt>
              </c:strCache>
            </c:strRef>
          </c:tx>
          <c:spPr>
            <a:solidFill>
              <a:schemeClr val="accent4"/>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894-4741-90D0-8FE377FCD32E}"/>
            </c:ext>
          </c:extLst>
        </c:ser>
        <c:ser>
          <c:idx val="4"/>
          <c:order val="4"/>
          <c:tx>
            <c:strRef>
              <c:f>DTE_cost_per_minute_forecast!$B$25</c:f>
              <c:strCache>
                <c:ptCount val="1"/>
                <c:pt idx="0">
                  <c:v>Near Earth Robotic - Low Latency &amp; Complex Needs</c:v>
                </c:pt>
              </c:strCache>
            </c:strRef>
          </c:tx>
          <c:spPr>
            <a:solidFill>
              <a:schemeClr val="accent5"/>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894-4741-90D0-8FE377FCD32E}"/>
            </c:ext>
          </c:extLst>
        </c:ser>
        <c:ser>
          <c:idx val="5"/>
          <c:order val="5"/>
          <c:tx>
            <c:strRef>
              <c:f>DTE_cost_per_minute_forecast!$B$26</c:f>
              <c:strCache>
                <c:ptCount val="1"/>
                <c:pt idx="0">
                  <c:v>Mission Operations</c:v>
                </c:pt>
              </c:strCache>
            </c:strRef>
          </c:tx>
          <c:spPr>
            <a:solidFill>
              <a:schemeClr val="accent6"/>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894-4741-90D0-8FE377FCD32E}"/>
            </c:ext>
          </c:extLst>
        </c:ser>
        <c:ser>
          <c:idx val="6"/>
          <c:order val="6"/>
          <c:tx>
            <c:strRef>
              <c:f>DTE_cost_per_minute_forecast!$B$27</c:f>
              <c:strCache>
                <c:ptCount val="1"/>
                <c:pt idx="0">
                  <c:v>Launch Events</c:v>
                </c:pt>
              </c:strCache>
            </c:strRef>
          </c:tx>
          <c:spPr>
            <a:solidFill>
              <a:schemeClr val="accent1">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9894-4741-90D0-8FE377FCD32E}"/>
            </c:ext>
          </c:extLst>
        </c:ser>
        <c:ser>
          <c:idx val="7"/>
          <c:order val="7"/>
          <c:tx>
            <c:strRef>
              <c:f>DTE_cost_per_minute_forecast!$B$28</c:f>
              <c:strCache>
                <c:ptCount val="1"/>
                <c:pt idx="0">
                  <c:v>Terrestrial &amp; Aerial</c:v>
                </c:pt>
              </c:strCache>
            </c:strRef>
          </c:tx>
          <c:spPr>
            <a:solidFill>
              <a:schemeClr val="accent2">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9894-4741-90D0-8FE377FCD32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DTE_cost_per_minute_forecast!$B$39</c:f>
              <c:strCache>
                <c:ptCount val="1"/>
                <c:pt idx="0">
                  <c:v>Human Space Flight</c:v>
                </c:pt>
              </c:strCache>
            </c:strRef>
          </c:tx>
          <c:spPr>
            <a:solidFill>
              <a:schemeClr val="accent1"/>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691-4B38-B423-AF7EF95B44F0}"/>
            </c:ext>
          </c:extLst>
        </c:ser>
        <c:ser>
          <c:idx val="1"/>
          <c:order val="1"/>
          <c:tx>
            <c:strRef>
              <c:f>DTE_cost_per_minute_forecast!$B$40</c:f>
              <c:strCache>
                <c:ptCount val="1"/>
                <c:pt idx="0">
                  <c:v>Near Earth Robotic - LEO Science</c:v>
                </c:pt>
              </c:strCache>
            </c:strRef>
          </c:tx>
          <c:spPr>
            <a:solidFill>
              <a:schemeClr val="accent2"/>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691-4B38-B423-AF7EF95B44F0}"/>
            </c:ext>
          </c:extLst>
        </c:ser>
        <c:ser>
          <c:idx val="2"/>
          <c:order val="2"/>
          <c:tx>
            <c:strRef>
              <c:f>DTE_cost_per_minute_forecast!$B$41</c:f>
              <c:strCache>
                <c:ptCount val="1"/>
                <c:pt idx="0">
                  <c:v>Near Earth Robotic - GEO and Near Earth</c:v>
                </c:pt>
              </c:strCache>
            </c:strRef>
          </c:tx>
          <c:spPr>
            <a:solidFill>
              <a:schemeClr val="accent3"/>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691-4B38-B423-AF7EF95B44F0}"/>
            </c:ext>
          </c:extLst>
        </c:ser>
        <c:ser>
          <c:idx val="3"/>
          <c:order val="3"/>
          <c:tx>
            <c:strRef>
              <c:f>DTE_cost_per_minute_forecast!$B$42</c:f>
              <c:strCache>
                <c:ptCount val="1"/>
                <c:pt idx="0">
                  <c:v>Deep Space Robotic</c:v>
                </c:pt>
              </c:strCache>
            </c:strRef>
          </c:tx>
          <c:spPr>
            <a:solidFill>
              <a:schemeClr val="accent4"/>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691-4B38-B423-AF7EF95B44F0}"/>
            </c:ext>
          </c:extLst>
        </c:ser>
        <c:ser>
          <c:idx val="4"/>
          <c:order val="4"/>
          <c:tx>
            <c:strRef>
              <c:f>DTE_cost_per_minute_forecast!$B$43</c:f>
              <c:strCache>
                <c:ptCount val="1"/>
                <c:pt idx="0">
                  <c:v>Near Earth Robotic - Low Latency &amp; Complex Needs</c:v>
                </c:pt>
              </c:strCache>
            </c:strRef>
          </c:tx>
          <c:spPr>
            <a:solidFill>
              <a:schemeClr val="accent5"/>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691-4B38-B423-AF7EF95B44F0}"/>
            </c:ext>
          </c:extLst>
        </c:ser>
        <c:ser>
          <c:idx val="5"/>
          <c:order val="5"/>
          <c:tx>
            <c:strRef>
              <c:f>DTE_cost_per_minute_forecast!$B$44</c:f>
              <c:strCache>
                <c:ptCount val="1"/>
                <c:pt idx="0">
                  <c:v>Mission Operations</c:v>
                </c:pt>
              </c:strCache>
            </c:strRef>
          </c:tx>
          <c:spPr>
            <a:solidFill>
              <a:schemeClr val="accent6"/>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691-4B38-B423-AF7EF95B44F0}"/>
            </c:ext>
          </c:extLst>
        </c:ser>
        <c:ser>
          <c:idx val="6"/>
          <c:order val="6"/>
          <c:tx>
            <c:strRef>
              <c:f>DTE_cost_per_minute_forecast!$B$45</c:f>
              <c:strCache>
                <c:ptCount val="1"/>
                <c:pt idx="0">
                  <c:v>Launch Events</c:v>
                </c:pt>
              </c:strCache>
            </c:strRef>
          </c:tx>
          <c:spPr>
            <a:solidFill>
              <a:schemeClr val="accent1">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691-4B38-B423-AF7EF95B44F0}"/>
            </c:ext>
          </c:extLst>
        </c:ser>
        <c:ser>
          <c:idx val="7"/>
          <c:order val="7"/>
          <c:tx>
            <c:strRef>
              <c:f>DTE_cost_per_minute_forecast!$B$46</c:f>
              <c:strCache>
                <c:ptCount val="1"/>
                <c:pt idx="0">
                  <c:v>Terrestrial &amp; Aerial</c:v>
                </c:pt>
              </c:strCache>
            </c:strRef>
          </c:tx>
          <c:spPr>
            <a:solidFill>
              <a:schemeClr val="accent2">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D691-4B38-B423-AF7EF95B44F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c:f>
              <c:strCache>
                <c:ptCount val="1"/>
                <c:pt idx="0">
                  <c:v>Low Demand</c:v>
                </c:pt>
              </c:strCache>
            </c:strRef>
          </c:tx>
          <c:spPr>
            <a:ln w="28575" cap="rnd">
              <a:solidFill>
                <a:schemeClr val="accent1"/>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10E4-4EF7-BEFD-FF0018F4AA4A}"/>
            </c:ext>
          </c:extLst>
        </c:ser>
        <c:ser>
          <c:idx val="1"/>
          <c:order val="1"/>
          <c:tx>
            <c:strRef>
              <c:f>DTE_cost_per_minute_forecast!$B$19</c:f>
              <c:strCache>
                <c:ptCount val="1"/>
                <c:pt idx="0">
                  <c:v>Baseline Demand</c:v>
                </c:pt>
              </c:strCache>
            </c:strRef>
          </c:tx>
          <c:spPr>
            <a:ln w="28575" cap="rnd">
              <a:solidFill>
                <a:schemeClr val="accent2"/>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10E4-4EF7-BEFD-FF0018F4AA4A}"/>
            </c:ext>
          </c:extLst>
        </c:ser>
        <c:ser>
          <c:idx val="2"/>
          <c:order val="2"/>
          <c:tx>
            <c:strRef>
              <c:f>DTE_cost_per_minute_forecast!$B$37</c:f>
              <c:strCache>
                <c:ptCount val="1"/>
                <c:pt idx="0">
                  <c:v>High Demand</c:v>
                </c:pt>
              </c:strCache>
            </c:strRef>
          </c:tx>
          <c:spPr>
            <a:ln w="28575" cap="rnd">
              <a:solidFill>
                <a:schemeClr val="accent3"/>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0E4-4EF7-BEFD-FF0018F4AA4A}"/>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DTE_cost_per_minute_forecast!$B$59</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410-4D3F-BC28-D8AC640B2EE3}"/>
            </c:ext>
          </c:extLst>
        </c:ser>
        <c:ser>
          <c:idx val="1"/>
          <c:order val="1"/>
          <c:tx>
            <c:strRef>
              <c:f>DTE_cost_per_minute_forecast!$B$60</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410-4D3F-BC28-D8AC640B2EE3}"/>
            </c:ext>
          </c:extLst>
        </c:ser>
        <c:ser>
          <c:idx val="2"/>
          <c:order val="2"/>
          <c:tx>
            <c:strRef>
              <c:f>DTE_cost_per_minute_forecast!$B$61</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410-4D3F-BC28-D8AC640B2EE3}"/>
            </c:ext>
          </c:extLst>
        </c:ser>
        <c:ser>
          <c:idx val="3"/>
          <c:order val="3"/>
          <c:tx>
            <c:strRef>
              <c:f>DTE_cost_per_minute_forecast!$B$62</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410-4D3F-BC28-D8AC640B2EE3}"/>
            </c:ext>
          </c:extLst>
        </c:ser>
        <c:ser>
          <c:idx val="4"/>
          <c:order val="4"/>
          <c:tx>
            <c:strRef>
              <c:f>DTE_cost_per_minute_forecast!$B$63</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410-4D3F-BC28-D8AC640B2EE3}"/>
            </c:ext>
          </c:extLst>
        </c:ser>
        <c:ser>
          <c:idx val="5"/>
          <c:order val="5"/>
          <c:tx>
            <c:strRef>
              <c:f>DTE_cost_per_minute_forecast!$B$64</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410-4D3F-BC28-D8AC640B2EE3}"/>
            </c:ext>
          </c:extLst>
        </c:ser>
        <c:ser>
          <c:idx val="6"/>
          <c:order val="6"/>
          <c:tx>
            <c:strRef>
              <c:f>DTE_cost_per_minute_forecast!$B$65</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410-4D3F-BC28-D8AC640B2EE3}"/>
            </c:ext>
          </c:extLst>
        </c:ser>
        <c:ser>
          <c:idx val="7"/>
          <c:order val="7"/>
          <c:tx>
            <c:strRef>
              <c:f>DTE_cost_per_minute_forecast!$B$66</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410-4D3F-BC28-D8AC640B2EE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DTE_cost_per_minute_forecast!$B$77</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332-4512-971C-3617D4EA4A8F}"/>
            </c:ext>
          </c:extLst>
        </c:ser>
        <c:ser>
          <c:idx val="1"/>
          <c:order val="1"/>
          <c:tx>
            <c:strRef>
              <c:f>DTE_cost_per_minute_forecast!$B$78</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332-4512-971C-3617D4EA4A8F}"/>
            </c:ext>
          </c:extLst>
        </c:ser>
        <c:ser>
          <c:idx val="2"/>
          <c:order val="2"/>
          <c:tx>
            <c:strRef>
              <c:f>DTE_cost_per_minute_forecast!$B$79</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332-4512-971C-3617D4EA4A8F}"/>
            </c:ext>
          </c:extLst>
        </c:ser>
        <c:ser>
          <c:idx val="3"/>
          <c:order val="3"/>
          <c:tx>
            <c:strRef>
              <c:f>DTE_cost_per_minute_forecast!$B$80</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332-4512-971C-3617D4EA4A8F}"/>
            </c:ext>
          </c:extLst>
        </c:ser>
        <c:ser>
          <c:idx val="4"/>
          <c:order val="4"/>
          <c:tx>
            <c:strRef>
              <c:f>DTE_cost_per_minute_forecast!$B$81</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332-4512-971C-3617D4EA4A8F}"/>
            </c:ext>
          </c:extLst>
        </c:ser>
        <c:ser>
          <c:idx val="5"/>
          <c:order val="5"/>
          <c:tx>
            <c:strRef>
              <c:f>DTE_cost_per_minute_forecast!$B$82</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332-4512-971C-3617D4EA4A8F}"/>
            </c:ext>
          </c:extLst>
        </c:ser>
        <c:ser>
          <c:idx val="6"/>
          <c:order val="6"/>
          <c:tx>
            <c:strRef>
              <c:f>DTE_cost_per_minute_forecast!$B$83</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332-4512-971C-3617D4EA4A8F}"/>
            </c:ext>
          </c:extLst>
        </c:ser>
        <c:ser>
          <c:idx val="7"/>
          <c:order val="7"/>
          <c:tx>
            <c:strRef>
              <c:f>DTE_cost_per_minute_forecast!$B$84</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332-4512-971C-3617D4EA4A8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DTE_cost_per_minute_forecast!$B$95</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1A1-40C2-BE3D-97C5E4D433B9}"/>
            </c:ext>
          </c:extLst>
        </c:ser>
        <c:ser>
          <c:idx val="1"/>
          <c:order val="1"/>
          <c:tx>
            <c:strRef>
              <c:f>DTE_cost_per_minute_forecast!$B$96</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1A1-40C2-BE3D-97C5E4D433B9}"/>
            </c:ext>
          </c:extLst>
        </c:ser>
        <c:ser>
          <c:idx val="2"/>
          <c:order val="2"/>
          <c:tx>
            <c:strRef>
              <c:f>DTE_cost_per_minute_forecast!$B$97</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1A1-40C2-BE3D-97C5E4D433B9}"/>
            </c:ext>
          </c:extLst>
        </c:ser>
        <c:ser>
          <c:idx val="3"/>
          <c:order val="3"/>
          <c:tx>
            <c:strRef>
              <c:f>DTE_cost_per_minute_forecast!$B$98</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1A1-40C2-BE3D-97C5E4D433B9}"/>
            </c:ext>
          </c:extLst>
        </c:ser>
        <c:ser>
          <c:idx val="4"/>
          <c:order val="4"/>
          <c:tx>
            <c:strRef>
              <c:f>DTE_cost_per_minute_forecast!$B$99</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1A1-40C2-BE3D-97C5E4D433B9}"/>
            </c:ext>
          </c:extLst>
        </c:ser>
        <c:ser>
          <c:idx val="5"/>
          <c:order val="5"/>
          <c:tx>
            <c:strRef>
              <c:f>DTE_cost_per_minute_forecast!$B$100</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1A1-40C2-BE3D-97C5E4D433B9}"/>
            </c:ext>
          </c:extLst>
        </c:ser>
        <c:ser>
          <c:idx val="6"/>
          <c:order val="6"/>
          <c:tx>
            <c:strRef>
              <c:f>DTE_cost_per_minute_forecast!$B$101</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1A1-40C2-BE3D-97C5E4D433B9}"/>
            </c:ext>
          </c:extLst>
        </c:ser>
        <c:ser>
          <c:idx val="7"/>
          <c:order val="7"/>
          <c:tx>
            <c:strRef>
              <c:f>DTE_cost_per_minute_forecast!$B$102</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1A1-40C2-BE3D-97C5E4D433B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DTE_cost_per_minute_forecast!$B$57</c:f>
              <c:strCache>
                <c:ptCount val="1"/>
                <c:pt idx="0">
                  <c:v>Low Demand</c:v>
                </c:pt>
              </c:strCache>
            </c:strRef>
          </c:tx>
          <c:spPr>
            <a:ln w="28575" cap="rnd">
              <a:solidFill>
                <a:schemeClr val="accent1"/>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AEFA-43DD-933F-EB4822BEAAEA}"/>
            </c:ext>
          </c:extLst>
        </c:ser>
        <c:ser>
          <c:idx val="1"/>
          <c:order val="1"/>
          <c:tx>
            <c:strRef>
              <c:f>DTE_cost_per_minute_forecast!$B$75</c:f>
              <c:strCache>
                <c:ptCount val="1"/>
                <c:pt idx="0">
                  <c:v>Baseline Demand</c:v>
                </c:pt>
              </c:strCache>
            </c:strRef>
          </c:tx>
          <c:spPr>
            <a:ln w="28575" cap="rnd">
              <a:solidFill>
                <a:schemeClr val="accent2"/>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AEFA-43DD-933F-EB4822BEAAEA}"/>
            </c:ext>
          </c:extLst>
        </c:ser>
        <c:ser>
          <c:idx val="2"/>
          <c:order val="2"/>
          <c:tx>
            <c:strRef>
              <c:f>DTE_cost_per_minute_forecast!$B$93</c:f>
              <c:strCache>
                <c:ptCount val="1"/>
                <c:pt idx="0">
                  <c:v>High Demand</c:v>
                </c:pt>
              </c:strCache>
            </c:strRef>
          </c:tx>
          <c:spPr>
            <a:ln w="28575" cap="rnd">
              <a:solidFill>
                <a:schemeClr val="accent3"/>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AEFA-43DD-933F-EB4822BEAAEA}"/>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DTE_cost_per_minute_forecast!$B$115</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B15-476B-8048-F73F64A147AD}"/>
            </c:ext>
          </c:extLst>
        </c:ser>
        <c:ser>
          <c:idx val="1"/>
          <c:order val="1"/>
          <c:tx>
            <c:strRef>
              <c:f>DTE_cost_per_minute_forecast!$B$116</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B15-476B-8048-F73F64A147AD}"/>
            </c:ext>
          </c:extLst>
        </c:ser>
        <c:ser>
          <c:idx val="2"/>
          <c:order val="2"/>
          <c:tx>
            <c:strRef>
              <c:f>DTE_cost_per_minute_forecast!$B$117</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B15-476B-8048-F73F64A147AD}"/>
            </c:ext>
          </c:extLst>
        </c:ser>
        <c:ser>
          <c:idx val="3"/>
          <c:order val="3"/>
          <c:tx>
            <c:strRef>
              <c:f>DTE_cost_per_minute_forecast!$B$118</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B15-476B-8048-F73F64A147AD}"/>
            </c:ext>
          </c:extLst>
        </c:ser>
        <c:ser>
          <c:idx val="4"/>
          <c:order val="4"/>
          <c:tx>
            <c:strRef>
              <c:f>DTE_cost_per_minute_forecast!$B$119</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B15-476B-8048-F73F64A147AD}"/>
            </c:ext>
          </c:extLst>
        </c:ser>
        <c:ser>
          <c:idx val="5"/>
          <c:order val="5"/>
          <c:tx>
            <c:strRef>
              <c:f>DTE_cost_per_minute_forecast!$B$120</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B15-476B-8048-F73F64A147AD}"/>
            </c:ext>
          </c:extLst>
        </c:ser>
        <c:ser>
          <c:idx val="6"/>
          <c:order val="6"/>
          <c:tx>
            <c:strRef>
              <c:f>DTE_cost_per_minute_forecast!$B$121</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B15-476B-8048-F73F64A147AD}"/>
            </c:ext>
          </c:extLst>
        </c:ser>
        <c:ser>
          <c:idx val="7"/>
          <c:order val="7"/>
          <c:tx>
            <c:strRef>
              <c:f>DTE_cost_per_minute_forecast!$B$122</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B15-476B-8048-F73F64A147A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DTE_cost_per_minute_forecast!$B$133</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D-4828-842B-671635C6429C}"/>
            </c:ext>
          </c:extLst>
        </c:ser>
        <c:ser>
          <c:idx val="1"/>
          <c:order val="1"/>
          <c:tx>
            <c:strRef>
              <c:f>DTE_cost_per_minute_forecast!$B$134</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D-4828-842B-671635C6429C}"/>
            </c:ext>
          </c:extLst>
        </c:ser>
        <c:ser>
          <c:idx val="2"/>
          <c:order val="2"/>
          <c:tx>
            <c:strRef>
              <c:f>DTE_cost_per_minute_forecast!$B$135</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D-4828-842B-671635C6429C}"/>
            </c:ext>
          </c:extLst>
        </c:ser>
        <c:ser>
          <c:idx val="3"/>
          <c:order val="3"/>
          <c:tx>
            <c:strRef>
              <c:f>DTE_cost_per_minute_forecast!$B$136</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26D-4828-842B-671635C6429C}"/>
            </c:ext>
          </c:extLst>
        </c:ser>
        <c:ser>
          <c:idx val="4"/>
          <c:order val="4"/>
          <c:tx>
            <c:strRef>
              <c:f>DTE_cost_per_minute_forecast!$B$137</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26D-4828-842B-671635C6429C}"/>
            </c:ext>
          </c:extLst>
        </c:ser>
        <c:ser>
          <c:idx val="5"/>
          <c:order val="5"/>
          <c:tx>
            <c:strRef>
              <c:f>DTE_cost_per_minute_forecast!$B$138</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26D-4828-842B-671635C6429C}"/>
            </c:ext>
          </c:extLst>
        </c:ser>
        <c:ser>
          <c:idx val="6"/>
          <c:order val="6"/>
          <c:tx>
            <c:strRef>
              <c:f>DTE_cost_per_minute_forecast!$B$139</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26D-4828-842B-671635C6429C}"/>
            </c:ext>
          </c:extLst>
        </c:ser>
        <c:ser>
          <c:idx val="7"/>
          <c:order val="7"/>
          <c:tx>
            <c:strRef>
              <c:f>DTE_cost_per_minute_forecast!$B$140</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26D-4828-842B-671635C6429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DTE_cost_per_minute_forecast!$B$151</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ED4-4BD7-B885-4399B7DE745E}"/>
            </c:ext>
          </c:extLst>
        </c:ser>
        <c:ser>
          <c:idx val="1"/>
          <c:order val="1"/>
          <c:tx>
            <c:strRef>
              <c:f>DTE_cost_per_minute_forecast!$B$152</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D4-4BD7-B885-4399B7DE745E}"/>
            </c:ext>
          </c:extLst>
        </c:ser>
        <c:ser>
          <c:idx val="2"/>
          <c:order val="2"/>
          <c:tx>
            <c:strRef>
              <c:f>DTE_cost_per_minute_forecast!$B$153</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ED4-4BD7-B885-4399B7DE745E}"/>
            </c:ext>
          </c:extLst>
        </c:ser>
        <c:ser>
          <c:idx val="3"/>
          <c:order val="3"/>
          <c:tx>
            <c:strRef>
              <c:f>DTE_cost_per_minute_forecast!$B$154</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ED4-4BD7-B885-4399B7DE745E}"/>
            </c:ext>
          </c:extLst>
        </c:ser>
        <c:ser>
          <c:idx val="4"/>
          <c:order val="4"/>
          <c:tx>
            <c:strRef>
              <c:f>DTE_cost_per_minute_forecast!$B$155</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ED4-4BD7-B885-4399B7DE745E}"/>
            </c:ext>
          </c:extLst>
        </c:ser>
        <c:ser>
          <c:idx val="5"/>
          <c:order val="5"/>
          <c:tx>
            <c:strRef>
              <c:f>DTE_cost_per_minute_forecast!$B$156</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ED4-4BD7-B885-4399B7DE745E}"/>
            </c:ext>
          </c:extLst>
        </c:ser>
        <c:ser>
          <c:idx val="6"/>
          <c:order val="6"/>
          <c:tx>
            <c:strRef>
              <c:f>DTE_cost_per_minute_forecast!$B$157</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ED4-4BD7-B885-4399B7DE745E}"/>
            </c:ext>
          </c:extLst>
        </c:ser>
        <c:ser>
          <c:idx val="7"/>
          <c:order val="7"/>
          <c:tx>
            <c:strRef>
              <c:f>DTE_cost_per_minute_forecast!$B$158</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ED4-4BD7-B885-4399B7DE745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DTE_cost_per_minute_forecast!$B$171</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D27-4EAF-94B0-6B9725C1B277}"/>
            </c:ext>
          </c:extLst>
        </c:ser>
        <c:ser>
          <c:idx val="1"/>
          <c:order val="1"/>
          <c:tx>
            <c:strRef>
              <c:f>DTE_cost_per_minute_forecast!$B$172</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D27-4EAF-94B0-6B9725C1B277}"/>
            </c:ext>
          </c:extLst>
        </c:ser>
        <c:ser>
          <c:idx val="2"/>
          <c:order val="2"/>
          <c:tx>
            <c:strRef>
              <c:f>DTE_cost_per_minute_forecast!$B$173</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D27-4EAF-94B0-6B9725C1B277}"/>
            </c:ext>
          </c:extLst>
        </c:ser>
        <c:ser>
          <c:idx val="3"/>
          <c:order val="3"/>
          <c:tx>
            <c:strRef>
              <c:f>DTE_cost_per_minute_forecast!$B$174</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D27-4EAF-94B0-6B9725C1B277}"/>
            </c:ext>
          </c:extLst>
        </c:ser>
        <c:ser>
          <c:idx val="4"/>
          <c:order val="4"/>
          <c:tx>
            <c:strRef>
              <c:f>DTE_cost_per_minute_forecast!$B$175</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D27-4EAF-94B0-6B9725C1B277}"/>
            </c:ext>
          </c:extLst>
        </c:ser>
        <c:ser>
          <c:idx val="5"/>
          <c:order val="5"/>
          <c:tx>
            <c:strRef>
              <c:f>DTE_cost_per_minute_forecast!$B$176</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D27-4EAF-94B0-6B9725C1B277}"/>
            </c:ext>
          </c:extLst>
        </c:ser>
        <c:ser>
          <c:idx val="6"/>
          <c:order val="6"/>
          <c:tx>
            <c:strRef>
              <c:f>DTE_cost_per_minute_forecast!$B$177</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D27-4EAF-94B0-6B9725C1B277}"/>
            </c:ext>
          </c:extLst>
        </c:ser>
        <c:ser>
          <c:idx val="7"/>
          <c:order val="7"/>
          <c:tx>
            <c:strRef>
              <c:f>DTE_cost_per_minute_forecast!$B$178</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D27-4EAF-94B0-6B9725C1B27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DTE_cost_per_minute_forecast!$B$189</c:f>
              <c:strCache>
                <c:ptCount val="1"/>
                <c:pt idx="0">
                  <c:v>Human Space Flight</c:v>
                </c:pt>
              </c:strCache>
            </c:strRef>
          </c:tx>
          <c:spPr>
            <a:solidFill>
              <a:schemeClr val="accent1"/>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979-45A9-B241-6CA184891EB5}"/>
            </c:ext>
          </c:extLst>
        </c:ser>
        <c:ser>
          <c:idx val="1"/>
          <c:order val="1"/>
          <c:tx>
            <c:strRef>
              <c:f>DTE_cost_per_minute_forecast!$B$190</c:f>
              <c:strCache>
                <c:ptCount val="1"/>
                <c:pt idx="0">
                  <c:v>Near Earth Robotic - LEO Science</c:v>
                </c:pt>
              </c:strCache>
            </c:strRef>
          </c:tx>
          <c:spPr>
            <a:solidFill>
              <a:schemeClr val="accent2"/>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979-45A9-B241-6CA184891EB5}"/>
            </c:ext>
          </c:extLst>
        </c:ser>
        <c:ser>
          <c:idx val="2"/>
          <c:order val="2"/>
          <c:tx>
            <c:strRef>
              <c:f>DTE_cost_per_minute_forecast!$B$191</c:f>
              <c:strCache>
                <c:ptCount val="1"/>
                <c:pt idx="0">
                  <c:v>Near Earth Robotic - GEO and Near Earth</c:v>
                </c:pt>
              </c:strCache>
            </c:strRef>
          </c:tx>
          <c:spPr>
            <a:solidFill>
              <a:schemeClr val="accent3"/>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979-45A9-B241-6CA184891EB5}"/>
            </c:ext>
          </c:extLst>
        </c:ser>
        <c:ser>
          <c:idx val="3"/>
          <c:order val="3"/>
          <c:tx>
            <c:strRef>
              <c:f>DTE_cost_per_minute_forecast!$B$192</c:f>
              <c:strCache>
                <c:ptCount val="1"/>
                <c:pt idx="0">
                  <c:v>Deep Space Robotic</c:v>
                </c:pt>
              </c:strCache>
            </c:strRef>
          </c:tx>
          <c:spPr>
            <a:solidFill>
              <a:schemeClr val="accent4"/>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979-45A9-B241-6CA184891EB5}"/>
            </c:ext>
          </c:extLst>
        </c:ser>
        <c:ser>
          <c:idx val="4"/>
          <c:order val="4"/>
          <c:tx>
            <c:strRef>
              <c:f>DTE_cost_per_minute_forecast!$B$193</c:f>
              <c:strCache>
                <c:ptCount val="1"/>
                <c:pt idx="0">
                  <c:v>Near Earth Robotic - Low Latency &amp; Complex Needs</c:v>
                </c:pt>
              </c:strCache>
            </c:strRef>
          </c:tx>
          <c:spPr>
            <a:solidFill>
              <a:schemeClr val="accent5"/>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979-45A9-B241-6CA184891EB5}"/>
            </c:ext>
          </c:extLst>
        </c:ser>
        <c:ser>
          <c:idx val="5"/>
          <c:order val="5"/>
          <c:tx>
            <c:strRef>
              <c:f>DTE_cost_per_minute_forecast!$B$194</c:f>
              <c:strCache>
                <c:ptCount val="1"/>
                <c:pt idx="0">
                  <c:v>Mission Operations</c:v>
                </c:pt>
              </c:strCache>
            </c:strRef>
          </c:tx>
          <c:spPr>
            <a:solidFill>
              <a:schemeClr val="accent6"/>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979-45A9-B241-6CA184891EB5}"/>
            </c:ext>
          </c:extLst>
        </c:ser>
        <c:ser>
          <c:idx val="6"/>
          <c:order val="6"/>
          <c:tx>
            <c:strRef>
              <c:f>DTE_cost_per_minute_forecast!$B$195</c:f>
              <c:strCache>
                <c:ptCount val="1"/>
                <c:pt idx="0">
                  <c:v>Launch Events</c:v>
                </c:pt>
              </c:strCache>
            </c:strRef>
          </c:tx>
          <c:spPr>
            <a:solidFill>
              <a:schemeClr val="accent1">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979-45A9-B241-6CA184891EB5}"/>
            </c:ext>
          </c:extLst>
        </c:ser>
        <c:ser>
          <c:idx val="7"/>
          <c:order val="7"/>
          <c:tx>
            <c:strRef>
              <c:f>DTE_cost_per_minute_forecast!$B$196</c:f>
              <c:strCache>
                <c:ptCount val="1"/>
                <c:pt idx="0">
                  <c:v>Terrestrial &amp; Aerial</c:v>
                </c:pt>
              </c:strCache>
            </c:strRef>
          </c:tx>
          <c:spPr>
            <a:solidFill>
              <a:schemeClr val="accent2">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979-45A9-B241-6CA184891EB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DTE_cost_per_minute_forecast!$B$207</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9F6A-4411-A2B3-E88275D2E832}"/>
            </c:ext>
          </c:extLst>
        </c:ser>
        <c:ser>
          <c:idx val="1"/>
          <c:order val="1"/>
          <c:tx>
            <c:strRef>
              <c:f>DTE_cost_per_minute_forecast!$B$208</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F6A-4411-A2B3-E88275D2E832}"/>
            </c:ext>
          </c:extLst>
        </c:ser>
        <c:ser>
          <c:idx val="2"/>
          <c:order val="2"/>
          <c:tx>
            <c:strRef>
              <c:f>DTE_cost_per_minute_forecast!$B$209</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9F6A-4411-A2B3-E88275D2E832}"/>
            </c:ext>
          </c:extLst>
        </c:ser>
        <c:ser>
          <c:idx val="3"/>
          <c:order val="3"/>
          <c:tx>
            <c:strRef>
              <c:f>DTE_cost_per_minute_forecast!$B$210</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F6A-4411-A2B3-E88275D2E832}"/>
            </c:ext>
          </c:extLst>
        </c:ser>
        <c:ser>
          <c:idx val="4"/>
          <c:order val="4"/>
          <c:tx>
            <c:strRef>
              <c:f>DTE_cost_per_minute_forecast!$B$211</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F6A-4411-A2B3-E88275D2E832}"/>
            </c:ext>
          </c:extLst>
        </c:ser>
        <c:ser>
          <c:idx val="5"/>
          <c:order val="5"/>
          <c:tx>
            <c:strRef>
              <c:f>DTE_cost_per_minute_forecast!$B$212</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F6A-4411-A2B3-E88275D2E832}"/>
            </c:ext>
          </c:extLst>
        </c:ser>
        <c:ser>
          <c:idx val="6"/>
          <c:order val="6"/>
          <c:tx>
            <c:strRef>
              <c:f>DTE_cost_per_minute_forecast!$B$213</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9F6A-4411-A2B3-E88275D2E832}"/>
            </c:ext>
          </c:extLst>
        </c:ser>
        <c:ser>
          <c:idx val="7"/>
          <c:order val="7"/>
          <c:tx>
            <c:strRef>
              <c:f>DTE_cost_per_minute_forecast!$B$214</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9F6A-4411-A2B3-E88275D2E83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DTE_cost_per_minute_forecast!$B$113</c:f>
              <c:strCache>
                <c:ptCount val="1"/>
                <c:pt idx="0">
                  <c:v>Low Demand</c:v>
                </c:pt>
              </c:strCache>
            </c:strRef>
          </c:tx>
          <c:spPr>
            <a:ln w="28575" cap="rnd">
              <a:solidFill>
                <a:schemeClr val="accent1"/>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C08A-421E-B9E7-A8AFCFBF60EC}"/>
            </c:ext>
          </c:extLst>
        </c:ser>
        <c:ser>
          <c:idx val="1"/>
          <c:order val="1"/>
          <c:tx>
            <c:strRef>
              <c:f>DTE_cost_per_minute_forecast!$B$131</c:f>
              <c:strCache>
                <c:ptCount val="1"/>
                <c:pt idx="0">
                  <c:v>Baseline Demand</c:v>
                </c:pt>
              </c:strCache>
            </c:strRef>
          </c:tx>
          <c:spPr>
            <a:ln w="28575" cap="rnd">
              <a:solidFill>
                <a:schemeClr val="accent2"/>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C08A-421E-B9E7-A8AFCFBF60EC}"/>
            </c:ext>
          </c:extLst>
        </c:ser>
        <c:ser>
          <c:idx val="2"/>
          <c:order val="2"/>
          <c:tx>
            <c:strRef>
              <c:f>DTE_cost_per_minute_forecast!$B$149</c:f>
              <c:strCache>
                <c:ptCount val="1"/>
                <c:pt idx="0">
                  <c:v>High Demand</c:v>
                </c:pt>
              </c:strCache>
            </c:strRef>
          </c:tx>
          <c:spPr>
            <a:ln w="28575" cap="rnd">
              <a:solidFill>
                <a:schemeClr val="accent3"/>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C08A-421E-B9E7-A8AFCFBF60E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DTE_cost_per_minute_forecast!$B$169</c:f>
              <c:strCache>
                <c:ptCount val="1"/>
                <c:pt idx="0">
                  <c:v>Low Demand</c:v>
                </c:pt>
              </c:strCache>
            </c:strRef>
          </c:tx>
          <c:spPr>
            <a:ln w="28575" cap="rnd">
              <a:solidFill>
                <a:schemeClr val="accent1"/>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3003-48D8-B15A-AAE03D5BBAB1}"/>
            </c:ext>
          </c:extLst>
        </c:ser>
        <c:ser>
          <c:idx val="1"/>
          <c:order val="1"/>
          <c:tx>
            <c:strRef>
              <c:f>DTE_cost_per_minute_forecast!$B$187</c:f>
              <c:strCache>
                <c:ptCount val="1"/>
                <c:pt idx="0">
                  <c:v>Baseline Demand</c:v>
                </c:pt>
              </c:strCache>
            </c:strRef>
          </c:tx>
          <c:spPr>
            <a:ln w="28575" cap="rnd">
              <a:solidFill>
                <a:schemeClr val="accent2"/>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3003-48D8-B15A-AAE03D5BBAB1}"/>
            </c:ext>
          </c:extLst>
        </c:ser>
        <c:ser>
          <c:idx val="2"/>
          <c:order val="2"/>
          <c:tx>
            <c:strRef>
              <c:f>DTE_cost_per_minute_forecast!$B$205</c:f>
              <c:strCache>
                <c:ptCount val="1"/>
                <c:pt idx="0">
                  <c:v>High Demand</c:v>
                </c:pt>
              </c:strCache>
            </c:strRef>
          </c:tx>
          <c:spPr>
            <a:ln w="28575" cap="rnd">
              <a:solidFill>
                <a:schemeClr val="accent3"/>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3003-48D8-B15A-AAE03D5BBAB1}"/>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SR_cost_per_minute_forecast!$B$3</c:f>
              <c:strCache>
                <c:ptCount val="1"/>
                <c:pt idx="0">
                  <c:v>Human Space Flight</c:v>
                </c:pt>
              </c:strCache>
            </c:strRef>
          </c:tx>
          <c:spPr>
            <a:solidFill>
              <a:schemeClr val="accent1"/>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8C3-4F50-B8CC-92997E12B376}"/>
            </c:ext>
          </c:extLst>
        </c:ser>
        <c:ser>
          <c:idx val="1"/>
          <c:order val="1"/>
          <c:tx>
            <c:strRef>
              <c:f>SR_cost_per_minute_forecast!$B$4</c:f>
              <c:strCache>
                <c:ptCount val="1"/>
                <c:pt idx="0">
                  <c:v>Near Earth Robotic - LEO Science</c:v>
                </c:pt>
              </c:strCache>
            </c:strRef>
          </c:tx>
          <c:spPr>
            <a:solidFill>
              <a:schemeClr val="accent2"/>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8C3-4F50-B8CC-92997E12B376}"/>
            </c:ext>
          </c:extLst>
        </c:ser>
        <c:ser>
          <c:idx val="2"/>
          <c:order val="2"/>
          <c:tx>
            <c:strRef>
              <c:f>SR_cost_per_minute_forecast!$B$5</c:f>
              <c:strCache>
                <c:ptCount val="1"/>
                <c:pt idx="0">
                  <c:v>Near Earth Robotic - GEO and Near Earth</c:v>
                </c:pt>
              </c:strCache>
            </c:strRef>
          </c:tx>
          <c:spPr>
            <a:solidFill>
              <a:schemeClr val="accent3"/>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8C3-4F50-B8CC-92997E12B376}"/>
            </c:ext>
          </c:extLst>
        </c:ser>
        <c:ser>
          <c:idx val="3"/>
          <c:order val="3"/>
          <c:tx>
            <c:strRef>
              <c:f>SR_cost_per_minute_forecast!$B$6</c:f>
              <c:strCache>
                <c:ptCount val="1"/>
                <c:pt idx="0">
                  <c:v>Deep Space Robotic</c:v>
                </c:pt>
              </c:strCache>
            </c:strRef>
          </c:tx>
          <c:spPr>
            <a:solidFill>
              <a:schemeClr val="accent4"/>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8C3-4F50-B8CC-92997E12B376}"/>
            </c:ext>
          </c:extLst>
        </c:ser>
        <c:ser>
          <c:idx val="4"/>
          <c:order val="4"/>
          <c:tx>
            <c:strRef>
              <c:f>SR_cost_per_minute_forecast!$B$7</c:f>
              <c:strCache>
                <c:ptCount val="1"/>
                <c:pt idx="0">
                  <c:v>Near Earth Robotic - Low Latency &amp; Complex Needs</c:v>
                </c:pt>
              </c:strCache>
            </c:strRef>
          </c:tx>
          <c:spPr>
            <a:solidFill>
              <a:schemeClr val="accent5"/>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8C3-4F50-B8CC-92997E12B376}"/>
            </c:ext>
          </c:extLst>
        </c:ser>
        <c:ser>
          <c:idx val="5"/>
          <c:order val="5"/>
          <c:tx>
            <c:strRef>
              <c:f>SR_cost_per_minute_forecast!$B$8</c:f>
              <c:strCache>
                <c:ptCount val="1"/>
                <c:pt idx="0">
                  <c:v>Mission Operations</c:v>
                </c:pt>
              </c:strCache>
            </c:strRef>
          </c:tx>
          <c:spPr>
            <a:solidFill>
              <a:schemeClr val="accent6"/>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8C3-4F50-B8CC-92997E12B376}"/>
            </c:ext>
          </c:extLst>
        </c:ser>
        <c:ser>
          <c:idx val="6"/>
          <c:order val="6"/>
          <c:tx>
            <c:strRef>
              <c:f>SR_cost_per_minute_forecast!$B$9</c:f>
              <c:strCache>
                <c:ptCount val="1"/>
                <c:pt idx="0">
                  <c:v>Launch Events</c:v>
                </c:pt>
              </c:strCache>
            </c:strRef>
          </c:tx>
          <c:spPr>
            <a:solidFill>
              <a:schemeClr val="accent1">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8C3-4F50-B8CC-92997E12B376}"/>
            </c:ext>
          </c:extLst>
        </c:ser>
        <c:ser>
          <c:idx val="7"/>
          <c:order val="7"/>
          <c:tx>
            <c:strRef>
              <c:f>SR_cost_per_minute_forecast!$B$10</c:f>
              <c:strCache>
                <c:ptCount val="1"/>
                <c:pt idx="0">
                  <c:v>Terrestrial &amp; Aerial</c:v>
                </c:pt>
              </c:strCache>
            </c:strRef>
          </c:tx>
          <c:spPr>
            <a:solidFill>
              <a:schemeClr val="accent2">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8C3-4F50-B8CC-92997E12B37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SR_cost_per_minute_forecast!$B$21</c:f>
              <c:strCache>
                <c:ptCount val="1"/>
                <c:pt idx="0">
                  <c:v>Human Space Flight</c:v>
                </c:pt>
              </c:strCache>
            </c:strRef>
          </c:tx>
          <c:spPr>
            <a:solidFill>
              <a:schemeClr val="accent1"/>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BAE-4B04-917F-DD73A18CD201}"/>
            </c:ext>
          </c:extLst>
        </c:ser>
        <c:ser>
          <c:idx val="1"/>
          <c:order val="1"/>
          <c:tx>
            <c:strRef>
              <c:f>SR_cost_per_minute_forecast!$B$22</c:f>
              <c:strCache>
                <c:ptCount val="1"/>
                <c:pt idx="0">
                  <c:v>Near Earth Robotic - LEO Science</c:v>
                </c:pt>
              </c:strCache>
            </c:strRef>
          </c:tx>
          <c:spPr>
            <a:solidFill>
              <a:schemeClr val="accent2"/>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BAE-4B04-917F-DD73A18CD201}"/>
            </c:ext>
          </c:extLst>
        </c:ser>
        <c:ser>
          <c:idx val="2"/>
          <c:order val="2"/>
          <c:tx>
            <c:strRef>
              <c:f>SR_cost_per_minute_forecast!$B$23</c:f>
              <c:strCache>
                <c:ptCount val="1"/>
                <c:pt idx="0">
                  <c:v>Near Earth Robotic - GEO and Near Earth</c:v>
                </c:pt>
              </c:strCache>
            </c:strRef>
          </c:tx>
          <c:spPr>
            <a:solidFill>
              <a:schemeClr val="accent3"/>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BAE-4B04-917F-DD73A18CD201}"/>
            </c:ext>
          </c:extLst>
        </c:ser>
        <c:ser>
          <c:idx val="3"/>
          <c:order val="3"/>
          <c:tx>
            <c:strRef>
              <c:f>SR_cost_per_minute_forecast!$B$24</c:f>
              <c:strCache>
                <c:ptCount val="1"/>
                <c:pt idx="0">
                  <c:v>Deep Space Robotic</c:v>
                </c:pt>
              </c:strCache>
            </c:strRef>
          </c:tx>
          <c:spPr>
            <a:solidFill>
              <a:schemeClr val="accent4"/>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BAE-4B04-917F-DD73A18CD201}"/>
            </c:ext>
          </c:extLst>
        </c:ser>
        <c:ser>
          <c:idx val="4"/>
          <c:order val="4"/>
          <c:tx>
            <c:strRef>
              <c:f>SR_cost_per_minute_forecast!$B$25</c:f>
              <c:strCache>
                <c:ptCount val="1"/>
                <c:pt idx="0">
                  <c:v>Near Earth Robotic - Low Latency &amp; Complex Needs</c:v>
                </c:pt>
              </c:strCache>
            </c:strRef>
          </c:tx>
          <c:spPr>
            <a:solidFill>
              <a:schemeClr val="accent5"/>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BAE-4B04-917F-DD73A18CD201}"/>
            </c:ext>
          </c:extLst>
        </c:ser>
        <c:ser>
          <c:idx val="5"/>
          <c:order val="5"/>
          <c:tx>
            <c:strRef>
              <c:f>SR_cost_per_minute_forecast!$B$26</c:f>
              <c:strCache>
                <c:ptCount val="1"/>
                <c:pt idx="0">
                  <c:v>Mission Operations</c:v>
                </c:pt>
              </c:strCache>
            </c:strRef>
          </c:tx>
          <c:spPr>
            <a:solidFill>
              <a:schemeClr val="accent6"/>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BAE-4B04-917F-DD73A18CD201}"/>
            </c:ext>
          </c:extLst>
        </c:ser>
        <c:ser>
          <c:idx val="6"/>
          <c:order val="6"/>
          <c:tx>
            <c:strRef>
              <c:f>SR_cost_per_minute_forecast!$B$27</c:f>
              <c:strCache>
                <c:ptCount val="1"/>
                <c:pt idx="0">
                  <c:v>Launch Events</c:v>
                </c:pt>
              </c:strCache>
            </c:strRef>
          </c:tx>
          <c:spPr>
            <a:solidFill>
              <a:schemeClr val="accent1">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BAE-4B04-917F-DD73A18CD201}"/>
            </c:ext>
          </c:extLst>
        </c:ser>
        <c:ser>
          <c:idx val="7"/>
          <c:order val="7"/>
          <c:tx>
            <c:strRef>
              <c:f>SR_cost_per_minute_forecast!$B$28</c:f>
              <c:strCache>
                <c:ptCount val="1"/>
                <c:pt idx="0">
                  <c:v>Terrestrial &amp; Aerial</c:v>
                </c:pt>
              </c:strCache>
            </c:strRef>
          </c:tx>
          <c:spPr>
            <a:solidFill>
              <a:schemeClr val="accent2">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BAE-4B04-917F-DD73A18CD20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SR_cost_per_minute_forecast!$B$39</c:f>
              <c:strCache>
                <c:ptCount val="1"/>
                <c:pt idx="0">
                  <c:v>Human Space Flight</c:v>
                </c:pt>
              </c:strCache>
            </c:strRef>
          </c:tx>
          <c:spPr>
            <a:solidFill>
              <a:schemeClr val="accent1"/>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6C2A-4F49-93A4-E3C6163E61EF}"/>
            </c:ext>
          </c:extLst>
        </c:ser>
        <c:ser>
          <c:idx val="1"/>
          <c:order val="1"/>
          <c:tx>
            <c:strRef>
              <c:f>SR_cost_per_minute_forecast!$B$40</c:f>
              <c:strCache>
                <c:ptCount val="1"/>
                <c:pt idx="0">
                  <c:v>Near Earth Robotic - LEO Science</c:v>
                </c:pt>
              </c:strCache>
            </c:strRef>
          </c:tx>
          <c:spPr>
            <a:solidFill>
              <a:schemeClr val="accent2"/>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C2A-4F49-93A4-E3C6163E61EF}"/>
            </c:ext>
          </c:extLst>
        </c:ser>
        <c:ser>
          <c:idx val="2"/>
          <c:order val="2"/>
          <c:tx>
            <c:strRef>
              <c:f>SR_cost_per_minute_forecast!$B$41</c:f>
              <c:strCache>
                <c:ptCount val="1"/>
                <c:pt idx="0">
                  <c:v>Near Earth Robotic - GEO and Near Earth</c:v>
                </c:pt>
              </c:strCache>
            </c:strRef>
          </c:tx>
          <c:spPr>
            <a:solidFill>
              <a:schemeClr val="accent3"/>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6C2A-4F49-93A4-E3C6163E61EF}"/>
            </c:ext>
          </c:extLst>
        </c:ser>
        <c:ser>
          <c:idx val="3"/>
          <c:order val="3"/>
          <c:tx>
            <c:strRef>
              <c:f>SR_cost_per_minute_forecast!$B$42</c:f>
              <c:strCache>
                <c:ptCount val="1"/>
                <c:pt idx="0">
                  <c:v>Deep Space Robotic</c:v>
                </c:pt>
              </c:strCache>
            </c:strRef>
          </c:tx>
          <c:spPr>
            <a:solidFill>
              <a:schemeClr val="accent4"/>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2A-4F49-93A4-E3C6163E61EF}"/>
            </c:ext>
          </c:extLst>
        </c:ser>
        <c:ser>
          <c:idx val="4"/>
          <c:order val="4"/>
          <c:tx>
            <c:strRef>
              <c:f>SR_cost_per_minute_forecast!$B$43</c:f>
              <c:strCache>
                <c:ptCount val="1"/>
                <c:pt idx="0">
                  <c:v>Near Earth Robotic - Low Latency &amp; Complex Needs</c:v>
                </c:pt>
              </c:strCache>
            </c:strRef>
          </c:tx>
          <c:spPr>
            <a:solidFill>
              <a:schemeClr val="accent5"/>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6C2A-4F49-93A4-E3C6163E61EF}"/>
            </c:ext>
          </c:extLst>
        </c:ser>
        <c:ser>
          <c:idx val="5"/>
          <c:order val="5"/>
          <c:tx>
            <c:strRef>
              <c:f>SR_cost_per_minute_forecast!$B$44</c:f>
              <c:strCache>
                <c:ptCount val="1"/>
                <c:pt idx="0">
                  <c:v>Mission Operations</c:v>
                </c:pt>
              </c:strCache>
            </c:strRef>
          </c:tx>
          <c:spPr>
            <a:solidFill>
              <a:schemeClr val="accent6"/>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2A-4F49-93A4-E3C6163E61EF}"/>
            </c:ext>
          </c:extLst>
        </c:ser>
        <c:ser>
          <c:idx val="6"/>
          <c:order val="6"/>
          <c:tx>
            <c:strRef>
              <c:f>SR_cost_per_minute_forecast!$B$45</c:f>
              <c:strCache>
                <c:ptCount val="1"/>
                <c:pt idx="0">
                  <c:v>Launch Events</c:v>
                </c:pt>
              </c:strCache>
            </c:strRef>
          </c:tx>
          <c:spPr>
            <a:solidFill>
              <a:schemeClr val="accent1">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6C2A-4F49-93A4-E3C6163E61EF}"/>
            </c:ext>
          </c:extLst>
        </c:ser>
        <c:ser>
          <c:idx val="7"/>
          <c:order val="7"/>
          <c:tx>
            <c:strRef>
              <c:f>SR_cost_per_minute_forecast!$B$46</c:f>
              <c:strCache>
                <c:ptCount val="1"/>
                <c:pt idx="0">
                  <c:v>Terrestrial &amp; Aerial</c:v>
                </c:pt>
              </c:strCache>
            </c:strRef>
          </c:tx>
          <c:spPr>
            <a:solidFill>
              <a:schemeClr val="accent2">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6C2A-4F49-93A4-E3C6163E61E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c:f>
              <c:strCache>
                <c:ptCount val="1"/>
                <c:pt idx="0">
                  <c:v>Low Demand</c:v>
                </c:pt>
              </c:strCache>
            </c:strRef>
          </c:tx>
          <c:spPr>
            <a:ln w="28575" cap="rnd">
              <a:solidFill>
                <a:schemeClr val="accent1"/>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8117-474D-A065-693ADF4CC646}"/>
            </c:ext>
          </c:extLst>
        </c:ser>
        <c:ser>
          <c:idx val="1"/>
          <c:order val="1"/>
          <c:tx>
            <c:strRef>
              <c:f>SR_cost_per_minute_forecast!$B$19</c:f>
              <c:strCache>
                <c:ptCount val="1"/>
                <c:pt idx="0">
                  <c:v>Baseline Demand</c:v>
                </c:pt>
              </c:strCache>
            </c:strRef>
          </c:tx>
          <c:spPr>
            <a:ln w="28575" cap="rnd">
              <a:solidFill>
                <a:schemeClr val="accent2"/>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8117-474D-A065-693ADF4CC646}"/>
            </c:ext>
          </c:extLst>
        </c:ser>
        <c:ser>
          <c:idx val="2"/>
          <c:order val="2"/>
          <c:tx>
            <c:strRef>
              <c:f>SR_cost_per_minute_forecast!$B$37</c:f>
              <c:strCache>
                <c:ptCount val="1"/>
                <c:pt idx="0">
                  <c:v>High Demand</c:v>
                </c:pt>
              </c:strCache>
            </c:strRef>
          </c:tx>
          <c:spPr>
            <a:ln w="28575" cap="rnd">
              <a:solidFill>
                <a:schemeClr val="accent3"/>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8117-474D-A065-693ADF4CC646}"/>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SR_cost_per_minute_forecast!$B$59</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C10-4F8C-AA9E-4565C9E5ECEE}"/>
            </c:ext>
          </c:extLst>
        </c:ser>
        <c:ser>
          <c:idx val="1"/>
          <c:order val="1"/>
          <c:tx>
            <c:strRef>
              <c:f>SR_cost_per_minute_forecast!$B$60</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C10-4F8C-AA9E-4565C9E5ECEE}"/>
            </c:ext>
          </c:extLst>
        </c:ser>
        <c:ser>
          <c:idx val="2"/>
          <c:order val="2"/>
          <c:tx>
            <c:strRef>
              <c:f>SR_cost_per_minute_forecast!$B$61</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C10-4F8C-AA9E-4565C9E5ECEE}"/>
            </c:ext>
          </c:extLst>
        </c:ser>
        <c:ser>
          <c:idx val="3"/>
          <c:order val="3"/>
          <c:tx>
            <c:strRef>
              <c:f>SR_cost_per_minute_forecast!$B$62</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C10-4F8C-AA9E-4565C9E5ECEE}"/>
            </c:ext>
          </c:extLst>
        </c:ser>
        <c:ser>
          <c:idx val="4"/>
          <c:order val="4"/>
          <c:tx>
            <c:strRef>
              <c:f>SR_cost_per_minute_forecast!$B$63</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C10-4F8C-AA9E-4565C9E5ECEE}"/>
            </c:ext>
          </c:extLst>
        </c:ser>
        <c:ser>
          <c:idx val="5"/>
          <c:order val="5"/>
          <c:tx>
            <c:strRef>
              <c:f>SR_cost_per_minute_forecast!$B$64</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C10-4F8C-AA9E-4565C9E5ECEE}"/>
            </c:ext>
          </c:extLst>
        </c:ser>
        <c:ser>
          <c:idx val="6"/>
          <c:order val="6"/>
          <c:tx>
            <c:strRef>
              <c:f>SR_cost_per_minute_forecast!$B$65</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C10-4F8C-AA9E-4565C9E5ECEE}"/>
            </c:ext>
          </c:extLst>
        </c:ser>
        <c:ser>
          <c:idx val="7"/>
          <c:order val="7"/>
          <c:tx>
            <c:strRef>
              <c:f>SR_cost_per_minute_forecast!$B$66</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C10-4F8C-AA9E-4565C9E5ECE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SR_cost_per_minute_forecast!$B$77</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440-440B-A4A3-AEF9D59E0790}"/>
            </c:ext>
          </c:extLst>
        </c:ser>
        <c:ser>
          <c:idx val="1"/>
          <c:order val="1"/>
          <c:tx>
            <c:strRef>
              <c:f>SR_cost_per_minute_forecast!$B$78</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440-440B-A4A3-AEF9D59E0790}"/>
            </c:ext>
          </c:extLst>
        </c:ser>
        <c:ser>
          <c:idx val="2"/>
          <c:order val="2"/>
          <c:tx>
            <c:strRef>
              <c:f>SR_cost_per_minute_forecast!$B$79</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440-440B-A4A3-AEF9D59E0790}"/>
            </c:ext>
          </c:extLst>
        </c:ser>
        <c:ser>
          <c:idx val="3"/>
          <c:order val="3"/>
          <c:tx>
            <c:strRef>
              <c:f>SR_cost_per_minute_forecast!$B$80</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440-440B-A4A3-AEF9D59E0790}"/>
            </c:ext>
          </c:extLst>
        </c:ser>
        <c:ser>
          <c:idx val="4"/>
          <c:order val="4"/>
          <c:tx>
            <c:strRef>
              <c:f>SR_cost_per_minute_forecast!$B$81</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440-440B-A4A3-AEF9D59E0790}"/>
            </c:ext>
          </c:extLst>
        </c:ser>
        <c:ser>
          <c:idx val="5"/>
          <c:order val="5"/>
          <c:tx>
            <c:strRef>
              <c:f>SR_cost_per_minute_forecast!$B$82</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440-440B-A4A3-AEF9D59E0790}"/>
            </c:ext>
          </c:extLst>
        </c:ser>
        <c:ser>
          <c:idx val="6"/>
          <c:order val="6"/>
          <c:tx>
            <c:strRef>
              <c:f>SR_cost_per_minute_forecast!$B$83</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440-440B-A4A3-AEF9D59E0790}"/>
            </c:ext>
          </c:extLst>
        </c:ser>
        <c:ser>
          <c:idx val="7"/>
          <c:order val="7"/>
          <c:tx>
            <c:strRef>
              <c:f>SR_cost_per_minute_forecast!$B$84</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440-440B-A4A3-AEF9D59E079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SR_cost_per_minute_forecast!$B$95</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298-4925-8019-120CF6B8F637}"/>
            </c:ext>
          </c:extLst>
        </c:ser>
        <c:ser>
          <c:idx val="1"/>
          <c:order val="1"/>
          <c:tx>
            <c:strRef>
              <c:f>SR_cost_per_minute_forecast!$B$96</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298-4925-8019-120CF6B8F637}"/>
            </c:ext>
          </c:extLst>
        </c:ser>
        <c:ser>
          <c:idx val="2"/>
          <c:order val="2"/>
          <c:tx>
            <c:strRef>
              <c:f>SR_cost_per_minute_forecast!$B$97</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298-4925-8019-120CF6B8F637}"/>
            </c:ext>
          </c:extLst>
        </c:ser>
        <c:ser>
          <c:idx val="3"/>
          <c:order val="3"/>
          <c:tx>
            <c:strRef>
              <c:f>SR_cost_per_minute_forecast!$B$98</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298-4925-8019-120CF6B8F637}"/>
            </c:ext>
          </c:extLst>
        </c:ser>
        <c:ser>
          <c:idx val="4"/>
          <c:order val="4"/>
          <c:tx>
            <c:strRef>
              <c:f>SR_cost_per_minute_forecast!$B$99</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298-4925-8019-120CF6B8F637}"/>
            </c:ext>
          </c:extLst>
        </c:ser>
        <c:ser>
          <c:idx val="5"/>
          <c:order val="5"/>
          <c:tx>
            <c:strRef>
              <c:f>SR_cost_per_minute_forecast!$B$100</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298-4925-8019-120CF6B8F637}"/>
            </c:ext>
          </c:extLst>
        </c:ser>
        <c:ser>
          <c:idx val="6"/>
          <c:order val="6"/>
          <c:tx>
            <c:strRef>
              <c:f>SR_cost_per_minute_forecast!$B$101</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298-4925-8019-120CF6B8F637}"/>
            </c:ext>
          </c:extLst>
        </c:ser>
        <c:ser>
          <c:idx val="7"/>
          <c:order val="7"/>
          <c:tx>
            <c:strRef>
              <c:f>SR_cost_per_minute_forecast!$B$102</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298-4925-8019-120CF6B8F63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SR_cost_per_minute_forecast!$B$57</c:f>
              <c:strCache>
                <c:ptCount val="1"/>
                <c:pt idx="0">
                  <c:v>Low Demand</c:v>
                </c:pt>
              </c:strCache>
            </c:strRef>
          </c:tx>
          <c:spPr>
            <a:ln w="28575" cap="rnd">
              <a:solidFill>
                <a:schemeClr val="accent1"/>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1093-4F9A-AD58-B78EFEF2BA09}"/>
            </c:ext>
          </c:extLst>
        </c:ser>
        <c:ser>
          <c:idx val="1"/>
          <c:order val="1"/>
          <c:tx>
            <c:strRef>
              <c:f>SR_cost_per_minute_forecast!$B$75</c:f>
              <c:strCache>
                <c:ptCount val="1"/>
                <c:pt idx="0">
                  <c:v>Baseline Demand</c:v>
                </c:pt>
              </c:strCache>
            </c:strRef>
          </c:tx>
          <c:spPr>
            <a:ln w="28575" cap="rnd">
              <a:solidFill>
                <a:schemeClr val="accent2"/>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1093-4F9A-AD58-B78EFEF2BA09}"/>
            </c:ext>
          </c:extLst>
        </c:ser>
        <c:ser>
          <c:idx val="2"/>
          <c:order val="2"/>
          <c:tx>
            <c:strRef>
              <c:f>SR_cost_per_minute_forecast!$B$93</c:f>
              <c:strCache>
                <c:ptCount val="1"/>
                <c:pt idx="0">
                  <c:v>High Demand</c:v>
                </c:pt>
              </c:strCache>
            </c:strRef>
          </c:tx>
          <c:spPr>
            <a:ln w="28575" cap="rnd">
              <a:solidFill>
                <a:schemeClr val="accent3"/>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093-4F9A-AD58-B78EFEF2BA09}"/>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SR_cost_per_minute_forecast!$B$115</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596-4857-8145-4F086E14FA9C}"/>
            </c:ext>
          </c:extLst>
        </c:ser>
        <c:ser>
          <c:idx val="1"/>
          <c:order val="1"/>
          <c:tx>
            <c:strRef>
              <c:f>SR_cost_per_minute_forecast!$B$116</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596-4857-8145-4F086E14FA9C}"/>
            </c:ext>
          </c:extLst>
        </c:ser>
        <c:ser>
          <c:idx val="2"/>
          <c:order val="2"/>
          <c:tx>
            <c:strRef>
              <c:f>SR_cost_per_minute_forecast!$B$117</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596-4857-8145-4F086E14FA9C}"/>
            </c:ext>
          </c:extLst>
        </c:ser>
        <c:ser>
          <c:idx val="3"/>
          <c:order val="3"/>
          <c:tx>
            <c:strRef>
              <c:f>SR_cost_per_minute_forecast!$B$118</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596-4857-8145-4F086E14FA9C}"/>
            </c:ext>
          </c:extLst>
        </c:ser>
        <c:ser>
          <c:idx val="4"/>
          <c:order val="4"/>
          <c:tx>
            <c:strRef>
              <c:f>SR_cost_per_minute_forecast!$B$119</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596-4857-8145-4F086E14FA9C}"/>
            </c:ext>
          </c:extLst>
        </c:ser>
        <c:ser>
          <c:idx val="5"/>
          <c:order val="5"/>
          <c:tx>
            <c:strRef>
              <c:f>SR_cost_per_minute_forecast!$B$120</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596-4857-8145-4F086E14FA9C}"/>
            </c:ext>
          </c:extLst>
        </c:ser>
        <c:ser>
          <c:idx val="6"/>
          <c:order val="6"/>
          <c:tx>
            <c:strRef>
              <c:f>SR_cost_per_minute_forecast!$B$121</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596-4857-8145-4F086E14FA9C}"/>
            </c:ext>
          </c:extLst>
        </c:ser>
        <c:ser>
          <c:idx val="7"/>
          <c:order val="7"/>
          <c:tx>
            <c:strRef>
              <c:f>SR_cost_per_minute_forecast!$B$122</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596-4857-8145-4F086E14FA9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SR_cost_per_minute_forecast!$B$133</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DBE-4A40-BC17-2AD2F5A7B7AE}"/>
            </c:ext>
          </c:extLst>
        </c:ser>
        <c:ser>
          <c:idx val="1"/>
          <c:order val="1"/>
          <c:tx>
            <c:strRef>
              <c:f>SR_cost_per_minute_forecast!$B$134</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DBE-4A40-BC17-2AD2F5A7B7AE}"/>
            </c:ext>
          </c:extLst>
        </c:ser>
        <c:ser>
          <c:idx val="2"/>
          <c:order val="2"/>
          <c:tx>
            <c:strRef>
              <c:f>SR_cost_per_minute_forecast!$B$135</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DBE-4A40-BC17-2AD2F5A7B7AE}"/>
            </c:ext>
          </c:extLst>
        </c:ser>
        <c:ser>
          <c:idx val="3"/>
          <c:order val="3"/>
          <c:tx>
            <c:strRef>
              <c:f>SR_cost_per_minute_forecast!$B$136</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DBE-4A40-BC17-2AD2F5A7B7AE}"/>
            </c:ext>
          </c:extLst>
        </c:ser>
        <c:ser>
          <c:idx val="4"/>
          <c:order val="4"/>
          <c:tx>
            <c:strRef>
              <c:f>SR_cost_per_minute_forecast!$B$137</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DBE-4A40-BC17-2AD2F5A7B7AE}"/>
            </c:ext>
          </c:extLst>
        </c:ser>
        <c:ser>
          <c:idx val="5"/>
          <c:order val="5"/>
          <c:tx>
            <c:strRef>
              <c:f>SR_cost_per_minute_forecast!$B$138</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DBE-4A40-BC17-2AD2F5A7B7AE}"/>
            </c:ext>
          </c:extLst>
        </c:ser>
        <c:ser>
          <c:idx val="6"/>
          <c:order val="6"/>
          <c:tx>
            <c:strRef>
              <c:f>SR_cost_per_minute_forecast!$B$139</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DBE-4A40-BC17-2AD2F5A7B7AE}"/>
            </c:ext>
          </c:extLst>
        </c:ser>
        <c:ser>
          <c:idx val="7"/>
          <c:order val="7"/>
          <c:tx>
            <c:strRef>
              <c:f>SR_cost_per_minute_forecast!$B$140</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DBE-4A40-BC17-2AD2F5A7B7A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SR_cost_per_minute_forecast!$B$151</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CB1F-4D62-8336-FDBCF585C346}"/>
            </c:ext>
          </c:extLst>
        </c:ser>
        <c:ser>
          <c:idx val="1"/>
          <c:order val="1"/>
          <c:tx>
            <c:strRef>
              <c:f>SR_cost_per_minute_forecast!$B$152</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CB1F-4D62-8336-FDBCF585C346}"/>
            </c:ext>
          </c:extLst>
        </c:ser>
        <c:ser>
          <c:idx val="2"/>
          <c:order val="2"/>
          <c:tx>
            <c:strRef>
              <c:f>SR_cost_per_minute_forecast!$B$153</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CB1F-4D62-8336-FDBCF585C346}"/>
            </c:ext>
          </c:extLst>
        </c:ser>
        <c:ser>
          <c:idx val="3"/>
          <c:order val="3"/>
          <c:tx>
            <c:strRef>
              <c:f>SR_cost_per_minute_forecast!$B$154</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CB1F-4D62-8336-FDBCF585C346}"/>
            </c:ext>
          </c:extLst>
        </c:ser>
        <c:ser>
          <c:idx val="4"/>
          <c:order val="4"/>
          <c:tx>
            <c:strRef>
              <c:f>SR_cost_per_minute_forecast!$B$155</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CB1F-4D62-8336-FDBCF585C346}"/>
            </c:ext>
          </c:extLst>
        </c:ser>
        <c:ser>
          <c:idx val="5"/>
          <c:order val="5"/>
          <c:tx>
            <c:strRef>
              <c:f>SR_cost_per_minute_forecast!$B$156</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CB1F-4D62-8336-FDBCF585C346}"/>
            </c:ext>
          </c:extLst>
        </c:ser>
        <c:ser>
          <c:idx val="6"/>
          <c:order val="6"/>
          <c:tx>
            <c:strRef>
              <c:f>SR_cost_per_minute_forecast!$B$157</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CB1F-4D62-8336-FDBCF585C346}"/>
            </c:ext>
          </c:extLst>
        </c:ser>
        <c:ser>
          <c:idx val="7"/>
          <c:order val="7"/>
          <c:tx>
            <c:strRef>
              <c:f>SR_cost_per_minute_forecast!$B$158</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CB1F-4D62-8336-FDBCF585C34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SR_cost_per_minute_forecast!$B$171</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2E4D-4CF4-88E5-346CD4C27651}"/>
            </c:ext>
          </c:extLst>
        </c:ser>
        <c:ser>
          <c:idx val="1"/>
          <c:order val="1"/>
          <c:tx>
            <c:strRef>
              <c:f>SR_cost_per_minute_forecast!$B$172</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2E4D-4CF4-88E5-346CD4C27651}"/>
            </c:ext>
          </c:extLst>
        </c:ser>
        <c:ser>
          <c:idx val="2"/>
          <c:order val="2"/>
          <c:tx>
            <c:strRef>
              <c:f>SR_cost_per_minute_forecast!$B$173</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2E4D-4CF4-88E5-346CD4C27651}"/>
            </c:ext>
          </c:extLst>
        </c:ser>
        <c:ser>
          <c:idx val="3"/>
          <c:order val="3"/>
          <c:tx>
            <c:strRef>
              <c:f>SR_cost_per_minute_forecast!$B$174</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2E4D-4CF4-88E5-346CD4C27651}"/>
            </c:ext>
          </c:extLst>
        </c:ser>
        <c:ser>
          <c:idx val="4"/>
          <c:order val="4"/>
          <c:tx>
            <c:strRef>
              <c:f>SR_cost_per_minute_forecast!$B$175</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2E4D-4CF4-88E5-346CD4C27651}"/>
            </c:ext>
          </c:extLst>
        </c:ser>
        <c:ser>
          <c:idx val="5"/>
          <c:order val="5"/>
          <c:tx>
            <c:strRef>
              <c:f>SR_cost_per_minute_forecast!$B$176</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2E4D-4CF4-88E5-346CD4C27651}"/>
            </c:ext>
          </c:extLst>
        </c:ser>
        <c:ser>
          <c:idx val="6"/>
          <c:order val="6"/>
          <c:tx>
            <c:strRef>
              <c:f>SR_cost_per_minute_forecast!$B$177</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2E4D-4CF4-88E5-346CD4C27651}"/>
            </c:ext>
          </c:extLst>
        </c:ser>
        <c:ser>
          <c:idx val="7"/>
          <c:order val="7"/>
          <c:tx>
            <c:strRef>
              <c:f>SR_cost_per_minute_forecast!$B$178</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2E4D-4CF4-88E5-346CD4C2765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SR_cost_per_minute_forecast!$B$189</c:f>
              <c:strCache>
                <c:ptCount val="1"/>
                <c:pt idx="0">
                  <c:v>Human Space Flight</c:v>
                </c:pt>
              </c:strCache>
            </c:strRef>
          </c:tx>
          <c:spPr>
            <a:solidFill>
              <a:schemeClr val="accent1"/>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5F84-4765-B3A5-A3B7BB5D40C3}"/>
            </c:ext>
          </c:extLst>
        </c:ser>
        <c:ser>
          <c:idx val="1"/>
          <c:order val="1"/>
          <c:tx>
            <c:strRef>
              <c:f>SR_cost_per_minute_forecast!$B$190</c:f>
              <c:strCache>
                <c:ptCount val="1"/>
                <c:pt idx="0">
                  <c:v>Near Earth Robotic - LEO Science</c:v>
                </c:pt>
              </c:strCache>
            </c:strRef>
          </c:tx>
          <c:spPr>
            <a:solidFill>
              <a:schemeClr val="accent2"/>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F84-4765-B3A5-A3B7BB5D40C3}"/>
            </c:ext>
          </c:extLst>
        </c:ser>
        <c:ser>
          <c:idx val="2"/>
          <c:order val="2"/>
          <c:tx>
            <c:strRef>
              <c:f>SR_cost_per_minute_forecast!$B$191</c:f>
              <c:strCache>
                <c:ptCount val="1"/>
                <c:pt idx="0">
                  <c:v>Near Earth Robotic - GEO and Near Earth</c:v>
                </c:pt>
              </c:strCache>
            </c:strRef>
          </c:tx>
          <c:spPr>
            <a:solidFill>
              <a:schemeClr val="accent3"/>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5F84-4765-B3A5-A3B7BB5D40C3}"/>
            </c:ext>
          </c:extLst>
        </c:ser>
        <c:ser>
          <c:idx val="3"/>
          <c:order val="3"/>
          <c:tx>
            <c:strRef>
              <c:f>SR_cost_per_minute_forecast!$B$192</c:f>
              <c:strCache>
                <c:ptCount val="1"/>
                <c:pt idx="0">
                  <c:v>Deep Space Robotic</c:v>
                </c:pt>
              </c:strCache>
            </c:strRef>
          </c:tx>
          <c:spPr>
            <a:solidFill>
              <a:schemeClr val="accent4"/>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F84-4765-B3A5-A3B7BB5D40C3}"/>
            </c:ext>
          </c:extLst>
        </c:ser>
        <c:ser>
          <c:idx val="4"/>
          <c:order val="4"/>
          <c:tx>
            <c:strRef>
              <c:f>SR_cost_per_minute_forecast!$B$193</c:f>
              <c:strCache>
                <c:ptCount val="1"/>
                <c:pt idx="0">
                  <c:v>Near Earth Robotic - Low Latency &amp; Complex Needs</c:v>
                </c:pt>
              </c:strCache>
            </c:strRef>
          </c:tx>
          <c:spPr>
            <a:solidFill>
              <a:schemeClr val="accent5"/>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F84-4765-B3A5-A3B7BB5D40C3}"/>
            </c:ext>
          </c:extLst>
        </c:ser>
        <c:ser>
          <c:idx val="5"/>
          <c:order val="5"/>
          <c:tx>
            <c:strRef>
              <c:f>SR_cost_per_minute_forecast!$B$194</c:f>
              <c:strCache>
                <c:ptCount val="1"/>
                <c:pt idx="0">
                  <c:v>Mission Operations</c:v>
                </c:pt>
              </c:strCache>
            </c:strRef>
          </c:tx>
          <c:spPr>
            <a:solidFill>
              <a:schemeClr val="accent6"/>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5F84-4765-B3A5-A3B7BB5D40C3}"/>
            </c:ext>
          </c:extLst>
        </c:ser>
        <c:ser>
          <c:idx val="6"/>
          <c:order val="6"/>
          <c:tx>
            <c:strRef>
              <c:f>SR_cost_per_minute_forecast!$B$195</c:f>
              <c:strCache>
                <c:ptCount val="1"/>
                <c:pt idx="0">
                  <c:v>Launch Events</c:v>
                </c:pt>
              </c:strCache>
            </c:strRef>
          </c:tx>
          <c:spPr>
            <a:solidFill>
              <a:schemeClr val="accent1">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5F84-4765-B3A5-A3B7BB5D40C3}"/>
            </c:ext>
          </c:extLst>
        </c:ser>
        <c:ser>
          <c:idx val="7"/>
          <c:order val="7"/>
          <c:tx>
            <c:strRef>
              <c:f>SR_cost_per_minute_forecast!$B$196</c:f>
              <c:strCache>
                <c:ptCount val="1"/>
                <c:pt idx="0">
                  <c:v>Terrestrial &amp; Aerial</c:v>
                </c:pt>
              </c:strCache>
            </c:strRef>
          </c:tx>
          <c:spPr>
            <a:solidFill>
              <a:schemeClr val="accent2">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5F84-4765-B3A5-A3B7BB5D40C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SR_cost_per_minute_forecast!$B$207</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777-402D-9719-71B2E2DFEB5A}"/>
            </c:ext>
          </c:extLst>
        </c:ser>
        <c:ser>
          <c:idx val="1"/>
          <c:order val="1"/>
          <c:tx>
            <c:strRef>
              <c:f>SR_cost_per_minute_forecast!$B$208</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777-402D-9719-71B2E2DFEB5A}"/>
            </c:ext>
          </c:extLst>
        </c:ser>
        <c:ser>
          <c:idx val="2"/>
          <c:order val="2"/>
          <c:tx>
            <c:strRef>
              <c:f>SR_cost_per_minute_forecast!$B$209</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777-402D-9719-71B2E2DFEB5A}"/>
            </c:ext>
          </c:extLst>
        </c:ser>
        <c:ser>
          <c:idx val="3"/>
          <c:order val="3"/>
          <c:tx>
            <c:strRef>
              <c:f>SR_cost_per_minute_forecast!$B$210</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777-402D-9719-71B2E2DFEB5A}"/>
            </c:ext>
          </c:extLst>
        </c:ser>
        <c:ser>
          <c:idx val="4"/>
          <c:order val="4"/>
          <c:tx>
            <c:strRef>
              <c:f>SR_cost_per_minute_forecast!$B$211</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777-402D-9719-71B2E2DFEB5A}"/>
            </c:ext>
          </c:extLst>
        </c:ser>
        <c:ser>
          <c:idx val="5"/>
          <c:order val="5"/>
          <c:tx>
            <c:strRef>
              <c:f>SR_cost_per_minute_forecast!$B$212</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777-402D-9719-71B2E2DFEB5A}"/>
            </c:ext>
          </c:extLst>
        </c:ser>
        <c:ser>
          <c:idx val="6"/>
          <c:order val="6"/>
          <c:tx>
            <c:strRef>
              <c:f>SR_cost_per_minute_forecast!$B$213</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777-402D-9719-71B2E2DFEB5A}"/>
            </c:ext>
          </c:extLst>
        </c:ser>
        <c:ser>
          <c:idx val="7"/>
          <c:order val="7"/>
          <c:tx>
            <c:strRef>
              <c:f>SR_cost_per_minute_forecast!$B$214</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777-402D-9719-71B2E2DFEB5A}"/>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SR_cost_per_minute_forecast!$B$113</c:f>
              <c:strCache>
                <c:ptCount val="1"/>
                <c:pt idx="0">
                  <c:v>Low Demand</c:v>
                </c:pt>
              </c:strCache>
            </c:strRef>
          </c:tx>
          <c:spPr>
            <a:ln w="28575" cap="rnd">
              <a:solidFill>
                <a:schemeClr val="accent1"/>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7DB8-46E4-A27E-8C39937CFCAC}"/>
            </c:ext>
          </c:extLst>
        </c:ser>
        <c:ser>
          <c:idx val="1"/>
          <c:order val="1"/>
          <c:tx>
            <c:strRef>
              <c:f>SR_cost_per_minute_forecast!$B$131</c:f>
              <c:strCache>
                <c:ptCount val="1"/>
                <c:pt idx="0">
                  <c:v>Baseline Demand</c:v>
                </c:pt>
              </c:strCache>
            </c:strRef>
          </c:tx>
          <c:spPr>
            <a:ln w="28575" cap="rnd">
              <a:solidFill>
                <a:schemeClr val="accent2"/>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7DB8-46E4-A27E-8C39937CFCAC}"/>
            </c:ext>
          </c:extLst>
        </c:ser>
        <c:ser>
          <c:idx val="2"/>
          <c:order val="2"/>
          <c:tx>
            <c:strRef>
              <c:f>SR_cost_per_minute_forecast!$B$149</c:f>
              <c:strCache>
                <c:ptCount val="1"/>
                <c:pt idx="0">
                  <c:v>High Demand</c:v>
                </c:pt>
              </c:strCache>
            </c:strRef>
          </c:tx>
          <c:spPr>
            <a:ln w="28575" cap="rnd">
              <a:solidFill>
                <a:schemeClr val="accent3"/>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7DB8-46E4-A27E-8C39937CFCA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SR_cost_per_minute_forecast!$B$169</c:f>
              <c:strCache>
                <c:ptCount val="1"/>
                <c:pt idx="0">
                  <c:v>Low Demand</c:v>
                </c:pt>
              </c:strCache>
            </c:strRef>
          </c:tx>
          <c:spPr>
            <a:ln w="28575" cap="rnd">
              <a:solidFill>
                <a:schemeClr val="accent1"/>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52AD-4E0D-B32D-06E8045216E8}"/>
            </c:ext>
          </c:extLst>
        </c:ser>
        <c:ser>
          <c:idx val="1"/>
          <c:order val="1"/>
          <c:tx>
            <c:strRef>
              <c:f>SR_cost_per_minute_forecast!$B$187</c:f>
              <c:strCache>
                <c:ptCount val="1"/>
                <c:pt idx="0">
                  <c:v>Baseline Demand</c:v>
                </c:pt>
              </c:strCache>
            </c:strRef>
          </c:tx>
          <c:spPr>
            <a:ln w="28575" cap="rnd">
              <a:solidFill>
                <a:schemeClr val="accent2"/>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52AD-4E0D-B32D-06E8045216E8}"/>
            </c:ext>
          </c:extLst>
        </c:ser>
        <c:ser>
          <c:idx val="2"/>
          <c:order val="2"/>
          <c:tx>
            <c:strRef>
              <c:f>SR_cost_per_minute_forecast!$B$205</c:f>
              <c:strCache>
                <c:ptCount val="1"/>
                <c:pt idx="0">
                  <c:v>High Demand</c:v>
                </c:pt>
              </c:strCache>
            </c:strRef>
          </c:tx>
          <c:spPr>
            <a:ln w="28575" cap="rnd">
              <a:solidFill>
                <a:schemeClr val="accent3"/>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52AD-4E0D-B32D-06E8045216E8}"/>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248777066870988E-2"/>
          <c:y val="0.10605799289048519"/>
          <c:w val="0.87722706632180125"/>
          <c:h val="0.63030185267075134"/>
        </c:manualLayout>
      </c:layout>
      <c:areaChart>
        <c:grouping val="stacked"/>
        <c:varyColors val="0"/>
        <c:ser>
          <c:idx val="0"/>
          <c:order val="0"/>
          <c:tx>
            <c:strRef>
              <c:f>lifespans_all!$B$61</c:f>
              <c:strCache>
                <c:ptCount val="1"/>
                <c:pt idx="0">
                  <c:v>Human Space Flight</c:v>
                </c:pt>
              </c:strCache>
            </c:strRef>
          </c:tx>
          <c:spPr>
            <a:solidFill>
              <a:schemeClr val="accent1"/>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lifespans_all!$C$61:$L$61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6214-4C16-955F-4D7A4436F319}"/>
            </c:ext>
          </c:extLst>
        </c:ser>
        <c:ser>
          <c:idx val="1"/>
          <c:order val="1"/>
          <c:tx>
            <c:strRef>
              <c:f>lifespans_all!$B$62</c:f>
              <c:strCache>
                <c:ptCount val="1"/>
                <c:pt idx="0">
                  <c:v>Near Earth Robotic - LEO Science</c:v>
                </c:pt>
              </c:strCache>
            </c:strRef>
          </c:tx>
          <c:spPr>
            <a:solidFill>
              <a:schemeClr val="accent2"/>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lifespans_all!$C$62:$L$62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214-4C16-955F-4D7A4436F319}"/>
            </c:ext>
          </c:extLst>
        </c:ser>
        <c:ser>
          <c:idx val="2"/>
          <c:order val="2"/>
          <c:tx>
            <c:strRef>
              <c:f>lifespans_all!$B$63</c:f>
              <c:strCache>
                <c:ptCount val="1"/>
                <c:pt idx="0">
                  <c:v>Near Earth Robotic - GEO and Near Earth</c:v>
                </c:pt>
              </c:strCache>
            </c:strRef>
          </c:tx>
          <c:spPr>
            <a:solidFill>
              <a:schemeClr val="accent3"/>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lifespans_all!$C$63:$L$63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6214-4C16-955F-4D7A4436F319}"/>
            </c:ext>
          </c:extLst>
        </c:ser>
        <c:ser>
          <c:idx val="3"/>
          <c:order val="3"/>
          <c:tx>
            <c:strRef>
              <c:f>lifespans_all!$B$64</c:f>
              <c:strCache>
                <c:ptCount val="1"/>
                <c:pt idx="0">
                  <c:v>Deep Space Robotic</c:v>
                </c:pt>
              </c:strCache>
            </c:strRef>
          </c:tx>
          <c:spPr>
            <a:solidFill>
              <a:schemeClr val="accent4"/>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lifespans_all!$C$64:$L$64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214-4C16-955F-4D7A4436F319}"/>
            </c:ext>
          </c:extLst>
        </c:ser>
        <c:ser>
          <c:idx val="4"/>
          <c:order val="4"/>
          <c:tx>
            <c:strRef>
              <c:f>lifespans_all!$B$65</c:f>
              <c:strCache>
                <c:ptCount val="1"/>
                <c:pt idx="0">
                  <c:v>Near Earth Robotic - Low Latency &amp; Complex Needs</c:v>
                </c:pt>
              </c:strCache>
            </c:strRef>
          </c:tx>
          <c:spPr>
            <a:solidFill>
              <a:schemeClr val="accent5"/>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6214-4C16-955F-4D7A4436F319}"/>
            </c:ext>
          </c:extLst>
        </c:ser>
        <c:ser>
          <c:idx val="5"/>
          <c:order val="5"/>
          <c:tx>
            <c:strRef>
              <c:f>lifespans_all!$B$66</c:f>
              <c:strCache>
                <c:ptCount val="1"/>
                <c:pt idx="0">
                  <c:v>Mission Operations</c:v>
                </c:pt>
              </c:strCache>
            </c:strRef>
          </c:tx>
          <c:spPr>
            <a:solidFill>
              <a:schemeClr val="accent6"/>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214-4C16-955F-4D7A4436F319}"/>
            </c:ext>
          </c:extLst>
        </c:ser>
        <c:ser>
          <c:idx val="6"/>
          <c:order val="6"/>
          <c:tx>
            <c:strRef>
              <c:f>lifespans_all!$B$67</c:f>
              <c:strCache>
                <c:ptCount val="1"/>
                <c:pt idx="0">
                  <c:v>Launch Events</c:v>
                </c:pt>
              </c:strCache>
            </c:strRef>
          </c:tx>
          <c:spPr>
            <a:solidFill>
              <a:schemeClr val="accent1">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6214-4C16-955F-4D7A4436F319}"/>
            </c:ext>
          </c:extLst>
        </c:ser>
        <c:ser>
          <c:idx val="7"/>
          <c:order val="7"/>
          <c:tx>
            <c:strRef>
              <c:f>lifespans_all!$B$68</c:f>
              <c:strCache>
                <c:ptCount val="1"/>
                <c:pt idx="0">
                  <c:v>Terrestrial &amp; Aerial</c:v>
                </c:pt>
              </c:strCache>
            </c:strRef>
          </c:tx>
          <c:spPr>
            <a:solidFill>
              <a:schemeClr val="accent2">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lifespans_all!$C$68:$L$68</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6214-4C16-955F-4D7A4436F31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330702192808603"/>
          <c:w val="0.90748717991544758"/>
          <c:h val="0.14953610349918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8702883749043504E-2"/>
          <c:y val="0.1060580978028894"/>
          <c:w val="0.87934059299234435"/>
          <c:h val="0.63030185267075134"/>
        </c:manualLayout>
      </c:layout>
      <c:areaChart>
        <c:grouping val="stacked"/>
        <c:varyColors val="0"/>
        <c:ser>
          <c:idx val="0"/>
          <c:order val="0"/>
          <c:tx>
            <c:strRef>
              <c:f>lifespans_all!$B$139</c:f>
              <c:strCache>
                <c:ptCount val="1"/>
                <c:pt idx="0">
                  <c:v>Human Space Flight</c:v>
                </c:pt>
              </c:strCache>
            </c:strRef>
          </c:tx>
          <c:spPr>
            <a:solidFill>
              <a:schemeClr val="accent1"/>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lifespans_all!$C$139:$L$139</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DDE-492F-A7E4-FEBC399D369D}"/>
            </c:ext>
          </c:extLst>
        </c:ser>
        <c:ser>
          <c:idx val="1"/>
          <c:order val="1"/>
          <c:tx>
            <c:strRef>
              <c:f>lifespans_all!$B$140</c:f>
              <c:strCache>
                <c:ptCount val="1"/>
                <c:pt idx="0">
                  <c:v>Near Earth Robotic - LEO Science</c:v>
                </c:pt>
              </c:strCache>
            </c:strRef>
          </c:tx>
          <c:spPr>
            <a:solidFill>
              <a:schemeClr val="accent2"/>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lifespans_all!$C$140:$L$140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DDE-492F-A7E4-FEBC399D369D}"/>
            </c:ext>
          </c:extLst>
        </c:ser>
        <c:ser>
          <c:idx val="2"/>
          <c:order val="2"/>
          <c:tx>
            <c:strRef>
              <c:f>lifespans_all!$B$141</c:f>
              <c:strCache>
                <c:ptCount val="1"/>
                <c:pt idx="0">
                  <c:v>Near Earth Robotic - GEO and Near Earth</c:v>
                </c:pt>
              </c:strCache>
            </c:strRef>
          </c:tx>
          <c:spPr>
            <a:solidFill>
              <a:schemeClr val="accent3"/>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lifespans_all!$C$141:$L$141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DDE-492F-A7E4-FEBC399D369D}"/>
            </c:ext>
          </c:extLst>
        </c:ser>
        <c:ser>
          <c:idx val="3"/>
          <c:order val="3"/>
          <c:tx>
            <c:strRef>
              <c:f>lifespans_all!$B$142</c:f>
              <c:strCache>
                <c:ptCount val="1"/>
                <c:pt idx="0">
                  <c:v>Deep Space Robotic</c:v>
                </c:pt>
              </c:strCache>
            </c:strRef>
          </c:tx>
          <c:spPr>
            <a:solidFill>
              <a:schemeClr val="accent4"/>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lifespans_all!$C$142:$L$142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DDE-492F-A7E4-FEBC399D369D}"/>
            </c:ext>
          </c:extLst>
        </c:ser>
        <c:ser>
          <c:idx val="4"/>
          <c:order val="4"/>
          <c:tx>
            <c:strRef>
              <c:f>lifespans_all!$B$143</c:f>
              <c:strCache>
                <c:ptCount val="1"/>
                <c:pt idx="0">
                  <c:v>Near Earth Robotic - Low Latency &amp; Complex Needs</c:v>
                </c:pt>
              </c:strCache>
            </c:strRef>
          </c:tx>
          <c:spPr>
            <a:solidFill>
              <a:schemeClr val="accent5"/>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lifespans_all!$C$143:$L$143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DDE-492F-A7E4-FEBC399D369D}"/>
            </c:ext>
          </c:extLst>
        </c:ser>
        <c:ser>
          <c:idx val="5"/>
          <c:order val="5"/>
          <c:tx>
            <c:strRef>
              <c:f>lifespans_all!$B$144</c:f>
              <c:strCache>
                <c:ptCount val="1"/>
                <c:pt idx="0">
                  <c:v>Mission Operations</c:v>
                </c:pt>
              </c:strCache>
            </c:strRef>
          </c:tx>
          <c:spPr>
            <a:solidFill>
              <a:schemeClr val="accent6"/>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DDE-492F-A7E4-FEBC399D369D}"/>
            </c:ext>
          </c:extLst>
        </c:ser>
        <c:ser>
          <c:idx val="6"/>
          <c:order val="6"/>
          <c:tx>
            <c:strRef>
              <c:f>lifespans_all!$B$145</c:f>
              <c:strCache>
                <c:ptCount val="1"/>
                <c:pt idx="0">
                  <c:v>Launch Events</c:v>
                </c:pt>
              </c:strCache>
            </c:strRef>
          </c:tx>
          <c:spPr>
            <a:solidFill>
              <a:schemeClr val="accent1">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DDE-492F-A7E4-FEBC399D369D}"/>
            </c:ext>
          </c:extLst>
        </c:ser>
        <c:ser>
          <c:idx val="7"/>
          <c:order val="7"/>
          <c:tx>
            <c:strRef>
              <c:f>lifespans_all!$B$146</c:f>
              <c:strCache>
                <c:ptCount val="1"/>
                <c:pt idx="0">
                  <c:v>Terrestrial &amp; Aerial</c:v>
                </c:pt>
              </c:strCache>
            </c:strRef>
          </c:tx>
          <c:spPr>
            <a:solidFill>
              <a:schemeClr val="accent2">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DDE-492F-A7E4-FEBC399D369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Missions</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036687850764268"/>
          <c:w val="0.90748717991544758"/>
          <c:h val="0.152476137754571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589357078500379E-2"/>
          <c:y val="0.10605799289048519"/>
          <c:w val="0.87088648631017185"/>
          <c:h val="0.63030185267075134"/>
        </c:manualLayout>
      </c:layout>
      <c:areaChart>
        <c:grouping val="stacked"/>
        <c:varyColors val="0"/>
        <c:ser>
          <c:idx val="0"/>
          <c:order val="0"/>
          <c:tx>
            <c:strRef>
              <c:f>lifespans_all!$B$217</c:f>
              <c:strCache>
                <c:ptCount val="1"/>
                <c:pt idx="0">
                  <c:v>Human Space Flight</c:v>
                </c:pt>
              </c:strCache>
            </c:strRef>
          </c:tx>
          <c:spPr>
            <a:solidFill>
              <a:schemeClr val="accent1"/>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lifespans_all!$C$217:$L$217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BAB-4E10-9550-C36C6B8CDD38}"/>
            </c:ext>
          </c:extLst>
        </c:ser>
        <c:ser>
          <c:idx val="1"/>
          <c:order val="1"/>
          <c:tx>
            <c:strRef>
              <c:f>lifespans_all!$B$218</c:f>
              <c:strCache>
                <c:ptCount val="1"/>
                <c:pt idx="0">
                  <c:v>Near Earth Robotic - LEO Science</c:v>
                </c:pt>
              </c:strCache>
            </c:strRef>
          </c:tx>
          <c:spPr>
            <a:solidFill>
              <a:schemeClr val="accent2"/>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lifespans_all!$C$218:$L$218</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BAB-4E10-9550-C36C6B8CDD38}"/>
            </c:ext>
          </c:extLst>
        </c:ser>
        <c:ser>
          <c:idx val="2"/>
          <c:order val="2"/>
          <c:tx>
            <c:strRef>
              <c:f>lifespans_all!$B$219</c:f>
              <c:strCache>
                <c:ptCount val="1"/>
                <c:pt idx="0">
                  <c:v>Near Earth Robotic - GEO and Near Earth</c:v>
                </c:pt>
              </c:strCache>
            </c:strRef>
          </c:tx>
          <c:spPr>
            <a:solidFill>
              <a:schemeClr val="accent3"/>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lifespans_all!$C$219:$L$219</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BAB-4E10-9550-C36C6B8CDD38}"/>
            </c:ext>
          </c:extLst>
        </c:ser>
        <c:ser>
          <c:idx val="3"/>
          <c:order val="3"/>
          <c:tx>
            <c:strRef>
              <c:f>lifespans_all!$B$220</c:f>
              <c:strCache>
                <c:ptCount val="1"/>
                <c:pt idx="0">
                  <c:v>Deep Space Robotic</c:v>
                </c:pt>
              </c:strCache>
            </c:strRef>
          </c:tx>
          <c:spPr>
            <a:solidFill>
              <a:schemeClr val="accent4"/>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lifespans_all!$C$220:$L$220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BAB-4E10-9550-C36C6B8CDD38}"/>
            </c:ext>
          </c:extLst>
        </c:ser>
        <c:ser>
          <c:idx val="4"/>
          <c:order val="4"/>
          <c:tx>
            <c:strRef>
              <c:f>lifespans_all!$B$221</c:f>
              <c:strCache>
                <c:ptCount val="1"/>
                <c:pt idx="0">
                  <c:v>Near Earth Robotic - Low Latency &amp; Complex Needs</c:v>
                </c:pt>
              </c:strCache>
            </c:strRef>
          </c:tx>
          <c:spPr>
            <a:solidFill>
              <a:schemeClr val="accent5"/>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lifespans_all!$C$221:$L$221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BAB-4E10-9550-C36C6B8CDD38}"/>
            </c:ext>
          </c:extLst>
        </c:ser>
        <c:ser>
          <c:idx val="5"/>
          <c:order val="5"/>
          <c:tx>
            <c:strRef>
              <c:f>lifespans_all!$B$222</c:f>
              <c:strCache>
                <c:ptCount val="1"/>
                <c:pt idx="0">
                  <c:v>Mission Operations</c:v>
                </c:pt>
              </c:strCache>
            </c:strRef>
          </c:tx>
          <c:spPr>
            <a:solidFill>
              <a:schemeClr val="accent6"/>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lifespans_all!$C$222:$L$222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BAB-4E10-9550-C36C6B8CDD38}"/>
            </c:ext>
          </c:extLst>
        </c:ser>
        <c:ser>
          <c:idx val="6"/>
          <c:order val="6"/>
          <c:tx>
            <c:strRef>
              <c:f>lifespans_all!$B$223</c:f>
              <c:strCache>
                <c:ptCount val="1"/>
                <c:pt idx="0">
                  <c:v>Launch Events</c:v>
                </c:pt>
              </c:strCache>
            </c:strRef>
          </c:tx>
          <c:spPr>
            <a:solidFill>
              <a:schemeClr val="accent1">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BAB-4E10-9550-C36C6B8CDD38}"/>
            </c:ext>
          </c:extLst>
        </c:ser>
        <c:ser>
          <c:idx val="7"/>
          <c:order val="7"/>
          <c:tx>
            <c:strRef>
              <c:f>lifespans_all!$B$224</c:f>
              <c:strCache>
                <c:ptCount val="1"/>
                <c:pt idx="0">
                  <c:v>Terrestrial &amp; Aerial</c:v>
                </c:pt>
              </c:strCache>
            </c:strRef>
          </c:tx>
          <c:spPr>
            <a:solidFill>
              <a:schemeClr val="accent2">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BAB-4E10-9550-C36C6B8CDD3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619883861336186"/>
          <c:w val="0.90748717991544758"/>
          <c:h val="0.146644177648852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91211213008509E-2"/>
          <c:y val="0.17336106857221301"/>
          <c:w val="0.861110990145874"/>
          <c:h val="0.56358991741626518"/>
        </c:manualLayout>
      </c:layout>
      <c:areaChart>
        <c:grouping val="stacked"/>
        <c:varyColors val="0"/>
        <c:ser>
          <c:idx val="0"/>
          <c:order val="0"/>
          <c:tx>
            <c:strRef>
              <c:f>lifespans_all!$B$74</c:f>
              <c:strCache>
                <c:ptCount val="1"/>
                <c:pt idx="0">
                  <c:v>Existing</c:v>
                </c:pt>
              </c:strCache>
            </c:strRef>
          </c:tx>
          <c:spPr>
            <a:solidFill>
              <a:schemeClr val="accent1"/>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lifespans_all!$C$74:$L$74</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9963-4133-BA4C-9A3BE9DDE159}"/>
            </c:ext>
          </c:extLst>
        </c:ser>
        <c:ser>
          <c:idx val="1"/>
          <c:order val="1"/>
          <c:tx>
            <c:strRef>
              <c:f>lifespans_all!$B$75</c:f>
              <c:strCache>
                <c:ptCount val="1"/>
                <c:pt idx="0">
                  <c:v>Replacement</c:v>
                </c:pt>
              </c:strCache>
            </c:strRef>
          </c:tx>
          <c:spPr>
            <a:solidFill>
              <a:schemeClr val="accent2"/>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lifespans_all!$C$75:$L$75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963-4133-BA4C-9A3BE9DDE159}"/>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834501937446789E-2"/>
          <c:y val="0.17045203298868497"/>
          <c:w val="0.86148203445526572"/>
          <c:h val="0.57550860450885888"/>
        </c:manualLayout>
      </c:layout>
      <c:areaChart>
        <c:grouping val="stacked"/>
        <c:varyColors val="0"/>
        <c:ser>
          <c:idx val="0"/>
          <c:order val="0"/>
          <c:tx>
            <c:strRef>
              <c:f>lifespans_all!$B$152</c:f>
              <c:strCache>
                <c:ptCount val="1"/>
                <c:pt idx="0">
                  <c:v>Existing</c:v>
                </c:pt>
              </c:strCache>
            </c:strRef>
          </c:tx>
          <c:spPr>
            <a:solidFill>
              <a:schemeClr val="accent1"/>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lifespans_all!$C$152:$L$152</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4ED5-4400-BEC1-AB7220960A9F}"/>
            </c:ext>
          </c:extLst>
        </c:ser>
        <c:ser>
          <c:idx val="1"/>
          <c:order val="1"/>
          <c:tx>
            <c:strRef>
              <c:f>lifespans_all!$B$153</c:f>
              <c:strCache>
                <c:ptCount val="1"/>
                <c:pt idx="0">
                  <c:v>Replacement</c:v>
                </c:pt>
              </c:strCache>
            </c:strRef>
          </c:tx>
          <c:spPr>
            <a:solidFill>
              <a:schemeClr val="accent2"/>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lifespans_all!$C$153:$L$153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D5-4400-BEC1-AB7220960A9F}"/>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30414709722132E-2"/>
          <c:y val="0.16999577756044043"/>
          <c:w val="0.86224860257008495"/>
          <c:h val="0.58122818857342884"/>
        </c:manualLayout>
      </c:layout>
      <c:areaChart>
        <c:grouping val="stacked"/>
        <c:varyColors val="0"/>
        <c:ser>
          <c:idx val="0"/>
          <c:order val="0"/>
          <c:tx>
            <c:strRef>
              <c:f>lifespans_all!$B$230</c:f>
              <c:strCache>
                <c:ptCount val="1"/>
                <c:pt idx="0">
                  <c:v>Existing</c:v>
                </c:pt>
              </c:strCache>
            </c:strRef>
          </c:tx>
          <c:spPr>
            <a:solidFill>
              <a:schemeClr val="accent1"/>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lifespans_all!$C$230:$L$230</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63-408C-814F-D7B36A4CA76A}"/>
            </c:ext>
          </c:extLst>
        </c:ser>
        <c:ser>
          <c:idx val="1"/>
          <c:order val="1"/>
          <c:tx>
            <c:strRef>
              <c:f>lifespans_all!$B$231</c:f>
              <c:strCache>
                <c:ptCount val="1"/>
                <c:pt idx="0">
                  <c:v>Replacement</c:v>
                </c:pt>
              </c:strCache>
            </c:strRef>
          </c:tx>
          <c:spPr>
            <a:solidFill>
              <a:schemeClr val="accent2"/>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lifespans_all!$C$231:$L$231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63-408C-814F-D7B36A4CA76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DTE Demand Forecast</a:t>
            </a:r>
            <a:r>
              <a:rPr lang="en-US" baseline="0"/>
              <a:t> by Use Case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02655687866396"/>
          <c:y val="0.10605799289048519"/>
          <c:w val="0.84501691986272398"/>
          <c:h val="0.60682971253468532"/>
        </c:manualLayout>
      </c:layout>
      <c:areaChart>
        <c:grouping val="stacked"/>
        <c:varyColors val="0"/>
        <c:ser>
          <c:idx val="0"/>
          <c:order val="0"/>
          <c:tx>
            <c:strRef>
              <c:f>DTE_demand_forecast!$B$62</c:f>
              <c:strCache>
                <c:ptCount val="1"/>
                <c:pt idx="0">
                  <c:v>Human Space Flight</c:v>
                </c:pt>
              </c:strCache>
            </c:strRef>
          </c:tx>
          <c:spPr>
            <a:solidFill>
              <a:schemeClr val="accent1"/>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DTE_demand_forecast!$C$62:$L$62</c:f>
              <c:numCache>
                <c:formatCode>0</c:formatCode>
                <c:ptCount val="10"/>
                <c:pt idx="0">
                  <c:v>695225.26900166669</c:v>
                </c:pt>
                <c:pt idx="1">
                  <c:v>694952.65458500001</c:v>
                </c:pt>
                <c:pt idx="2">
                  <c:v>693704.46733777772</c:v>
                </c:pt>
                <c:pt idx="3">
                  <c:v>694910.20989944437</c:v>
                </c:pt>
                <c:pt idx="4">
                  <c:v>694910.20989944437</c:v>
                </c:pt>
                <c:pt idx="5">
                  <c:v>694910.20989944437</c:v>
                </c:pt>
                <c:pt idx="6">
                  <c:v>694910.20989944437</c:v>
                </c:pt>
                <c:pt idx="7">
                  <c:v>694910.20989944437</c:v>
                </c:pt>
                <c:pt idx="8">
                  <c:v>694910.20989944437</c:v>
                </c:pt>
                <c:pt idx="9">
                  <c:v>694910.20989944437</c:v>
                </c:pt>
              </c:numCache>
            </c:numRef>
          </c:val>
          <c:extLst>
            <c:ext xmlns:c16="http://schemas.microsoft.com/office/drawing/2014/chart" uri="{C3380CC4-5D6E-409C-BE32-E72D297353CC}">
              <c16:uniqueId val="{00000000-E872-4F61-8DFE-34B643198BBD}"/>
            </c:ext>
          </c:extLst>
        </c:ser>
        <c:ser>
          <c:idx val="1"/>
          <c:order val="1"/>
          <c:tx>
            <c:strRef>
              <c:f>DTE_demand_forecast!$B$63</c:f>
              <c:strCache>
                <c:ptCount val="1"/>
                <c:pt idx="0">
                  <c:v>Near Earth Robotic - LEO Science</c:v>
                </c:pt>
              </c:strCache>
            </c:strRef>
          </c:tx>
          <c:spPr>
            <a:solidFill>
              <a:schemeClr val="accent2"/>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DTE_demand_forecast!$C$63:$L$63</c:f>
              <c:numCache>
                <c:formatCode>0</c:formatCode>
                <c:ptCount val="10"/>
                <c:pt idx="0">
                  <c:v>949239.69982833299</c:v>
                </c:pt>
                <c:pt idx="1">
                  <c:v>681372.56149365043</c:v>
                </c:pt>
                <c:pt idx="2">
                  <c:v>546030.30369714263</c:v>
                </c:pt>
                <c:pt idx="3">
                  <c:v>281284.76277857134</c:v>
                </c:pt>
                <c:pt idx="4">
                  <c:v>279032.46749468247</c:v>
                </c:pt>
                <c:pt idx="5">
                  <c:v>142108.30322817457</c:v>
                </c:pt>
                <c:pt idx="6">
                  <c:v>6934.8242899999996</c:v>
                </c:pt>
                <c:pt idx="7">
                  <c:v>3137.9728877777775</c:v>
                </c:pt>
                <c:pt idx="8">
                  <c:v>3137.9728877777775</c:v>
                </c:pt>
                <c:pt idx="9">
                  <c:v>3137.9728877777775</c:v>
                </c:pt>
              </c:numCache>
            </c:numRef>
          </c:val>
          <c:extLst>
            <c:ext xmlns:c16="http://schemas.microsoft.com/office/drawing/2014/chart" uri="{C3380CC4-5D6E-409C-BE32-E72D297353CC}">
              <c16:uniqueId val="{00000001-E872-4F61-8DFE-34B643198BBD}"/>
            </c:ext>
          </c:extLst>
        </c:ser>
        <c:ser>
          <c:idx val="2"/>
          <c:order val="2"/>
          <c:tx>
            <c:strRef>
              <c:f>DTE_demand_forecast!$B$64</c:f>
              <c:strCache>
                <c:ptCount val="1"/>
                <c:pt idx="0">
                  <c:v>Near Earth Robotic - GEO and Near Earth</c:v>
                </c:pt>
              </c:strCache>
            </c:strRef>
          </c:tx>
          <c:spPr>
            <a:solidFill>
              <a:schemeClr val="accent3"/>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DTE_demand_forecast!$C$64:$L$64</c:f>
              <c:numCache>
                <c:formatCode>0</c:formatCode>
                <c:ptCount val="10"/>
                <c:pt idx="0">
                  <c:v>15204.330498888885</c:v>
                </c:pt>
                <c:pt idx="1">
                  <c:v>15227.070671111109</c:v>
                </c:pt>
                <c:pt idx="2">
                  <c:v>8561.7364152380942</c:v>
                </c:pt>
                <c:pt idx="3">
                  <c:v>8561.7364152380942</c:v>
                </c:pt>
                <c:pt idx="4">
                  <c:v>8561.7364152380942</c:v>
                </c:pt>
                <c:pt idx="5">
                  <c:v>8561.7364152380942</c:v>
                </c:pt>
                <c:pt idx="6">
                  <c:v>8561.7364152380942</c:v>
                </c:pt>
                <c:pt idx="7">
                  <c:v>8561.7364152380942</c:v>
                </c:pt>
                <c:pt idx="8">
                  <c:v>8561.7364152380942</c:v>
                </c:pt>
                <c:pt idx="9">
                  <c:v>8561.7364152380942</c:v>
                </c:pt>
              </c:numCache>
            </c:numRef>
          </c:val>
          <c:extLst>
            <c:ext xmlns:c16="http://schemas.microsoft.com/office/drawing/2014/chart" uri="{C3380CC4-5D6E-409C-BE32-E72D297353CC}">
              <c16:uniqueId val="{00000002-E872-4F61-8DFE-34B643198BBD}"/>
            </c:ext>
          </c:extLst>
        </c:ser>
        <c:ser>
          <c:idx val="3"/>
          <c:order val="3"/>
          <c:tx>
            <c:strRef>
              <c:f>DTE_demand_forecast!$B$65</c:f>
              <c:strCache>
                <c:ptCount val="1"/>
                <c:pt idx="0">
                  <c:v>Deep Space Robotic</c:v>
                </c:pt>
              </c:strCache>
            </c:strRef>
          </c:tx>
          <c:spPr>
            <a:solidFill>
              <a:schemeClr val="accent4"/>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872-4F61-8DFE-34B643198BBD}"/>
            </c:ext>
          </c:extLst>
        </c:ser>
        <c:ser>
          <c:idx val="4"/>
          <c:order val="4"/>
          <c:tx>
            <c:strRef>
              <c:f>DTE_demand_forecast!$B$66</c:f>
              <c:strCache>
                <c:ptCount val="1"/>
                <c:pt idx="0">
                  <c:v>Near Earth Robotic - Low Latency &amp; Complex Needs</c:v>
                </c:pt>
              </c:strCache>
            </c:strRef>
          </c:tx>
          <c:spPr>
            <a:solidFill>
              <a:schemeClr val="accent5"/>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872-4F61-8DFE-34B643198BBD}"/>
            </c:ext>
          </c:extLst>
        </c:ser>
        <c:ser>
          <c:idx val="5"/>
          <c:order val="5"/>
          <c:tx>
            <c:strRef>
              <c:f>DTE_demand_forecast!$B$67</c:f>
              <c:strCache>
                <c:ptCount val="1"/>
                <c:pt idx="0">
                  <c:v>Mission Operations</c:v>
                </c:pt>
              </c:strCache>
            </c:strRef>
          </c:tx>
          <c:spPr>
            <a:solidFill>
              <a:schemeClr val="accent6"/>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872-4F61-8DFE-34B643198BBD}"/>
            </c:ext>
          </c:extLst>
        </c:ser>
        <c:ser>
          <c:idx val="6"/>
          <c:order val="6"/>
          <c:tx>
            <c:strRef>
              <c:f>DTE_demand_forecast!$B$68</c:f>
              <c:strCache>
                <c:ptCount val="1"/>
                <c:pt idx="0">
                  <c:v>Launch Events</c:v>
                </c:pt>
              </c:strCache>
            </c:strRef>
          </c:tx>
          <c:spPr>
            <a:solidFill>
              <a:schemeClr val="accent1">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DTE_demand_forecast!$C$68:$L$68</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E872-4F61-8DFE-34B643198BBD}"/>
            </c:ext>
          </c:extLst>
        </c:ser>
        <c:ser>
          <c:idx val="7"/>
          <c:order val="7"/>
          <c:tx>
            <c:strRef>
              <c:f>DTE_demand_forecast!$B$69</c:f>
              <c:strCache>
                <c:ptCount val="1"/>
                <c:pt idx="0">
                  <c:v>Terrestrial &amp; Aerial</c:v>
                </c:pt>
              </c:strCache>
            </c:strRef>
          </c:tx>
          <c:spPr>
            <a:solidFill>
              <a:schemeClr val="accent2">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DTE_demand_forecast!$C$69:$L$69</c:f>
              <c:numCache>
                <c:formatCode>0</c:formatCode>
                <c:ptCount val="10"/>
                <c:pt idx="0">
                  <c:v>90840.488670000021</c:v>
                </c:pt>
                <c:pt idx="1">
                  <c:v>90904.020058888913</c:v>
                </c:pt>
                <c:pt idx="2">
                  <c:v>90840.083114444467</c:v>
                </c:pt>
                <c:pt idx="3">
                  <c:v>90847.563392222248</c:v>
                </c:pt>
                <c:pt idx="4">
                  <c:v>90847.563392222248</c:v>
                </c:pt>
                <c:pt idx="5">
                  <c:v>89453.837836666688</c:v>
                </c:pt>
                <c:pt idx="6">
                  <c:v>89453.837836666688</c:v>
                </c:pt>
                <c:pt idx="7">
                  <c:v>89453.837836666688</c:v>
                </c:pt>
                <c:pt idx="8">
                  <c:v>89453.837836666688</c:v>
                </c:pt>
                <c:pt idx="9">
                  <c:v>89453.837836666688</c:v>
                </c:pt>
              </c:numCache>
            </c:numRef>
          </c:val>
          <c:extLst>
            <c:ext xmlns:c16="http://schemas.microsoft.com/office/drawing/2014/chart" uri="{C3380CC4-5D6E-409C-BE32-E72D297353CC}">
              <c16:uniqueId val="{00000007-E872-4F61-8DFE-34B643198BB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Use Case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32365848471122"/>
          <c:y val="0.10605799289048519"/>
          <c:w val="0.84171981825667663"/>
          <c:h val="0.61211338044219699"/>
        </c:manualLayout>
      </c:layout>
      <c:areaChart>
        <c:grouping val="stacked"/>
        <c:varyColors val="0"/>
        <c:ser>
          <c:idx val="0"/>
          <c:order val="0"/>
          <c:tx>
            <c:strRef>
              <c:f>DTE_demand_forecast!$B$141</c:f>
              <c:strCache>
                <c:ptCount val="1"/>
                <c:pt idx="0">
                  <c:v>Human Space Flight</c:v>
                </c:pt>
              </c:strCache>
            </c:strRef>
          </c:tx>
          <c:spPr>
            <a:solidFill>
              <a:schemeClr val="accent1"/>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DTE_demand_forecast!$C$141:$L$141</c:f>
              <c:numCache>
                <c:formatCode>0</c:formatCode>
                <c:ptCount val="10"/>
                <c:pt idx="0">
                  <c:v>695225.26900166669</c:v>
                </c:pt>
                <c:pt idx="1">
                  <c:v>694952.65458500001</c:v>
                </c:pt>
                <c:pt idx="2">
                  <c:v>693704.46733777772</c:v>
                </c:pt>
                <c:pt idx="3">
                  <c:v>694910.20989944437</c:v>
                </c:pt>
                <c:pt idx="4">
                  <c:v>694910.20989944437</c:v>
                </c:pt>
                <c:pt idx="5">
                  <c:v>694910.20989944437</c:v>
                </c:pt>
                <c:pt idx="6">
                  <c:v>694910.20989944437</c:v>
                </c:pt>
                <c:pt idx="7">
                  <c:v>694910.20989944437</c:v>
                </c:pt>
                <c:pt idx="8">
                  <c:v>694910.20989944437</c:v>
                </c:pt>
                <c:pt idx="9">
                  <c:v>694910.20989944437</c:v>
                </c:pt>
              </c:numCache>
            </c:numRef>
          </c:val>
          <c:extLst>
            <c:ext xmlns:c16="http://schemas.microsoft.com/office/drawing/2014/chart" uri="{C3380CC4-5D6E-409C-BE32-E72D297353CC}">
              <c16:uniqueId val="{00000000-913C-4311-8A91-9296C3F0C1DB}"/>
            </c:ext>
          </c:extLst>
        </c:ser>
        <c:ser>
          <c:idx val="1"/>
          <c:order val="1"/>
          <c:tx>
            <c:strRef>
              <c:f>DTE_demand_forecast!$B$142</c:f>
              <c:strCache>
                <c:ptCount val="1"/>
                <c:pt idx="0">
                  <c:v>Near Earth Robotic - LEO Science</c:v>
                </c:pt>
              </c:strCache>
            </c:strRef>
          </c:tx>
          <c:spPr>
            <a:solidFill>
              <a:schemeClr val="accent2"/>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DTE_demand_forecast!$C$142:$L$142</c:f>
              <c:numCache>
                <c:formatCode>0</c:formatCode>
                <c:ptCount val="10"/>
                <c:pt idx="0">
                  <c:v>949239.69982833299</c:v>
                </c:pt>
                <c:pt idx="1">
                  <c:v>681372.56149365043</c:v>
                </c:pt>
                <c:pt idx="2">
                  <c:v>546030.30369714263</c:v>
                </c:pt>
                <c:pt idx="3">
                  <c:v>281284.76277857134</c:v>
                </c:pt>
                <c:pt idx="4">
                  <c:v>279032.46749468247</c:v>
                </c:pt>
                <c:pt idx="5">
                  <c:v>142108.30322817457</c:v>
                </c:pt>
                <c:pt idx="6">
                  <c:v>6934.8242899999996</c:v>
                </c:pt>
                <c:pt idx="7">
                  <c:v>3137.9728877777775</c:v>
                </c:pt>
                <c:pt idx="8">
                  <c:v>3137.9728877777775</c:v>
                </c:pt>
                <c:pt idx="9">
                  <c:v>3137.9728877777775</c:v>
                </c:pt>
              </c:numCache>
            </c:numRef>
          </c:val>
          <c:extLst>
            <c:ext xmlns:c16="http://schemas.microsoft.com/office/drawing/2014/chart" uri="{C3380CC4-5D6E-409C-BE32-E72D297353CC}">
              <c16:uniqueId val="{00000001-913C-4311-8A91-9296C3F0C1DB}"/>
            </c:ext>
          </c:extLst>
        </c:ser>
        <c:ser>
          <c:idx val="2"/>
          <c:order val="2"/>
          <c:tx>
            <c:strRef>
              <c:f>DTE_demand_forecast!$B$143</c:f>
              <c:strCache>
                <c:ptCount val="1"/>
                <c:pt idx="0">
                  <c:v>Near Earth Robotic - GEO and Near Earth</c:v>
                </c:pt>
              </c:strCache>
            </c:strRef>
          </c:tx>
          <c:spPr>
            <a:solidFill>
              <a:schemeClr val="accent3"/>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DTE_demand_forecast!$C$143:$L$143</c:f>
              <c:numCache>
                <c:formatCode>0</c:formatCode>
                <c:ptCount val="10"/>
                <c:pt idx="0">
                  <c:v>15204.330498888885</c:v>
                </c:pt>
                <c:pt idx="1">
                  <c:v>15227.070671111109</c:v>
                </c:pt>
                <c:pt idx="2">
                  <c:v>8561.7364152380942</c:v>
                </c:pt>
                <c:pt idx="3">
                  <c:v>8561.7364152380942</c:v>
                </c:pt>
                <c:pt idx="4">
                  <c:v>8561.7364152380942</c:v>
                </c:pt>
                <c:pt idx="5">
                  <c:v>8561.7364152380942</c:v>
                </c:pt>
                <c:pt idx="6">
                  <c:v>8561.7364152380942</c:v>
                </c:pt>
                <c:pt idx="7">
                  <c:v>8561.7364152380942</c:v>
                </c:pt>
                <c:pt idx="8">
                  <c:v>8561.7364152380942</c:v>
                </c:pt>
                <c:pt idx="9">
                  <c:v>8561.7364152380942</c:v>
                </c:pt>
              </c:numCache>
            </c:numRef>
          </c:val>
          <c:extLst>
            <c:ext xmlns:c16="http://schemas.microsoft.com/office/drawing/2014/chart" uri="{C3380CC4-5D6E-409C-BE32-E72D297353CC}">
              <c16:uniqueId val="{00000002-913C-4311-8A91-9296C3F0C1DB}"/>
            </c:ext>
          </c:extLst>
        </c:ser>
        <c:ser>
          <c:idx val="3"/>
          <c:order val="3"/>
          <c:tx>
            <c:strRef>
              <c:f>DTE_demand_forecast!$B$144</c:f>
              <c:strCache>
                <c:ptCount val="1"/>
                <c:pt idx="0">
                  <c:v>Deep Space Robotic</c:v>
                </c:pt>
              </c:strCache>
            </c:strRef>
          </c:tx>
          <c:spPr>
            <a:solidFill>
              <a:schemeClr val="accent4"/>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13C-4311-8A91-9296C3F0C1DB}"/>
            </c:ext>
          </c:extLst>
        </c:ser>
        <c:ser>
          <c:idx val="4"/>
          <c:order val="4"/>
          <c:tx>
            <c:strRef>
              <c:f>DTE_demand_forecast!$B$145</c:f>
              <c:strCache>
                <c:ptCount val="1"/>
                <c:pt idx="0">
                  <c:v>Near Earth Robotic - Low Latency &amp; Complex Needs</c:v>
                </c:pt>
              </c:strCache>
            </c:strRef>
          </c:tx>
          <c:spPr>
            <a:solidFill>
              <a:schemeClr val="accent5"/>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13C-4311-8A91-9296C3F0C1DB}"/>
            </c:ext>
          </c:extLst>
        </c:ser>
        <c:ser>
          <c:idx val="5"/>
          <c:order val="5"/>
          <c:tx>
            <c:strRef>
              <c:f>DTE_demand_forecast!$B$146</c:f>
              <c:strCache>
                <c:ptCount val="1"/>
                <c:pt idx="0">
                  <c:v>Mission Operations</c:v>
                </c:pt>
              </c:strCache>
            </c:strRef>
          </c:tx>
          <c:spPr>
            <a:solidFill>
              <a:schemeClr val="accent6"/>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13C-4311-8A91-9296C3F0C1DB}"/>
            </c:ext>
          </c:extLst>
        </c:ser>
        <c:ser>
          <c:idx val="6"/>
          <c:order val="6"/>
          <c:tx>
            <c:strRef>
              <c:f>DTE_demand_forecast!$B$147</c:f>
              <c:strCache>
                <c:ptCount val="1"/>
                <c:pt idx="0">
                  <c:v>Launch Events</c:v>
                </c:pt>
              </c:strCache>
            </c:strRef>
          </c:tx>
          <c:spPr>
            <a:solidFill>
              <a:schemeClr val="accent1">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DTE_demand_forecast!$C$147:$L$147</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913C-4311-8A91-9296C3F0C1DB}"/>
            </c:ext>
          </c:extLst>
        </c:ser>
        <c:ser>
          <c:idx val="7"/>
          <c:order val="7"/>
          <c:tx>
            <c:strRef>
              <c:f>DTE_demand_forecast!$B$148</c:f>
              <c:strCache>
                <c:ptCount val="1"/>
                <c:pt idx="0">
                  <c:v>Terrestrial &amp; Aerial</c:v>
                </c:pt>
              </c:strCache>
            </c:strRef>
          </c:tx>
          <c:spPr>
            <a:solidFill>
              <a:schemeClr val="accent2">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DTE_demand_forecast!$C$148:$L$148</c:f>
              <c:numCache>
                <c:formatCode>0</c:formatCode>
                <c:ptCount val="10"/>
                <c:pt idx="0">
                  <c:v>90840.488670000021</c:v>
                </c:pt>
                <c:pt idx="1">
                  <c:v>90904.020058888913</c:v>
                </c:pt>
                <c:pt idx="2">
                  <c:v>90840.083114444467</c:v>
                </c:pt>
                <c:pt idx="3">
                  <c:v>90847.563392222248</c:v>
                </c:pt>
                <c:pt idx="4">
                  <c:v>90847.563392222248</c:v>
                </c:pt>
                <c:pt idx="5">
                  <c:v>89453.837836666688</c:v>
                </c:pt>
                <c:pt idx="6">
                  <c:v>89453.837836666688</c:v>
                </c:pt>
                <c:pt idx="7">
                  <c:v>89453.837836666688</c:v>
                </c:pt>
                <c:pt idx="8">
                  <c:v>89453.837836666688</c:v>
                </c:pt>
                <c:pt idx="9">
                  <c:v>89453.837836666688</c:v>
                </c:pt>
              </c:numCache>
            </c:numRef>
          </c:val>
          <c:extLst>
            <c:ext xmlns:c16="http://schemas.microsoft.com/office/drawing/2014/chart" uri="{C3380CC4-5D6E-409C-BE32-E72D297353CC}">
              <c16:uniqueId val="{00000007-913C-4311-8A91-9296C3F0C1DB}"/>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Use Case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55071182579744"/>
          <c:y val="0.10605799289048519"/>
          <c:w val="0.83749276491559022"/>
          <c:h val="0.59813085403477473"/>
        </c:manualLayout>
      </c:layout>
      <c:areaChart>
        <c:grouping val="stacked"/>
        <c:varyColors val="0"/>
        <c:ser>
          <c:idx val="0"/>
          <c:order val="0"/>
          <c:tx>
            <c:strRef>
              <c:f>DTE_demand_forecast!$B$220</c:f>
              <c:strCache>
                <c:ptCount val="1"/>
                <c:pt idx="0">
                  <c:v>Human Space Flight</c:v>
                </c:pt>
              </c:strCache>
            </c:strRef>
          </c:tx>
          <c:spPr>
            <a:solidFill>
              <a:schemeClr val="accent1"/>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DTE_demand_forecast!$C$220:$L$220</c:f>
              <c:numCache>
                <c:formatCode>0</c:formatCode>
                <c:ptCount val="10"/>
                <c:pt idx="0">
                  <c:v>695225.26900166669</c:v>
                </c:pt>
                <c:pt idx="1">
                  <c:v>694952.65458500001</c:v>
                </c:pt>
                <c:pt idx="2">
                  <c:v>693704.46733777772</c:v>
                </c:pt>
                <c:pt idx="3">
                  <c:v>694910.20989944437</c:v>
                </c:pt>
                <c:pt idx="4">
                  <c:v>694910.20989944437</c:v>
                </c:pt>
                <c:pt idx="5">
                  <c:v>694910.20989944437</c:v>
                </c:pt>
                <c:pt idx="6">
                  <c:v>694910.20989944437</c:v>
                </c:pt>
                <c:pt idx="7">
                  <c:v>694910.20989944437</c:v>
                </c:pt>
                <c:pt idx="8">
                  <c:v>694910.20989944437</c:v>
                </c:pt>
                <c:pt idx="9">
                  <c:v>694910.20989944437</c:v>
                </c:pt>
              </c:numCache>
            </c:numRef>
          </c:val>
          <c:extLst>
            <c:ext xmlns:c16="http://schemas.microsoft.com/office/drawing/2014/chart" uri="{C3380CC4-5D6E-409C-BE32-E72D297353CC}">
              <c16:uniqueId val="{00000000-1732-4A95-A67F-761C6DAD399F}"/>
            </c:ext>
          </c:extLst>
        </c:ser>
        <c:ser>
          <c:idx val="1"/>
          <c:order val="1"/>
          <c:tx>
            <c:strRef>
              <c:f>DTE_demand_forecast!$B$221</c:f>
              <c:strCache>
                <c:ptCount val="1"/>
                <c:pt idx="0">
                  <c:v>Near Earth Robotic - LEO Science</c:v>
                </c:pt>
              </c:strCache>
            </c:strRef>
          </c:tx>
          <c:spPr>
            <a:solidFill>
              <a:schemeClr val="accent2"/>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DTE_demand_forecast!$C$221:$L$221</c:f>
              <c:numCache>
                <c:formatCode>0</c:formatCode>
                <c:ptCount val="10"/>
                <c:pt idx="0">
                  <c:v>949239.69982833299</c:v>
                </c:pt>
                <c:pt idx="1">
                  <c:v>681372.56149365043</c:v>
                </c:pt>
                <c:pt idx="2">
                  <c:v>546030.30369714263</c:v>
                </c:pt>
                <c:pt idx="3">
                  <c:v>281284.76277857134</c:v>
                </c:pt>
                <c:pt idx="4">
                  <c:v>279032.46749468247</c:v>
                </c:pt>
                <c:pt idx="5">
                  <c:v>142108.30322817457</c:v>
                </c:pt>
                <c:pt idx="6">
                  <c:v>6934.8242899999996</c:v>
                </c:pt>
                <c:pt idx="7">
                  <c:v>3137.9728877777775</c:v>
                </c:pt>
                <c:pt idx="8">
                  <c:v>3137.9728877777775</c:v>
                </c:pt>
                <c:pt idx="9">
                  <c:v>3137.9728877777775</c:v>
                </c:pt>
              </c:numCache>
            </c:numRef>
          </c:val>
          <c:extLst>
            <c:ext xmlns:c16="http://schemas.microsoft.com/office/drawing/2014/chart" uri="{C3380CC4-5D6E-409C-BE32-E72D297353CC}">
              <c16:uniqueId val="{00000001-1732-4A95-A67F-761C6DAD399F}"/>
            </c:ext>
          </c:extLst>
        </c:ser>
        <c:ser>
          <c:idx val="2"/>
          <c:order val="2"/>
          <c:tx>
            <c:strRef>
              <c:f>DTE_demand_forecast!$B$222</c:f>
              <c:strCache>
                <c:ptCount val="1"/>
                <c:pt idx="0">
                  <c:v>Near Earth Robotic - GEO and Near Earth</c:v>
                </c:pt>
              </c:strCache>
            </c:strRef>
          </c:tx>
          <c:spPr>
            <a:solidFill>
              <a:schemeClr val="accent3"/>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DTE_demand_forecast!$C$222:$L$222</c:f>
              <c:numCache>
                <c:formatCode>0</c:formatCode>
                <c:ptCount val="10"/>
                <c:pt idx="0">
                  <c:v>15204.330498888885</c:v>
                </c:pt>
                <c:pt idx="1">
                  <c:v>15227.070671111109</c:v>
                </c:pt>
                <c:pt idx="2">
                  <c:v>8561.7364152380942</c:v>
                </c:pt>
                <c:pt idx="3">
                  <c:v>8561.7364152380942</c:v>
                </c:pt>
                <c:pt idx="4">
                  <c:v>8561.7364152380942</c:v>
                </c:pt>
                <c:pt idx="5">
                  <c:v>8561.7364152380942</c:v>
                </c:pt>
                <c:pt idx="6">
                  <c:v>8561.7364152380942</c:v>
                </c:pt>
                <c:pt idx="7">
                  <c:v>8561.7364152380942</c:v>
                </c:pt>
                <c:pt idx="8">
                  <c:v>8561.7364152380942</c:v>
                </c:pt>
                <c:pt idx="9">
                  <c:v>8561.7364152380942</c:v>
                </c:pt>
              </c:numCache>
            </c:numRef>
          </c:val>
          <c:extLst>
            <c:ext xmlns:c16="http://schemas.microsoft.com/office/drawing/2014/chart" uri="{C3380CC4-5D6E-409C-BE32-E72D297353CC}">
              <c16:uniqueId val="{00000002-1732-4A95-A67F-761C6DAD399F}"/>
            </c:ext>
          </c:extLst>
        </c:ser>
        <c:ser>
          <c:idx val="3"/>
          <c:order val="3"/>
          <c:tx>
            <c:strRef>
              <c:f>DTE_demand_forecast!$B$223</c:f>
              <c:strCache>
                <c:ptCount val="1"/>
                <c:pt idx="0">
                  <c:v>Deep Space Robotic</c:v>
                </c:pt>
              </c:strCache>
            </c:strRef>
          </c:tx>
          <c:spPr>
            <a:solidFill>
              <a:schemeClr val="accent4"/>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732-4A95-A67F-761C6DAD399F}"/>
            </c:ext>
          </c:extLst>
        </c:ser>
        <c:ser>
          <c:idx val="4"/>
          <c:order val="4"/>
          <c:tx>
            <c:strRef>
              <c:f>DTE_demand_forecast!$B$224</c:f>
              <c:strCache>
                <c:ptCount val="1"/>
                <c:pt idx="0">
                  <c:v>Near Earth Robotic - Low Latency &amp; Complex Needs</c:v>
                </c:pt>
              </c:strCache>
            </c:strRef>
          </c:tx>
          <c:spPr>
            <a:solidFill>
              <a:schemeClr val="accent5"/>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732-4A95-A67F-761C6DAD399F}"/>
            </c:ext>
          </c:extLst>
        </c:ser>
        <c:ser>
          <c:idx val="5"/>
          <c:order val="5"/>
          <c:tx>
            <c:strRef>
              <c:f>DTE_demand_forecast!$B$225</c:f>
              <c:strCache>
                <c:ptCount val="1"/>
                <c:pt idx="0">
                  <c:v>Mission Operations</c:v>
                </c:pt>
              </c:strCache>
            </c:strRef>
          </c:tx>
          <c:spPr>
            <a:solidFill>
              <a:schemeClr val="accent6"/>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DTE_demand_forecast!$C$225:$L$225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732-4A95-A67F-761C6DAD399F}"/>
            </c:ext>
          </c:extLst>
        </c:ser>
        <c:ser>
          <c:idx val="6"/>
          <c:order val="6"/>
          <c:tx>
            <c:strRef>
              <c:f>DTE_demand_forecast!$B$226</c:f>
              <c:strCache>
                <c:ptCount val="1"/>
                <c:pt idx="0">
                  <c:v>Launch Events</c:v>
                </c:pt>
              </c:strCache>
            </c:strRef>
          </c:tx>
          <c:spPr>
            <a:solidFill>
              <a:schemeClr val="accent1">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DTE_demand_forecast!$C$226:$L$226</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1732-4A95-A67F-761C6DAD399F}"/>
            </c:ext>
          </c:extLst>
        </c:ser>
        <c:ser>
          <c:idx val="7"/>
          <c:order val="7"/>
          <c:tx>
            <c:strRef>
              <c:f>DTE_demand_forecast!$B$227</c:f>
              <c:strCache>
                <c:ptCount val="1"/>
                <c:pt idx="0">
                  <c:v>Terrestrial &amp; Aerial</c:v>
                </c:pt>
              </c:strCache>
            </c:strRef>
          </c:tx>
          <c:spPr>
            <a:solidFill>
              <a:schemeClr val="accent2">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DTE_demand_forecast!$C$227:$L$227</c:f>
              <c:numCache>
                <c:formatCode>0</c:formatCode>
                <c:ptCount val="10"/>
                <c:pt idx="0">
                  <c:v>90840.488670000021</c:v>
                </c:pt>
                <c:pt idx="1">
                  <c:v>90904.020058888913</c:v>
                </c:pt>
                <c:pt idx="2">
                  <c:v>90840.083114444467</c:v>
                </c:pt>
                <c:pt idx="3">
                  <c:v>90847.563392222248</c:v>
                </c:pt>
                <c:pt idx="4">
                  <c:v>90847.563392222248</c:v>
                </c:pt>
                <c:pt idx="5">
                  <c:v>89453.837836666688</c:v>
                </c:pt>
                <c:pt idx="6">
                  <c:v>89453.837836666688</c:v>
                </c:pt>
                <c:pt idx="7">
                  <c:v>89453.837836666688</c:v>
                </c:pt>
                <c:pt idx="8">
                  <c:v>89453.837836666688</c:v>
                </c:pt>
                <c:pt idx="9">
                  <c:v>89453.837836666688</c:v>
                </c:pt>
              </c:numCache>
            </c:numRef>
          </c:val>
          <c:extLst>
            <c:ext xmlns:c16="http://schemas.microsoft.com/office/drawing/2014/chart" uri="{C3380CC4-5D6E-409C-BE32-E72D297353CC}">
              <c16:uniqueId val="{00000007-1732-4A95-A67F-761C6DAD399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SR_demand_forecast!$B$56</c:f>
              <c:strCache>
                <c:ptCount val="1"/>
                <c:pt idx="0">
                  <c:v>Human Space Flight</c:v>
                </c:pt>
              </c:strCache>
            </c:strRef>
          </c:tx>
          <c:spPr>
            <a:solidFill>
              <a:schemeClr val="accent1"/>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SR_demand_forecast!$C$56:$L$56</c:f>
              <c:numCache>
                <c:formatCode>_(* #,##0_);_(* \(#,##0\);_(* "-"??_);_(@_)</c:formatCode>
                <c:ptCount val="10"/>
                <c:pt idx="0">
                  <c:v>459516</c:v>
                </c:pt>
                <c:pt idx="1">
                  <c:v>459516</c:v>
                </c:pt>
                <c:pt idx="2">
                  <c:v>459516</c:v>
                </c:pt>
                <c:pt idx="3">
                  <c:v>459516</c:v>
                </c:pt>
                <c:pt idx="4">
                  <c:v>459516</c:v>
                </c:pt>
                <c:pt idx="5">
                  <c:v>459516</c:v>
                </c:pt>
                <c:pt idx="6">
                  <c:v>459516</c:v>
                </c:pt>
                <c:pt idx="7">
                  <c:v>459516</c:v>
                </c:pt>
                <c:pt idx="8">
                  <c:v>459516</c:v>
                </c:pt>
                <c:pt idx="9">
                  <c:v>459516</c:v>
                </c:pt>
              </c:numCache>
            </c:numRef>
          </c:val>
          <c:extLst>
            <c:ext xmlns:c16="http://schemas.microsoft.com/office/drawing/2014/chart" uri="{C3380CC4-5D6E-409C-BE32-E72D297353CC}">
              <c16:uniqueId val="{00000000-812D-46C2-B8E9-BDC041A77361}"/>
            </c:ext>
          </c:extLst>
        </c:ser>
        <c:ser>
          <c:idx val="1"/>
          <c:order val="1"/>
          <c:tx>
            <c:strRef>
              <c:f>SR_demand_forecast!$B$57</c:f>
              <c:strCache>
                <c:ptCount val="1"/>
                <c:pt idx="0">
                  <c:v>Near Earth Robotic - LEO Science</c:v>
                </c:pt>
              </c:strCache>
            </c:strRef>
          </c:tx>
          <c:spPr>
            <a:solidFill>
              <a:schemeClr val="accent2"/>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SR_demand_forecast!$C$57:$L$57</c:f>
              <c:numCache>
                <c:formatCode>_(* #,##0_);_(* \(#,##0\);_(* "-"??_);_(@_)</c:formatCode>
                <c:ptCount val="10"/>
                <c:pt idx="0">
                  <c:v>1100945.5555555555</c:v>
                </c:pt>
                <c:pt idx="1">
                  <c:v>900844.38888888888</c:v>
                </c:pt>
                <c:pt idx="2">
                  <c:v>900844.38888888888</c:v>
                </c:pt>
                <c:pt idx="3">
                  <c:v>767443.61111111112</c:v>
                </c:pt>
                <c:pt idx="4">
                  <c:v>600303.5</c:v>
                </c:pt>
                <c:pt idx="5">
                  <c:v>400202.33333333331</c:v>
                </c:pt>
                <c:pt idx="6">
                  <c:v>200101.16666666669</c:v>
                </c:pt>
                <c:pt idx="7">
                  <c:v>66700.388888888891</c:v>
                </c:pt>
                <c:pt idx="8">
                  <c:v>66700.388888888891</c:v>
                </c:pt>
                <c:pt idx="9">
                  <c:v>66700.388888888891</c:v>
                </c:pt>
              </c:numCache>
            </c:numRef>
          </c:val>
          <c:extLst>
            <c:ext xmlns:c16="http://schemas.microsoft.com/office/drawing/2014/chart" uri="{C3380CC4-5D6E-409C-BE32-E72D297353CC}">
              <c16:uniqueId val="{00000001-812D-46C2-B8E9-BDC041A77361}"/>
            </c:ext>
          </c:extLst>
        </c:ser>
        <c:ser>
          <c:idx val="2"/>
          <c:order val="2"/>
          <c:tx>
            <c:strRef>
              <c:f>SR_demand_forecast!$B$58</c:f>
              <c:strCache>
                <c:ptCount val="1"/>
                <c:pt idx="0">
                  <c:v>Near Earth Robotic - GEO and Near Earth</c:v>
                </c:pt>
              </c:strCache>
            </c:strRef>
          </c:tx>
          <c:spPr>
            <a:solidFill>
              <a:schemeClr val="accent3"/>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SR_demand_forecast!$C$58:$L$58</c:f>
              <c:numCache>
                <c:formatCode>_(* #,##0_);_(* \(#,##0\);_(* "-"??_);_(@_)</c:formatCode>
                <c:ptCount val="10"/>
                <c:pt idx="0">
                  <c:v>7092.8571428571431</c:v>
                </c:pt>
                <c:pt idx="1">
                  <c:v>7092.8571428571431</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12D-46C2-B8E9-BDC041A77361}"/>
            </c:ext>
          </c:extLst>
        </c:ser>
        <c:ser>
          <c:idx val="3"/>
          <c:order val="3"/>
          <c:tx>
            <c:strRef>
              <c:f>SR_demand_forecast!$B$59</c:f>
              <c:strCache>
                <c:ptCount val="1"/>
                <c:pt idx="0">
                  <c:v>Deep Space Robotic</c:v>
                </c:pt>
              </c:strCache>
            </c:strRef>
          </c:tx>
          <c:spPr>
            <a:solidFill>
              <a:schemeClr val="accent4"/>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12D-46C2-B8E9-BDC041A77361}"/>
            </c:ext>
          </c:extLst>
        </c:ser>
        <c:ser>
          <c:idx val="4"/>
          <c:order val="4"/>
          <c:tx>
            <c:strRef>
              <c:f>SR_demand_forecast!$B$60</c:f>
              <c:strCache>
                <c:ptCount val="1"/>
                <c:pt idx="0">
                  <c:v>Near Earth Robotic - Low Latency &amp; Complex Needs</c:v>
                </c:pt>
              </c:strCache>
            </c:strRef>
          </c:tx>
          <c:spPr>
            <a:solidFill>
              <a:schemeClr val="accent5"/>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SR_demand_forecast!$C$60:$L$60</c:f>
              <c:numCache>
                <c:formatCode>_(* #,##0_);_(* \(#,##0\);_(* "-"??_);_(@_)</c:formatCode>
                <c:ptCount val="10"/>
                <c:pt idx="0">
                  <c:v>460.5</c:v>
                </c:pt>
                <c:pt idx="1">
                  <c:v>460.5</c:v>
                </c:pt>
                <c:pt idx="2">
                  <c:v>460.5</c:v>
                </c:pt>
                <c:pt idx="3">
                  <c:v>460.5</c:v>
                </c:pt>
                <c:pt idx="4">
                  <c:v>0</c:v>
                </c:pt>
                <c:pt idx="5">
                  <c:v>0</c:v>
                </c:pt>
                <c:pt idx="6">
                  <c:v>0</c:v>
                </c:pt>
                <c:pt idx="7">
                  <c:v>0</c:v>
                </c:pt>
                <c:pt idx="8">
                  <c:v>0</c:v>
                </c:pt>
                <c:pt idx="9">
                  <c:v>0</c:v>
                </c:pt>
              </c:numCache>
            </c:numRef>
          </c:val>
          <c:extLst>
            <c:ext xmlns:c16="http://schemas.microsoft.com/office/drawing/2014/chart" uri="{C3380CC4-5D6E-409C-BE32-E72D297353CC}">
              <c16:uniqueId val="{00000004-812D-46C2-B8E9-BDC041A77361}"/>
            </c:ext>
          </c:extLst>
        </c:ser>
        <c:ser>
          <c:idx val="5"/>
          <c:order val="5"/>
          <c:tx>
            <c:strRef>
              <c:f>SR_demand_forecast!$B$61</c:f>
              <c:strCache>
                <c:ptCount val="1"/>
                <c:pt idx="0">
                  <c:v>Mission Operations</c:v>
                </c:pt>
              </c:strCache>
            </c:strRef>
          </c:tx>
          <c:spPr>
            <a:solidFill>
              <a:schemeClr val="accent6"/>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12D-46C2-B8E9-BDC041A77361}"/>
            </c:ext>
          </c:extLst>
        </c:ser>
        <c:ser>
          <c:idx val="6"/>
          <c:order val="6"/>
          <c:tx>
            <c:strRef>
              <c:f>SR_demand_forecast!$B$62</c:f>
              <c:strCache>
                <c:ptCount val="1"/>
                <c:pt idx="0">
                  <c:v>Launch Events</c:v>
                </c:pt>
              </c:strCache>
            </c:strRef>
          </c:tx>
          <c:spPr>
            <a:solidFill>
              <a:schemeClr val="accent1">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SR_demand_forecast!$C$62:$L$62</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812D-46C2-B8E9-BDC041A77361}"/>
            </c:ext>
          </c:extLst>
        </c:ser>
        <c:ser>
          <c:idx val="7"/>
          <c:order val="7"/>
          <c:tx>
            <c:strRef>
              <c:f>SR_demand_forecast!$B$63</c:f>
              <c:strCache>
                <c:ptCount val="1"/>
                <c:pt idx="0">
                  <c:v>Terrestrial &amp; Aerial</c:v>
                </c:pt>
              </c:strCache>
            </c:strRef>
          </c:tx>
          <c:spPr>
            <a:solidFill>
              <a:schemeClr val="accent2">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SR_demand_forecast!$C$63:$L$63</c:f>
              <c:numCache>
                <c:formatCode>_(* #,##0_);_(* \(#,##0\);_(* "-"??_);_(@_)</c:formatCode>
                <c:ptCount val="10"/>
                <c:pt idx="0">
                  <c:v>101218</c:v>
                </c:pt>
                <c:pt idx="1">
                  <c:v>67478.666666666672</c:v>
                </c:pt>
                <c:pt idx="2">
                  <c:v>67478.666666666672</c:v>
                </c:pt>
                <c:pt idx="3">
                  <c:v>67478.666666666672</c:v>
                </c:pt>
                <c:pt idx="4">
                  <c:v>67478.666666666672</c:v>
                </c:pt>
                <c:pt idx="5">
                  <c:v>33739.333333333336</c:v>
                </c:pt>
                <c:pt idx="6">
                  <c:v>33739.333333333336</c:v>
                </c:pt>
                <c:pt idx="7">
                  <c:v>33739.333333333336</c:v>
                </c:pt>
                <c:pt idx="8">
                  <c:v>33739.333333333336</c:v>
                </c:pt>
                <c:pt idx="9">
                  <c:v>33739.333333333336</c:v>
                </c:pt>
              </c:numCache>
            </c:numRef>
          </c:val>
          <c:extLst>
            <c:ext xmlns:c16="http://schemas.microsoft.com/office/drawing/2014/chart" uri="{C3380CC4-5D6E-409C-BE32-E72D297353CC}">
              <c16:uniqueId val="{00000007-812D-46C2-B8E9-BDC041A7736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SR_demand_forecast!$B$129</c:f>
              <c:strCache>
                <c:ptCount val="1"/>
                <c:pt idx="0">
                  <c:v>Human Space Flight</c:v>
                </c:pt>
              </c:strCache>
            </c:strRef>
          </c:tx>
          <c:spPr>
            <a:solidFill>
              <a:schemeClr val="accent1"/>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SR_demand_forecast!$C$129:$L$129</c:f>
              <c:numCache>
                <c:formatCode>_(* #,##0_);_(* \(#,##0\);_(* "-"??_);_(@_)</c:formatCode>
                <c:ptCount val="10"/>
                <c:pt idx="0">
                  <c:v>459516</c:v>
                </c:pt>
                <c:pt idx="1">
                  <c:v>459516</c:v>
                </c:pt>
                <c:pt idx="2">
                  <c:v>459516</c:v>
                </c:pt>
                <c:pt idx="3">
                  <c:v>459516</c:v>
                </c:pt>
                <c:pt idx="4">
                  <c:v>459516</c:v>
                </c:pt>
                <c:pt idx="5">
                  <c:v>459516</c:v>
                </c:pt>
                <c:pt idx="6">
                  <c:v>459516</c:v>
                </c:pt>
                <c:pt idx="7">
                  <c:v>459516</c:v>
                </c:pt>
                <c:pt idx="8">
                  <c:v>459516</c:v>
                </c:pt>
                <c:pt idx="9">
                  <c:v>459516</c:v>
                </c:pt>
              </c:numCache>
            </c:numRef>
          </c:val>
          <c:extLst>
            <c:ext xmlns:c16="http://schemas.microsoft.com/office/drawing/2014/chart" uri="{C3380CC4-5D6E-409C-BE32-E72D297353CC}">
              <c16:uniqueId val="{00000000-F0DD-4D54-A988-F5E7E318FB2A}"/>
            </c:ext>
          </c:extLst>
        </c:ser>
        <c:ser>
          <c:idx val="1"/>
          <c:order val="1"/>
          <c:tx>
            <c:strRef>
              <c:f>SR_demand_forecast!$B$130</c:f>
              <c:strCache>
                <c:ptCount val="1"/>
                <c:pt idx="0">
                  <c:v>Near Earth Robotic - LEO Science</c:v>
                </c:pt>
              </c:strCache>
            </c:strRef>
          </c:tx>
          <c:spPr>
            <a:solidFill>
              <a:schemeClr val="accent2"/>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SR_demand_forecast!$C$130:$L$130</c:f>
              <c:numCache>
                <c:formatCode>_(* #,##0_);_(* \(#,##0\);_(* "-"??_);_(@_)</c:formatCode>
                <c:ptCount val="10"/>
                <c:pt idx="0">
                  <c:v>1100945.5555555555</c:v>
                </c:pt>
                <c:pt idx="1">
                  <c:v>900844.38888888888</c:v>
                </c:pt>
                <c:pt idx="2">
                  <c:v>900844.38888888888</c:v>
                </c:pt>
                <c:pt idx="3">
                  <c:v>767443.61111111112</c:v>
                </c:pt>
                <c:pt idx="4">
                  <c:v>600303.5</c:v>
                </c:pt>
                <c:pt idx="5">
                  <c:v>400202.33333333331</c:v>
                </c:pt>
                <c:pt idx="6">
                  <c:v>200101.16666666669</c:v>
                </c:pt>
                <c:pt idx="7">
                  <c:v>66700.388888888891</c:v>
                </c:pt>
                <c:pt idx="8">
                  <c:v>66700.388888888891</c:v>
                </c:pt>
                <c:pt idx="9">
                  <c:v>66700.388888888891</c:v>
                </c:pt>
              </c:numCache>
            </c:numRef>
          </c:val>
          <c:extLst>
            <c:ext xmlns:c16="http://schemas.microsoft.com/office/drawing/2014/chart" uri="{C3380CC4-5D6E-409C-BE32-E72D297353CC}">
              <c16:uniqueId val="{00000001-F0DD-4D54-A988-F5E7E318FB2A}"/>
            </c:ext>
          </c:extLst>
        </c:ser>
        <c:ser>
          <c:idx val="2"/>
          <c:order val="2"/>
          <c:tx>
            <c:strRef>
              <c:f>SR_demand_forecast!$B$131</c:f>
              <c:strCache>
                <c:ptCount val="1"/>
                <c:pt idx="0">
                  <c:v>Near Earth Robotic - GEO and Near Earth</c:v>
                </c:pt>
              </c:strCache>
            </c:strRef>
          </c:tx>
          <c:spPr>
            <a:solidFill>
              <a:schemeClr val="accent3"/>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SR_demand_forecast!$C$131:$L$131</c:f>
              <c:numCache>
                <c:formatCode>_(* #,##0_);_(* \(#,##0\);_(* "-"??_);_(@_)</c:formatCode>
                <c:ptCount val="10"/>
                <c:pt idx="0">
                  <c:v>7092.8571428571431</c:v>
                </c:pt>
                <c:pt idx="1">
                  <c:v>7092.8571428571431</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0DD-4D54-A988-F5E7E318FB2A}"/>
            </c:ext>
          </c:extLst>
        </c:ser>
        <c:ser>
          <c:idx val="3"/>
          <c:order val="3"/>
          <c:tx>
            <c:strRef>
              <c:f>SR_demand_forecast!$B$132</c:f>
              <c:strCache>
                <c:ptCount val="1"/>
                <c:pt idx="0">
                  <c:v>Deep Space Robotic</c:v>
                </c:pt>
              </c:strCache>
            </c:strRef>
          </c:tx>
          <c:spPr>
            <a:solidFill>
              <a:schemeClr val="accent4"/>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SR_demand_forecast!$C$132:$L$132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0DD-4D54-A988-F5E7E318FB2A}"/>
            </c:ext>
          </c:extLst>
        </c:ser>
        <c:ser>
          <c:idx val="4"/>
          <c:order val="4"/>
          <c:tx>
            <c:strRef>
              <c:f>SR_demand_forecast!$B$133</c:f>
              <c:strCache>
                <c:ptCount val="1"/>
                <c:pt idx="0">
                  <c:v>Near Earth Robotic - Low Latency &amp; Complex Needs</c:v>
                </c:pt>
              </c:strCache>
            </c:strRef>
          </c:tx>
          <c:spPr>
            <a:solidFill>
              <a:schemeClr val="accent5"/>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SR_demand_forecast!$C$133:$L$133</c:f>
              <c:numCache>
                <c:formatCode>_(* #,##0_);_(* \(#,##0\);_(* "-"??_);_(@_)</c:formatCode>
                <c:ptCount val="10"/>
                <c:pt idx="0">
                  <c:v>460.5</c:v>
                </c:pt>
                <c:pt idx="1">
                  <c:v>460.5</c:v>
                </c:pt>
                <c:pt idx="2">
                  <c:v>460.5</c:v>
                </c:pt>
                <c:pt idx="3">
                  <c:v>460.5</c:v>
                </c:pt>
                <c:pt idx="4">
                  <c:v>0</c:v>
                </c:pt>
                <c:pt idx="5">
                  <c:v>0</c:v>
                </c:pt>
                <c:pt idx="6">
                  <c:v>0</c:v>
                </c:pt>
                <c:pt idx="7">
                  <c:v>0</c:v>
                </c:pt>
                <c:pt idx="8">
                  <c:v>0</c:v>
                </c:pt>
                <c:pt idx="9">
                  <c:v>0</c:v>
                </c:pt>
              </c:numCache>
            </c:numRef>
          </c:val>
          <c:extLst>
            <c:ext xmlns:c16="http://schemas.microsoft.com/office/drawing/2014/chart" uri="{C3380CC4-5D6E-409C-BE32-E72D297353CC}">
              <c16:uniqueId val="{00000004-F0DD-4D54-A988-F5E7E318FB2A}"/>
            </c:ext>
          </c:extLst>
        </c:ser>
        <c:ser>
          <c:idx val="5"/>
          <c:order val="5"/>
          <c:tx>
            <c:strRef>
              <c:f>SR_demand_forecast!$B$134</c:f>
              <c:strCache>
                <c:ptCount val="1"/>
                <c:pt idx="0">
                  <c:v>Mission Operations</c:v>
                </c:pt>
              </c:strCache>
            </c:strRef>
          </c:tx>
          <c:spPr>
            <a:solidFill>
              <a:schemeClr val="accent6"/>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0DD-4D54-A988-F5E7E318FB2A}"/>
            </c:ext>
          </c:extLst>
        </c:ser>
        <c:ser>
          <c:idx val="6"/>
          <c:order val="6"/>
          <c:tx>
            <c:strRef>
              <c:f>SR_demand_forecast!$B$135</c:f>
              <c:strCache>
                <c:ptCount val="1"/>
                <c:pt idx="0">
                  <c:v>Launch Events</c:v>
                </c:pt>
              </c:strCache>
            </c:strRef>
          </c:tx>
          <c:spPr>
            <a:solidFill>
              <a:schemeClr val="accent1">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SR_demand_forecast!$C$135:$L$135</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F0DD-4D54-A988-F5E7E318FB2A}"/>
            </c:ext>
          </c:extLst>
        </c:ser>
        <c:ser>
          <c:idx val="7"/>
          <c:order val="7"/>
          <c:tx>
            <c:strRef>
              <c:f>SR_demand_forecast!$B$136</c:f>
              <c:strCache>
                <c:ptCount val="1"/>
                <c:pt idx="0">
                  <c:v>Terrestrial &amp; Aerial</c:v>
                </c:pt>
              </c:strCache>
            </c:strRef>
          </c:tx>
          <c:spPr>
            <a:solidFill>
              <a:schemeClr val="accent2">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SR_demand_forecast!$C$136:$L$136</c:f>
              <c:numCache>
                <c:formatCode>_(* #,##0_);_(* \(#,##0\);_(* "-"??_);_(@_)</c:formatCode>
                <c:ptCount val="10"/>
                <c:pt idx="0">
                  <c:v>101218</c:v>
                </c:pt>
                <c:pt idx="1">
                  <c:v>67478.666666666672</c:v>
                </c:pt>
                <c:pt idx="2">
                  <c:v>67478.666666666672</c:v>
                </c:pt>
                <c:pt idx="3">
                  <c:v>67478.666666666672</c:v>
                </c:pt>
                <c:pt idx="4">
                  <c:v>67478.666666666672</c:v>
                </c:pt>
                <c:pt idx="5">
                  <c:v>33739.333333333336</c:v>
                </c:pt>
                <c:pt idx="6">
                  <c:v>33739.333333333336</c:v>
                </c:pt>
                <c:pt idx="7">
                  <c:v>33739.333333333336</c:v>
                </c:pt>
                <c:pt idx="8">
                  <c:v>33739.333333333336</c:v>
                </c:pt>
                <c:pt idx="9">
                  <c:v>33739.333333333336</c:v>
                </c:pt>
              </c:numCache>
            </c:numRef>
          </c:val>
          <c:extLst>
            <c:ext xmlns:c16="http://schemas.microsoft.com/office/drawing/2014/chart" uri="{C3380CC4-5D6E-409C-BE32-E72D297353CC}">
              <c16:uniqueId val="{00000007-F0DD-4D54-A988-F5E7E318FB2A}"/>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SR_demand_forecast!$B$202</c:f>
              <c:strCache>
                <c:ptCount val="1"/>
                <c:pt idx="0">
                  <c:v>Human Space Flight</c:v>
                </c:pt>
              </c:strCache>
            </c:strRef>
          </c:tx>
          <c:spPr>
            <a:solidFill>
              <a:schemeClr val="accent1"/>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SR_demand_forecast!$C$202:$L$202</c:f>
              <c:numCache>
                <c:formatCode>_(* #,##0_);_(* \(#,##0\);_(* "-"??_);_(@_)</c:formatCode>
                <c:ptCount val="10"/>
                <c:pt idx="0">
                  <c:v>459516</c:v>
                </c:pt>
                <c:pt idx="1">
                  <c:v>459516</c:v>
                </c:pt>
                <c:pt idx="2">
                  <c:v>459516</c:v>
                </c:pt>
                <c:pt idx="3">
                  <c:v>459516</c:v>
                </c:pt>
                <c:pt idx="4">
                  <c:v>459516</c:v>
                </c:pt>
                <c:pt idx="5">
                  <c:v>459516</c:v>
                </c:pt>
                <c:pt idx="6">
                  <c:v>459516</c:v>
                </c:pt>
                <c:pt idx="7">
                  <c:v>459516</c:v>
                </c:pt>
                <c:pt idx="8">
                  <c:v>459516</c:v>
                </c:pt>
                <c:pt idx="9">
                  <c:v>459516</c:v>
                </c:pt>
              </c:numCache>
            </c:numRef>
          </c:val>
          <c:extLst>
            <c:ext xmlns:c16="http://schemas.microsoft.com/office/drawing/2014/chart" uri="{C3380CC4-5D6E-409C-BE32-E72D297353CC}">
              <c16:uniqueId val="{00000000-6A1B-43B0-AF7B-454660B689E0}"/>
            </c:ext>
          </c:extLst>
        </c:ser>
        <c:ser>
          <c:idx val="1"/>
          <c:order val="1"/>
          <c:tx>
            <c:strRef>
              <c:f>SR_demand_forecast!$B$203</c:f>
              <c:strCache>
                <c:ptCount val="1"/>
                <c:pt idx="0">
                  <c:v>Near Earth Robotic - LEO Science</c:v>
                </c:pt>
              </c:strCache>
            </c:strRef>
          </c:tx>
          <c:spPr>
            <a:solidFill>
              <a:schemeClr val="accent2"/>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SR_demand_forecast!$C$203:$L$203</c:f>
              <c:numCache>
                <c:formatCode>_(* #,##0_);_(* \(#,##0\);_(* "-"??_);_(@_)</c:formatCode>
                <c:ptCount val="10"/>
                <c:pt idx="0">
                  <c:v>1100945.5555555555</c:v>
                </c:pt>
                <c:pt idx="1">
                  <c:v>900844.38888888888</c:v>
                </c:pt>
                <c:pt idx="2">
                  <c:v>900844.38888888888</c:v>
                </c:pt>
                <c:pt idx="3">
                  <c:v>767443.61111111112</c:v>
                </c:pt>
                <c:pt idx="4">
                  <c:v>600303.5</c:v>
                </c:pt>
                <c:pt idx="5">
                  <c:v>400202.33333333331</c:v>
                </c:pt>
                <c:pt idx="6">
                  <c:v>200101.16666666669</c:v>
                </c:pt>
                <c:pt idx="7">
                  <c:v>66700.388888888891</c:v>
                </c:pt>
                <c:pt idx="8">
                  <c:v>66700.388888888891</c:v>
                </c:pt>
                <c:pt idx="9">
                  <c:v>66700.388888888891</c:v>
                </c:pt>
              </c:numCache>
            </c:numRef>
          </c:val>
          <c:extLst>
            <c:ext xmlns:c16="http://schemas.microsoft.com/office/drawing/2014/chart" uri="{C3380CC4-5D6E-409C-BE32-E72D297353CC}">
              <c16:uniqueId val="{00000001-6A1B-43B0-AF7B-454660B689E0}"/>
            </c:ext>
          </c:extLst>
        </c:ser>
        <c:ser>
          <c:idx val="2"/>
          <c:order val="2"/>
          <c:tx>
            <c:strRef>
              <c:f>SR_demand_forecast!$B$204</c:f>
              <c:strCache>
                <c:ptCount val="1"/>
                <c:pt idx="0">
                  <c:v>Near Earth Robotic - GEO and Near Earth</c:v>
                </c:pt>
              </c:strCache>
            </c:strRef>
          </c:tx>
          <c:spPr>
            <a:solidFill>
              <a:schemeClr val="accent3"/>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SR_demand_forecast!$C$204:$L$204</c:f>
              <c:numCache>
                <c:formatCode>_(* #,##0_);_(* \(#,##0\);_(* "-"??_);_(@_)</c:formatCode>
                <c:ptCount val="10"/>
                <c:pt idx="0">
                  <c:v>7092.8571428571431</c:v>
                </c:pt>
                <c:pt idx="1">
                  <c:v>7092.8571428571431</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6A1B-43B0-AF7B-454660B689E0}"/>
            </c:ext>
          </c:extLst>
        </c:ser>
        <c:ser>
          <c:idx val="3"/>
          <c:order val="3"/>
          <c:tx>
            <c:strRef>
              <c:f>SR_demand_forecast!$B$205</c:f>
              <c:strCache>
                <c:ptCount val="1"/>
                <c:pt idx="0">
                  <c:v>Deep Space Robotic</c:v>
                </c:pt>
              </c:strCache>
            </c:strRef>
          </c:tx>
          <c:spPr>
            <a:solidFill>
              <a:schemeClr val="accent4"/>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SR_demand_forecast!$C$205:$L$205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A1B-43B0-AF7B-454660B689E0}"/>
            </c:ext>
          </c:extLst>
        </c:ser>
        <c:ser>
          <c:idx val="4"/>
          <c:order val="4"/>
          <c:tx>
            <c:strRef>
              <c:f>SR_demand_forecast!$B$206</c:f>
              <c:strCache>
                <c:ptCount val="1"/>
                <c:pt idx="0">
                  <c:v>Near Earth Robotic - Low Latency &amp; Complex Needs</c:v>
                </c:pt>
              </c:strCache>
            </c:strRef>
          </c:tx>
          <c:spPr>
            <a:solidFill>
              <a:schemeClr val="accent5"/>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SR_demand_forecast!$C$206:$L$206</c:f>
              <c:numCache>
                <c:formatCode>_(* #,##0_);_(* \(#,##0\);_(* "-"??_);_(@_)</c:formatCode>
                <c:ptCount val="10"/>
                <c:pt idx="0">
                  <c:v>460.5</c:v>
                </c:pt>
                <c:pt idx="1">
                  <c:v>460.5</c:v>
                </c:pt>
                <c:pt idx="2">
                  <c:v>460.5</c:v>
                </c:pt>
                <c:pt idx="3">
                  <c:v>460.5</c:v>
                </c:pt>
                <c:pt idx="4">
                  <c:v>0</c:v>
                </c:pt>
                <c:pt idx="5">
                  <c:v>0</c:v>
                </c:pt>
                <c:pt idx="6">
                  <c:v>0</c:v>
                </c:pt>
                <c:pt idx="7">
                  <c:v>0</c:v>
                </c:pt>
                <c:pt idx="8">
                  <c:v>0</c:v>
                </c:pt>
                <c:pt idx="9">
                  <c:v>0</c:v>
                </c:pt>
              </c:numCache>
            </c:numRef>
          </c:val>
          <c:extLst>
            <c:ext xmlns:c16="http://schemas.microsoft.com/office/drawing/2014/chart" uri="{C3380CC4-5D6E-409C-BE32-E72D297353CC}">
              <c16:uniqueId val="{00000004-6A1B-43B0-AF7B-454660B689E0}"/>
            </c:ext>
          </c:extLst>
        </c:ser>
        <c:ser>
          <c:idx val="5"/>
          <c:order val="5"/>
          <c:tx>
            <c:strRef>
              <c:f>SR_demand_forecast!$B$207</c:f>
              <c:strCache>
                <c:ptCount val="1"/>
                <c:pt idx="0">
                  <c:v>Mission Operations</c:v>
                </c:pt>
              </c:strCache>
            </c:strRef>
          </c:tx>
          <c:spPr>
            <a:solidFill>
              <a:schemeClr val="accent6"/>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A1B-43B0-AF7B-454660B689E0}"/>
            </c:ext>
          </c:extLst>
        </c:ser>
        <c:ser>
          <c:idx val="6"/>
          <c:order val="6"/>
          <c:tx>
            <c:strRef>
              <c:f>SR_demand_forecast!$B$208</c:f>
              <c:strCache>
                <c:ptCount val="1"/>
                <c:pt idx="0">
                  <c:v>Launch Events</c:v>
                </c:pt>
              </c:strCache>
            </c:strRef>
          </c:tx>
          <c:spPr>
            <a:solidFill>
              <a:schemeClr val="accent1">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SR_demand_forecast!$C$208:$L$208</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6A1B-43B0-AF7B-454660B689E0}"/>
            </c:ext>
          </c:extLst>
        </c:ser>
        <c:ser>
          <c:idx val="7"/>
          <c:order val="7"/>
          <c:tx>
            <c:strRef>
              <c:f>SR_demand_forecast!$B$209</c:f>
              <c:strCache>
                <c:ptCount val="1"/>
                <c:pt idx="0">
                  <c:v>Terrestrial &amp; Aerial</c:v>
                </c:pt>
              </c:strCache>
            </c:strRef>
          </c:tx>
          <c:spPr>
            <a:solidFill>
              <a:schemeClr val="accent2">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SR_demand_forecast!$C$209:$L$209</c:f>
              <c:numCache>
                <c:formatCode>_(* #,##0_);_(* \(#,##0\);_(* "-"??_);_(@_)</c:formatCode>
                <c:ptCount val="10"/>
                <c:pt idx="0">
                  <c:v>101218</c:v>
                </c:pt>
                <c:pt idx="1">
                  <c:v>67478.666666666672</c:v>
                </c:pt>
                <c:pt idx="2">
                  <c:v>67478.666666666672</c:v>
                </c:pt>
                <c:pt idx="3">
                  <c:v>67478.666666666672</c:v>
                </c:pt>
                <c:pt idx="4">
                  <c:v>67478.666666666672</c:v>
                </c:pt>
                <c:pt idx="5">
                  <c:v>33739.333333333336</c:v>
                </c:pt>
                <c:pt idx="6">
                  <c:v>33739.333333333336</c:v>
                </c:pt>
                <c:pt idx="7">
                  <c:v>33739.333333333336</c:v>
                </c:pt>
                <c:pt idx="8">
                  <c:v>33739.333333333336</c:v>
                </c:pt>
                <c:pt idx="9">
                  <c:v>33739.333333333336</c:v>
                </c:pt>
              </c:numCache>
            </c:numRef>
          </c:val>
          <c:extLst>
            <c:ext xmlns:c16="http://schemas.microsoft.com/office/drawing/2014/chart" uri="{C3380CC4-5D6E-409C-BE32-E72D297353CC}">
              <c16:uniqueId val="{00000007-6A1B-43B0-AF7B-454660B689E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2372709847445362"/>
          <c:w val="0.79973806443103357"/>
          <c:h val="0.62291329765118042"/>
        </c:manualLayout>
      </c:layout>
      <c:areaChart>
        <c:grouping val="stacked"/>
        <c:varyColors val="0"/>
        <c:ser>
          <c:idx val="0"/>
          <c:order val="0"/>
          <c:tx>
            <c:strRef>
              <c:f>DTE_demand_forecast!$B$75</c:f>
              <c:strCache>
                <c:ptCount val="1"/>
                <c:pt idx="0">
                  <c:v>Existing</c:v>
                </c:pt>
              </c:strCache>
            </c:strRef>
          </c:tx>
          <c:spPr>
            <a:solidFill>
              <a:schemeClr val="accent1"/>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DTE_demand_forecast!$C$75:$L$75</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E034-4B15-826E-CE5AEB312A10}"/>
            </c:ext>
          </c:extLst>
        </c:ser>
        <c:ser>
          <c:idx val="1"/>
          <c:order val="1"/>
          <c:tx>
            <c:strRef>
              <c:f>DTE_demand_forecast!$B$76</c:f>
              <c:strCache>
                <c:ptCount val="1"/>
                <c:pt idx="0">
                  <c:v>Replacement</c:v>
                </c:pt>
              </c:strCache>
            </c:strRef>
          </c:tx>
          <c:spPr>
            <a:solidFill>
              <a:schemeClr val="accent2"/>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DTE_demand_forecast!$C$76:$L$76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034-4B15-826E-CE5AEB312A1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2089611978586276"/>
          <c:w val="0.79011781286457805"/>
          <c:h val="0.62574445440032023"/>
        </c:manualLayout>
      </c:layout>
      <c:areaChart>
        <c:grouping val="stacked"/>
        <c:varyColors val="0"/>
        <c:ser>
          <c:idx val="0"/>
          <c:order val="0"/>
          <c:tx>
            <c:strRef>
              <c:f>DTE_demand_forecast!$B$154</c:f>
              <c:strCache>
                <c:ptCount val="1"/>
                <c:pt idx="0">
                  <c:v>Existing</c:v>
                </c:pt>
              </c:strCache>
            </c:strRef>
          </c:tx>
          <c:spPr>
            <a:solidFill>
              <a:schemeClr val="accent1"/>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DTE_demand_forecast!$C$154:$L$154</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AE0A-4EC2-8C5A-0732738705C7}"/>
            </c:ext>
          </c:extLst>
        </c:ser>
        <c:ser>
          <c:idx val="1"/>
          <c:order val="1"/>
          <c:tx>
            <c:strRef>
              <c:f>DTE_demand_forecast!$B$155</c:f>
              <c:strCache>
                <c:ptCount val="1"/>
                <c:pt idx="0">
                  <c:v>Replacement</c:v>
                </c:pt>
              </c:strCache>
            </c:strRef>
          </c:tx>
          <c:spPr>
            <a:solidFill>
              <a:schemeClr val="accent2"/>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DTE_demand_forecast!$C$155:$L$155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0A-4EC2-8C5A-0732738705C7}"/>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2915812437152976"/>
          <c:w val="0.79011781286457805"/>
          <c:h val="0.62664906682076871"/>
        </c:manualLayout>
      </c:layout>
      <c:areaChart>
        <c:grouping val="stacked"/>
        <c:varyColors val="0"/>
        <c:ser>
          <c:idx val="0"/>
          <c:order val="0"/>
          <c:tx>
            <c:strRef>
              <c:f>DTE_demand_forecast!$B$233</c:f>
              <c:strCache>
                <c:ptCount val="1"/>
                <c:pt idx="0">
                  <c:v>Existing</c:v>
                </c:pt>
              </c:strCache>
            </c:strRef>
          </c:tx>
          <c:spPr>
            <a:solidFill>
              <a:schemeClr val="accent1"/>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DTE_demand_forecast!$C$233:$L$233</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5ACF-43DD-9197-92DBA9E715B1}"/>
            </c:ext>
          </c:extLst>
        </c:ser>
        <c:ser>
          <c:idx val="1"/>
          <c:order val="1"/>
          <c:tx>
            <c:strRef>
              <c:f>DTE_demand_forecast!$B$234</c:f>
              <c:strCache>
                <c:ptCount val="1"/>
                <c:pt idx="0">
                  <c:v>Replacement</c:v>
                </c:pt>
              </c:strCache>
            </c:strRef>
          </c:tx>
          <c:spPr>
            <a:solidFill>
              <a:schemeClr val="accent2"/>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DTE_demand_forecast!$C$234:$L$234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ACF-43DD-9197-92DBA9E715B1}"/>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13607174004283"/>
          <c:w val="0.79973806443103357"/>
          <c:h val="0.63303334152795787"/>
        </c:manualLayout>
      </c:layout>
      <c:areaChart>
        <c:grouping val="stacked"/>
        <c:varyColors val="0"/>
        <c:ser>
          <c:idx val="0"/>
          <c:order val="0"/>
          <c:tx>
            <c:strRef>
              <c:f>SR_demand_forecast!$B$69</c:f>
              <c:strCache>
                <c:ptCount val="1"/>
                <c:pt idx="0">
                  <c:v>Existing</c:v>
                </c:pt>
              </c:strCache>
            </c:strRef>
          </c:tx>
          <c:spPr>
            <a:solidFill>
              <a:schemeClr val="accent1"/>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SR_demand_forecast!$C$69:$L$69</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DD7A-45B7-A8B5-D2D1A9DDA4EB}"/>
            </c:ext>
          </c:extLst>
        </c:ser>
        <c:ser>
          <c:idx val="1"/>
          <c:order val="1"/>
          <c:tx>
            <c:strRef>
              <c:f>SR_demand_forecast!$B$70</c:f>
              <c:strCache>
                <c:ptCount val="1"/>
                <c:pt idx="0">
                  <c:v>Replacement</c:v>
                </c:pt>
              </c:strCache>
            </c:strRef>
          </c:tx>
          <c:spPr>
            <a:solidFill>
              <a:schemeClr val="accent2"/>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SR_demand_forecast!$C$70:$L$70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D7A-45B7-A8B5-D2D1A9DDA4EB}"/>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2547847415468397"/>
          <c:w val="0.79973806443103357"/>
          <c:h val="0.62116204137755693"/>
        </c:manualLayout>
      </c:layout>
      <c:areaChart>
        <c:grouping val="stacked"/>
        <c:varyColors val="0"/>
        <c:ser>
          <c:idx val="0"/>
          <c:order val="0"/>
          <c:tx>
            <c:strRef>
              <c:f>SR_demand_forecast!$B$142</c:f>
              <c:strCache>
                <c:ptCount val="1"/>
                <c:pt idx="0">
                  <c:v>Existing</c:v>
                </c:pt>
              </c:strCache>
            </c:strRef>
          </c:tx>
          <c:spPr>
            <a:solidFill>
              <a:schemeClr val="accent1"/>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SR_demand_forecast!$C$142:$L$142</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183B-4586-B7EE-7105FC46AE4C}"/>
            </c:ext>
          </c:extLst>
        </c:ser>
        <c:ser>
          <c:idx val="1"/>
          <c:order val="1"/>
          <c:tx>
            <c:strRef>
              <c:f>SR_demand_forecast!$B$143</c:f>
              <c:strCache>
                <c:ptCount val="1"/>
                <c:pt idx="0">
                  <c:v>Replacement</c:v>
                </c:pt>
              </c:strCache>
            </c:strRef>
          </c:tx>
          <c:spPr>
            <a:solidFill>
              <a:schemeClr val="accent2"/>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SR_demand_forecast!$C$143:$L$143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B-4586-B7EE-7105FC46AE4C}"/>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3431850488153407"/>
          <c:w val="0.79973806443103357"/>
          <c:h val="0.61232210446276902"/>
        </c:manualLayout>
      </c:layout>
      <c:areaChart>
        <c:grouping val="stacked"/>
        <c:varyColors val="0"/>
        <c:ser>
          <c:idx val="0"/>
          <c:order val="0"/>
          <c:tx>
            <c:strRef>
              <c:f>SR_demand_forecast!$B$215</c:f>
              <c:strCache>
                <c:ptCount val="1"/>
                <c:pt idx="0">
                  <c:v>Existing</c:v>
                </c:pt>
              </c:strCache>
            </c:strRef>
          </c:tx>
          <c:spPr>
            <a:solidFill>
              <a:schemeClr val="accent1"/>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SR_demand_forecast!$C$215:$L$215</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F1DE-4561-9B8B-6F64C8E237FD}"/>
            </c:ext>
          </c:extLst>
        </c:ser>
        <c:ser>
          <c:idx val="1"/>
          <c:order val="1"/>
          <c:tx>
            <c:strRef>
              <c:f>SR_demand_forecast!$B$216</c:f>
              <c:strCache>
                <c:ptCount val="1"/>
                <c:pt idx="0">
                  <c:v>Replacement</c:v>
                </c:pt>
              </c:strCache>
            </c:strRef>
          </c:tx>
          <c:spPr>
            <a:solidFill>
              <a:schemeClr val="accent2"/>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SR_demand_forecast!$C$216:$L$216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1DE-4561-9B8B-6F64C8E237FD}"/>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DTE_cost_per_minute_forecast!$B$3</c:f>
              <c:strCache>
                <c:ptCount val="1"/>
                <c:pt idx="0">
                  <c:v>Human Space Flight</c:v>
                </c:pt>
              </c:strCache>
            </c:strRef>
          </c:tx>
          <c:spPr>
            <a:solidFill>
              <a:schemeClr val="accent1"/>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37B-482F-8EEC-BBD0600E62FD}"/>
            </c:ext>
          </c:extLst>
        </c:ser>
        <c:ser>
          <c:idx val="1"/>
          <c:order val="1"/>
          <c:tx>
            <c:strRef>
              <c:f>DTE_cost_per_minute_forecast!$B$4</c:f>
              <c:strCache>
                <c:ptCount val="1"/>
                <c:pt idx="0">
                  <c:v>Near Earth Robotic - LEO Science</c:v>
                </c:pt>
              </c:strCache>
            </c:strRef>
          </c:tx>
          <c:spPr>
            <a:solidFill>
              <a:schemeClr val="accent2"/>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37B-482F-8EEC-BBD0600E62FD}"/>
            </c:ext>
          </c:extLst>
        </c:ser>
        <c:ser>
          <c:idx val="2"/>
          <c:order val="2"/>
          <c:tx>
            <c:strRef>
              <c:f>DTE_cost_per_minute_forecast!$B$5</c:f>
              <c:strCache>
                <c:ptCount val="1"/>
                <c:pt idx="0">
                  <c:v>Near Earth Robotic - GEO and Near Earth</c:v>
                </c:pt>
              </c:strCache>
            </c:strRef>
          </c:tx>
          <c:spPr>
            <a:solidFill>
              <a:schemeClr val="accent3"/>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37B-482F-8EEC-BBD0600E62FD}"/>
            </c:ext>
          </c:extLst>
        </c:ser>
        <c:ser>
          <c:idx val="3"/>
          <c:order val="3"/>
          <c:tx>
            <c:strRef>
              <c:f>DTE_cost_per_minute_forecast!$B$6</c:f>
              <c:strCache>
                <c:ptCount val="1"/>
                <c:pt idx="0">
                  <c:v>Deep Space Robotic</c:v>
                </c:pt>
              </c:strCache>
            </c:strRef>
          </c:tx>
          <c:spPr>
            <a:solidFill>
              <a:schemeClr val="accent4"/>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37B-482F-8EEC-BBD0600E62FD}"/>
            </c:ext>
          </c:extLst>
        </c:ser>
        <c:ser>
          <c:idx val="4"/>
          <c:order val="4"/>
          <c:tx>
            <c:strRef>
              <c:f>DTE_cost_per_minute_forecast!$B$7</c:f>
              <c:strCache>
                <c:ptCount val="1"/>
                <c:pt idx="0">
                  <c:v>Near Earth Robotic - Low Latency &amp; Complex Needs</c:v>
                </c:pt>
              </c:strCache>
            </c:strRef>
          </c:tx>
          <c:spPr>
            <a:solidFill>
              <a:schemeClr val="accent5"/>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37B-482F-8EEC-BBD0600E62FD}"/>
            </c:ext>
          </c:extLst>
        </c:ser>
        <c:ser>
          <c:idx val="5"/>
          <c:order val="5"/>
          <c:tx>
            <c:strRef>
              <c:f>DTE_cost_per_minute_forecast!$B$8</c:f>
              <c:strCache>
                <c:ptCount val="1"/>
                <c:pt idx="0">
                  <c:v>Mission Operations</c:v>
                </c:pt>
              </c:strCache>
            </c:strRef>
          </c:tx>
          <c:spPr>
            <a:solidFill>
              <a:schemeClr val="accent6"/>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37B-482F-8EEC-BBD0600E62FD}"/>
            </c:ext>
          </c:extLst>
        </c:ser>
        <c:ser>
          <c:idx val="6"/>
          <c:order val="6"/>
          <c:tx>
            <c:strRef>
              <c:f>DTE_cost_per_minute_forecast!$B$9</c:f>
              <c:strCache>
                <c:ptCount val="1"/>
                <c:pt idx="0">
                  <c:v>Launch Events</c:v>
                </c:pt>
              </c:strCache>
            </c:strRef>
          </c:tx>
          <c:spPr>
            <a:solidFill>
              <a:schemeClr val="accent1">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37B-482F-8EEC-BBD0600E62FD}"/>
            </c:ext>
          </c:extLst>
        </c:ser>
        <c:ser>
          <c:idx val="7"/>
          <c:order val="7"/>
          <c:tx>
            <c:strRef>
              <c:f>DTE_cost_per_minute_forecast!$B$10</c:f>
              <c:strCache>
                <c:ptCount val="1"/>
                <c:pt idx="0">
                  <c:v>Terrestrial &amp; Aerial</c:v>
                </c:pt>
              </c:strCache>
            </c:strRef>
          </c:tx>
          <c:spPr>
            <a:solidFill>
              <a:schemeClr val="accent2">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37B-482F-8EEC-BBD0600E62F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DTE_cost_per_minute_forecast!$B$21</c:f>
              <c:strCache>
                <c:ptCount val="1"/>
                <c:pt idx="0">
                  <c:v>Human Space Flight</c:v>
                </c:pt>
              </c:strCache>
            </c:strRef>
          </c:tx>
          <c:spPr>
            <a:solidFill>
              <a:schemeClr val="accent1"/>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B75-4D9C-94B3-06704F0D06B4}"/>
            </c:ext>
          </c:extLst>
        </c:ser>
        <c:ser>
          <c:idx val="1"/>
          <c:order val="1"/>
          <c:tx>
            <c:strRef>
              <c:f>DTE_cost_per_minute_forecast!$B$22</c:f>
              <c:strCache>
                <c:ptCount val="1"/>
                <c:pt idx="0">
                  <c:v>Near Earth Robotic - LEO Science</c:v>
                </c:pt>
              </c:strCache>
            </c:strRef>
          </c:tx>
          <c:spPr>
            <a:solidFill>
              <a:schemeClr val="accent2"/>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B75-4D9C-94B3-06704F0D06B4}"/>
            </c:ext>
          </c:extLst>
        </c:ser>
        <c:ser>
          <c:idx val="2"/>
          <c:order val="2"/>
          <c:tx>
            <c:strRef>
              <c:f>DTE_cost_per_minute_forecast!$B$23</c:f>
              <c:strCache>
                <c:ptCount val="1"/>
                <c:pt idx="0">
                  <c:v>Near Earth Robotic - GEO and Near Earth</c:v>
                </c:pt>
              </c:strCache>
            </c:strRef>
          </c:tx>
          <c:spPr>
            <a:solidFill>
              <a:schemeClr val="accent3"/>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B75-4D9C-94B3-06704F0D06B4}"/>
            </c:ext>
          </c:extLst>
        </c:ser>
        <c:ser>
          <c:idx val="3"/>
          <c:order val="3"/>
          <c:tx>
            <c:strRef>
              <c:f>DTE_cost_per_minute_forecast!$B$24</c:f>
              <c:strCache>
                <c:ptCount val="1"/>
                <c:pt idx="0">
                  <c:v>Deep Space Robotic</c:v>
                </c:pt>
              </c:strCache>
            </c:strRef>
          </c:tx>
          <c:spPr>
            <a:solidFill>
              <a:schemeClr val="accent4"/>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B75-4D9C-94B3-06704F0D06B4}"/>
            </c:ext>
          </c:extLst>
        </c:ser>
        <c:ser>
          <c:idx val="4"/>
          <c:order val="4"/>
          <c:tx>
            <c:strRef>
              <c:f>DTE_cost_per_minute_forecast!$B$25</c:f>
              <c:strCache>
                <c:ptCount val="1"/>
                <c:pt idx="0">
                  <c:v>Near Earth Robotic - Low Latency &amp; Complex Needs</c:v>
                </c:pt>
              </c:strCache>
            </c:strRef>
          </c:tx>
          <c:spPr>
            <a:solidFill>
              <a:schemeClr val="accent5"/>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B75-4D9C-94B3-06704F0D06B4}"/>
            </c:ext>
          </c:extLst>
        </c:ser>
        <c:ser>
          <c:idx val="5"/>
          <c:order val="5"/>
          <c:tx>
            <c:strRef>
              <c:f>DTE_cost_per_minute_forecast!$B$26</c:f>
              <c:strCache>
                <c:ptCount val="1"/>
                <c:pt idx="0">
                  <c:v>Mission Operations</c:v>
                </c:pt>
              </c:strCache>
            </c:strRef>
          </c:tx>
          <c:spPr>
            <a:solidFill>
              <a:schemeClr val="accent6"/>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B75-4D9C-94B3-06704F0D06B4}"/>
            </c:ext>
          </c:extLst>
        </c:ser>
        <c:ser>
          <c:idx val="6"/>
          <c:order val="6"/>
          <c:tx>
            <c:strRef>
              <c:f>DTE_cost_per_minute_forecast!$B$27</c:f>
              <c:strCache>
                <c:ptCount val="1"/>
                <c:pt idx="0">
                  <c:v>Launch Events</c:v>
                </c:pt>
              </c:strCache>
            </c:strRef>
          </c:tx>
          <c:spPr>
            <a:solidFill>
              <a:schemeClr val="accent1">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B75-4D9C-94B3-06704F0D06B4}"/>
            </c:ext>
          </c:extLst>
        </c:ser>
        <c:ser>
          <c:idx val="7"/>
          <c:order val="7"/>
          <c:tx>
            <c:strRef>
              <c:f>DTE_cost_per_minute_forecast!$B$28</c:f>
              <c:strCache>
                <c:ptCount val="1"/>
                <c:pt idx="0">
                  <c:v>Terrestrial &amp; Aerial</c:v>
                </c:pt>
              </c:strCache>
            </c:strRef>
          </c:tx>
          <c:spPr>
            <a:solidFill>
              <a:schemeClr val="accent2">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B75-4D9C-94B3-06704F0D06B4}"/>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DTE_cost_per_minute_forecast!$B$39</c:f>
              <c:strCache>
                <c:ptCount val="1"/>
                <c:pt idx="0">
                  <c:v>Human Space Flight</c:v>
                </c:pt>
              </c:strCache>
            </c:strRef>
          </c:tx>
          <c:spPr>
            <a:solidFill>
              <a:schemeClr val="accent1"/>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66E-4010-AB46-B22142B0764D}"/>
            </c:ext>
          </c:extLst>
        </c:ser>
        <c:ser>
          <c:idx val="1"/>
          <c:order val="1"/>
          <c:tx>
            <c:strRef>
              <c:f>DTE_cost_per_minute_forecast!$B$40</c:f>
              <c:strCache>
                <c:ptCount val="1"/>
                <c:pt idx="0">
                  <c:v>Near Earth Robotic - LEO Science</c:v>
                </c:pt>
              </c:strCache>
            </c:strRef>
          </c:tx>
          <c:spPr>
            <a:solidFill>
              <a:schemeClr val="accent2"/>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66E-4010-AB46-B22142B0764D}"/>
            </c:ext>
          </c:extLst>
        </c:ser>
        <c:ser>
          <c:idx val="2"/>
          <c:order val="2"/>
          <c:tx>
            <c:strRef>
              <c:f>DTE_cost_per_minute_forecast!$B$41</c:f>
              <c:strCache>
                <c:ptCount val="1"/>
                <c:pt idx="0">
                  <c:v>Near Earth Robotic - GEO and Near Earth</c:v>
                </c:pt>
              </c:strCache>
            </c:strRef>
          </c:tx>
          <c:spPr>
            <a:solidFill>
              <a:schemeClr val="accent3"/>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66E-4010-AB46-B22142B0764D}"/>
            </c:ext>
          </c:extLst>
        </c:ser>
        <c:ser>
          <c:idx val="3"/>
          <c:order val="3"/>
          <c:tx>
            <c:strRef>
              <c:f>DTE_cost_per_minute_forecast!$B$42</c:f>
              <c:strCache>
                <c:ptCount val="1"/>
                <c:pt idx="0">
                  <c:v>Deep Space Robotic</c:v>
                </c:pt>
              </c:strCache>
            </c:strRef>
          </c:tx>
          <c:spPr>
            <a:solidFill>
              <a:schemeClr val="accent4"/>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66E-4010-AB46-B22142B0764D}"/>
            </c:ext>
          </c:extLst>
        </c:ser>
        <c:ser>
          <c:idx val="4"/>
          <c:order val="4"/>
          <c:tx>
            <c:strRef>
              <c:f>DTE_cost_per_minute_forecast!$B$43</c:f>
              <c:strCache>
                <c:ptCount val="1"/>
                <c:pt idx="0">
                  <c:v>Near Earth Robotic - Low Latency &amp; Complex Needs</c:v>
                </c:pt>
              </c:strCache>
            </c:strRef>
          </c:tx>
          <c:spPr>
            <a:solidFill>
              <a:schemeClr val="accent5"/>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66E-4010-AB46-B22142B0764D}"/>
            </c:ext>
          </c:extLst>
        </c:ser>
        <c:ser>
          <c:idx val="5"/>
          <c:order val="5"/>
          <c:tx>
            <c:strRef>
              <c:f>DTE_cost_per_minute_forecast!$B$44</c:f>
              <c:strCache>
                <c:ptCount val="1"/>
                <c:pt idx="0">
                  <c:v>Mission Operations</c:v>
                </c:pt>
              </c:strCache>
            </c:strRef>
          </c:tx>
          <c:spPr>
            <a:solidFill>
              <a:schemeClr val="accent6"/>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66E-4010-AB46-B22142B0764D}"/>
            </c:ext>
          </c:extLst>
        </c:ser>
        <c:ser>
          <c:idx val="6"/>
          <c:order val="6"/>
          <c:tx>
            <c:strRef>
              <c:f>DTE_cost_per_minute_forecast!$B$45</c:f>
              <c:strCache>
                <c:ptCount val="1"/>
                <c:pt idx="0">
                  <c:v>Launch Events</c:v>
                </c:pt>
              </c:strCache>
            </c:strRef>
          </c:tx>
          <c:spPr>
            <a:solidFill>
              <a:schemeClr val="accent1">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66E-4010-AB46-B22142B0764D}"/>
            </c:ext>
          </c:extLst>
        </c:ser>
        <c:ser>
          <c:idx val="7"/>
          <c:order val="7"/>
          <c:tx>
            <c:strRef>
              <c:f>DTE_cost_per_minute_forecast!$B$46</c:f>
              <c:strCache>
                <c:ptCount val="1"/>
                <c:pt idx="0">
                  <c:v>Terrestrial &amp; Aerial</c:v>
                </c:pt>
              </c:strCache>
            </c:strRef>
          </c:tx>
          <c:spPr>
            <a:solidFill>
              <a:schemeClr val="accent2">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66E-4010-AB46-B22142B0764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DTE_cost_per_minute_forecast!$B$59</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B356-4FA9-85F3-6A619CD23A38}"/>
            </c:ext>
          </c:extLst>
        </c:ser>
        <c:ser>
          <c:idx val="1"/>
          <c:order val="1"/>
          <c:tx>
            <c:strRef>
              <c:f>DTE_cost_per_minute_forecast!$B$60</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B356-4FA9-85F3-6A619CD23A38}"/>
            </c:ext>
          </c:extLst>
        </c:ser>
        <c:ser>
          <c:idx val="2"/>
          <c:order val="2"/>
          <c:tx>
            <c:strRef>
              <c:f>DTE_cost_per_minute_forecast!$B$61</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B356-4FA9-85F3-6A619CD23A38}"/>
            </c:ext>
          </c:extLst>
        </c:ser>
        <c:ser>
          <c:idx val="3"/>
          <c:order val="3"/>
          <c:tx>
            <c:strRef>
              <c:f>DTE_cost_per_minute_forecast!$B$62</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B356-4FA9-85F3-6A619CD23A38}"/>
            </c:ext>
          </c:extLst>
        </c:ser>
        <c:ser>
          <c:idx val="4"/>
          <c:order val="4"/>
          <c:tx>
            <c:strRef>
              <c:f>DTE_cost_per_minute_forecast!$B$63</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B356-4FA9-85F3-6A619CD23A38}"/>
            </c:ext>
          </c:extLst>
        </c:ser>
        <c:ser>
          <c:idx val="5"/>
          <c:order val="5"/>
          <c:tx>
            <c:strRef>
              <c:f>DTE_cost_per_minute_forecast!$B$64</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B356-4FA9-85F3-6A619CD23A38}"/>
            </c:ext>
          </c:extLst>
        </c:ser>
        <c:ser>
          <c:idx val="6"/>
          <c:order val="6"/>
          <c:tx>
            <c:strRef>
              <c:f>DTE_cost_per_minute_forecast!$B$65</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B356-4FA9-85F3-6A619CD23A38}"/>
            </c:ext>
          </c:extLst>
        </c:ser>
        <c:ser>
          <c:idx val="7"/>
          <c:order val="7"/>
          <c:tx>
            <c:strRef>
              <c:f>DTE_cost_per_minute_forecast!$B$66</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B356-4FA9-85F3-6A619CD23A3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DTE_cost_per_minute_forecast!$B$77</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DA7-4F53-B4A6-4AE626203AE3}"/>
            </c:ext>
          </c:extLst>
        </c:ser>
        <c:ser>
          <c:idx val="1"/>
          <c:order val="1"/>
          <c:tx>
            <c:strRef>
              <c:f>DTE_cost_per_minute_forecast!$B$78</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DA7-4F53-B4A6-4AE626203AE3}"/>
            </c:ext>
          </c:extLst>
        </c:ser>
        <c:ser>
          <c:idx val="2"/>
          <c:order val="2"/>
          <c:tx>
            <c:strRef>
              <c:f>DTE_cost_per_minute_forecast!$B$79</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DA7-4F53-B4A6-4AE626203AE3}"/>
            </c:ext>
          </c:extLst>
        </c:ser>
        <c:ser>
          <c:idx val="3"/>
          <c:order val="3"/>
          <c:tx>
            <c:strRef>
              <c:f>DTE_cost_per_minute_forecast!$B$80</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DA7-4F53-B4A6-4AE626203AE3}"/>
            </c:ext>
          </c:extLst>
        </c:ser>
        <c:ser>
          <c:idx val="4"/>
          <c:order val="4"/>
          <c:tx>
            <c:strRef>
              <c:f>DTE_cost_per_minute_forecast!$B$81</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DA7-4F53-B4A6-4AE626203AE3}"/>
            </c:ext>
          </c:extLst>
        </c:ser>
        <c:ser>
          <c:idx val="5"/>
          <c:order val="5"/>
          <c:tx>
            <c:strRef>
              <c:f>DTE_cost_per_minute_forecast!$B$82</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DA7-4F53-B4A6-4AE626203AE3}"/>
            </c:ext>
          </c:extLst>
        </c:ser>
        <c:ser>
          <c:idx val="6"/>
          <c:order val="6"/>
          <c:tx>
            <c:strRef>
              <c:f>DTE_cost_per_minute_forecast!$B$83</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DA7-4F53-B4A6-4AE626203AE3}"/>
            </c:ext>
          </c:extLst>
        </c:ser>
        <c:ser>
          <c:idx val="7"/>
          <c:order val="7"/>
          <c:tx>
            <c:strRef>
              <c:f>DTE_cost_per_minute_forecast!$B$84</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DA7-4F53-B4A6-4AE626203AE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DTE_cost_per_minute_forecast!$B$95</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C0C-4EEF-8A7B-1D8886ADA506}"/>
            </c:ext>
          </c:extLst>
        </c:ser>
        <c:ser>
          <c:idx val="1"/>
          <c:order val="1"/>
          <c:tx>
            <c:strRef>
              <c:f>DTE_cost_per_minute_forecast!$B$96</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C0C-4EEF-8A7B-1D8886ADA506}"/>
            </c:ext>
          </c:extLst>
        </c:ser>
        <c:ser>
          <c:idx val="2"/>
          <c:order val="2"/>
          <c:tx>
            <c:strRef>
              <c:f>DTE_cost_per_minute_forecast!$B$97</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C0C-4EEF-8A7B-1D8886ADA506}"/>
            </c:ext>
          </c:extLst>
        </c:ser>
        <c:ser>
          <c:idx val="3"/>
          <c:order val="3"/>
          <c:tx>
            <c:strRef>
              <c:f>DTE_cost_per_minute_forecast!$B$98</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C0C-4EEF-8A7B-1D8886ADA506}"/>
            </c:ext>
          </c:extLst>
        </c:ser>
        <c:ser>
          <c:idx val="4"/>
          <c:order val="4"/>
          <c:tx>
            <c:strRef>
              <c:f>DTE_cost_per_minute_forecast!$B$99</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C0C-4EEF-8A7B-1D8886ADA506}"/>
            </c:ext>
          </c:extLst>
        </c:ser>
        <c:ser>
          <c:idx val="5"/>
          <c:order val="5"/>
          <c:tx>
            <c:strRef>
              <c:f>DTE_cost_per_minute_forecast!$B$100</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C0C-4EEF-8A7B-1D8886ADA506}"/>
            </c:ext>
          </c:extLst>
        </c:ser>
        <c:ser>
          <c:idx val="6"/>
          <c:order val="6"/>
          <c:tx>
            <c:strRef>
              <c:f>DTE_cost_per_minute_forecast!$B$101</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C0C-4EEF-8A7B-1D8886ADA506}"/>
            </c:ext>
          </c:extLst>
        </c:ser>
        <c:ser>
          <c:idx val="7"/>
          <c:order val="7"/>
          <c:tx>
            <c:strRef>
              <c:f>DTE_cost_per_minute_forecast!$B$102</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C0C-4EEF-8A7B-1D8886ADA50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DTE_cost_per_minute_forecast!$B$115</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6A7-4652-9972-A045DF85B632}"/>
            </c:ext>
          </c:extLst>
        </c:ser>
        <c:ser>
          <c:idx val="1"/>
          <c:order val="1"/>
          <c:tx>
            <c:strRef>
              <c:f>DTE_cost_per_minute_forecast!$B$116</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6A7-4652-9972-A045DF85B632}"/>
            </c:ext>
          </c:extLst>
        </c:ser>
        <c:ser>
          <c:idx val="2"/>
          <c:order val="2"/>
          <c:tx>
            <c:strRef>
              <c:f>DTE_cost_per_minute_forecast!$B$117</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16A7-4652-9972-A045DF85B632}"/>
            </c:ext>
          </c:extLst>
        </c:ser>
        <c:ser>
          <c:idx val="3"/>
          <c:order val="3"/>
          <c:tx>
            <c:strRef>
              <c:f>DTE_cost_per_minute_forecast!$B$118</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6A7-4652-9972-A045DF85B632}"/>
            </c:ext>
          </c:extLst>
        </c:ser>
        <c:ser>
          <c:idx val="4"/>
          <c:order val="4"/>
          <c:tx>
            <c:strRef>
              <c:f>DTE_cost_per_minute_forecast!$B$119</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6A7-4652-9972-A045DF85B632}"/>
            </c:ext>
          </c:extLst>
        </c:ser>
        <c:ser>
          <c:idx val="5"/>
          <c:order val="5"/>
          <c:tx>
            <c:strRef>
              <c:f>DTE_cost_per_minute_forecast!$B$120</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6A7-4652-9972-A045DF85B632}"/>
            </c:ext>
          </c:extLst>
        </c:ser>
        <c:ser>
          <c:idx val="6"/>
          <c:order val="6"/>
          <c:tx>
            <c:strRef>
              <c:f>DTE_cost_per_minute_forecast!$B$121</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16A7-4652-9972-A045DF85B632}"/>
            </c:ext>
          </c:extLst>
        </c:ser>
        <c:ser>
          <c:idx val="7"/>
          <c:order val="7"/>
          <c:tx>
            <c:strRef>
              <c:f>DTE_cost_per_minute_forecast!$B$122</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16A7-4652-9972-A045DF85B63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DTE_cost_per_minute_forecast!$B$133</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3AC-4AB7-B3D1-DB33850214E9}"/>
            </c:ext>
          </c:extLst>
        </c:ser>
        <c:ser>
          <c:idx val="1"/>
          <c:order val="1"/>
          <c:tx>
            <c:strRef>
              <c:f>DTE_cost_per_minute_forecast!$B$134</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3AC-4AB7-B3D1-DB33850214E9}"/>
            </c:ext>
          </c:extLst>
        </c:ser>
        <c:ser>
          <c:idx val="2"/>
          <c:order val="2"/>
          <c:tx>
            <c:strRef>
              <c:f>DTE_cost_per_minute_forecast!$B$135</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3AC-4AB7-B3D1-DB33850214E9}"/>
            </c:ext>
          </c:extLst>
        </c:ser>
        <c:ser>
          <c:idx val="3"/>
          <c:order val="3"/>
          <c:tx>
            <c:strRef>
              <c:f>DTE_cost_per_minute_forecast!$B$136</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3AC-4AB7-B3D1-DB33850214E9}"/>
            </c:ext>
          </c:extLst>
        </c:ser>
        <c:ser>
          <c:idx val="4"/>
          <c:order val="4"/>
          <c:tx>
            <c:strRef>
              <c:f>DTE_cost_per_minute_forecast!$B$137</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3AC-4AB7-B3D1-DB33850214E9}"/>
            </c:ext>
          </c:extLst>
        </c:ser>
        <c:ser>
          <c:idx val="5"/>
          <c:order val="5"/>
          <c:tx>
            <c:strRef>
              <c:f>DTE_cost_per_minute_forecast!$B$138</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3AC-4AB7-B3D1-DB33850214E9}"/>
            </c:ext>
          </c:extLst>
        </c:ser>
        <c:ser>
          <c:idx val="6"/>
          <c:order val="6"/>
          <c:tx>
            <c:strRef>
              <c:f>DTE_cost_per_minute_forecast!$B$139</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3AC-4AB7-B3D1-DB33850214E9}"/>
            </c:ext>
          </c:extLst>
        </c:ser>
        <c:ser>
          <c:idx val="7"/>
          <c:order val="7"/>
          <c:tx>
            <c:strRef>
              <c:f>DTE_cost_per_minute_forecast!$B$140</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3AC-4AB7-B3D1-DB33850214E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DTE_cost_per_minute_forecast!$B$151</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2D2F-41FD-9109-9B5FB0DD8679}"/>
            </c:ext>
          </c:extLst>
        </c:ser>
        <c:ser>
          <c:idx val="1"/>
          <c:order val="1"/>
          <c:tx>
            <c:strRef>
              <c:f>DTE_cost_per_minute_forecast!$B$152</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2D2F-41FD-9109-9B5FB0DD8679}"/>
            </c:ext>
          </c:extLst>
        </c:ser>
        <c:ser>
          <c:idx val="2"/>
          <c:order val="2"/>
          <c:tx>
            <c:strRef>
              <c:f>DTE_cost_per_minute_forecast!$B$153</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2D2F-41FD-9109-9B5FB0DD8679}"/>
            </c:ext>
          </c:extLst>
        </c:ser>
        <c:ser>
          <c:idx val="3"/>
          <c:order val="3"/>
          <c:tx>
            <c:strRef>
              <c:f>DTE_cost_per_minute_forecast!$B$154</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2D2F-41FD-9109-9B5FB0DD8679}"/>
            </c:ext>
          </c:extLst>
        </c:ser>
        <c:ser>
          <c:idx val="4"/>
          <c:order val="4"/>
          <c:tx>
            <c:strRef>
              <c:f>DTE_cost_per_minute_forecast!$B$155</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2D2F-41FD-9109-9B5FB0DD8679}"/>
            </c:ext>
          </c:extLst>
        </c:ser>
        <c:ser>
          <c:idx val="5"/>
          <c:order val="5"/>
          <c:tx>
            <c:strRef>
              <c:f>DTE_cost_per_minute_forecast!$B$156</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2D2F-41FD-9109-9B5FB0DD8679}"/>
            </c:ext>
          </c:extLst>
        </c:ser>
        <c:ser>
          <c:idx val="6"/>
          <c:order val="6"/>
          <c:tx>
            <c:strRef>
              <c:f>DTE_cost_per_minute_forecast!$B$157</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2D2F-41FD-9109-9B5FB0DD8679}"/>
            </c:ext>
          </c:extLst>
        </c:ser>
        <c:ser>
          <c:idx val="7"/>
          <c:order val="7"/>
          <c:tx>
            <c:strRef>
              <c:f>DTE_cost_per_minute_forecast!$B$158</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2D2F-41FD-9109-9B5FB0DD867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DTE_cost_per_minute_forecast!$B$171</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D2E-4DDA-B7A8-48C5F1233F1F}"/>
            </c:ext>
          </c:extLst>
        </c:ser>
        <c:ser>
          <c:idx val="1"/>
          <c:order val="1"/>
          <c:tx>
            <c:strRef>
              <c:f>DTE_cost_per_minute_forecast!$B$172</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D2E-4DDA-B7A8-48C5F1233F1F}"/>
            </c:ext>
          </c:extLst>
        </c:ser>
        <c:ser>
          <c:idx val="2"/>
          <c:order val="2"/>
          <c:tx>
            <c:strRef>
              <c:f>DTE_cost_per_minute_forecast!$B$173</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D2E-4DDA-B7A8-48C5F1233F1F}"/>
            </c:ext>
          </c:extLst>
        </c:ser>
        <c:ser>
          <c:idx val="3"/>
          <c:order val="3"/>
          <c:tx>
            <c:strRef>
              <c:f>DTE_cost_per_minute_forecast!$B$174</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D2E-4DDA-B7A8-48C5F1233F1F}"/>
            </c:ext>
          </c:extLst>
        </c:ser>
        <c:ser>
          <c:idx val="4"/>
          <c:order val="4"/>
          <c:tx>
            <c:strRef>
              <c:f>DTE_cost_per_minute_forecast!$B$175</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D2E-4DDA-B7A8-48C5F1233F1F}"/>
            </c:ext>
          </c:extLst>
        </c:ser>
        <c:ser>
          <c:idx val="5"/>
          <c:order val="5"/>
          <c:tx>
            <c:strRef>
              <c:f>DTE_cost_per_minute_forecast!$B$176</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D2E-4DDA-B7A8-48C5F1233F1F}"/>
            </c:ext>
          </c:extLst>
        </c:ser>
        <c:ser>
          <c:idx val="6"/>
          <c:order val="6"/>
          <c:tx>
            <c:strRef>
              <c:f>DTE_cost_per_minute_forecast!$B$177</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D2E-4DDA-B7A8-48C5F1233F1F}"/>
            </c:ext>
          </c:extLst>
        </c:ser>
        <c:ser>
          <c:idx val="7"/>
          <c:order val="7"/>
          <c:tx>
            <c:strRef>
              <c:f>DTE_cost_per_minute_forecast!$B$178</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D2E-4DDA-B7A8-48C5F1233F1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DTE_cost_per_minute_forecast!$B$189</c:f>
              <c:strCache>
                <c:ptCount val="1"/>
                <c:pt idx="0">
                  <c:v>Human Space Flight</c:v>
                </c:pt>
              </c:strCache>
            </c:strRef>
          </c:tx>
          <c:spPr>
            <a:solidFill>
              <a:schemeClr val="accent1"/>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D9B-4A2C-8AB1-4838F1FFD2D5}"/>
            </c:ext>
          </c:extLst>
        </c:ser>
        <c:ser>
          <c:idx val="1"/>
          <c:order val="1"/>
          <c:tx>
            <c:strRef>
              <c:f>DTE_cost_per_minute_forecast!$B$190</c:f>
              <c:strCache>
                <c:ptCount val="1"/>
                <c:pt idx="0">
                  <c:v>Near Earth Robotic - LEO Science</c:v>
                </c:pt>
              </c:strCache>
            </c:strRef>
          </c:tx>
          <c:spPr>
            <a:solidFill>
              <a:schemeClr val="accent2"/>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D9B-4A2C-8AB1-4838F1FFD2D5}"/>
            </c:ext>
          </c:extLst>
        </c:ser>
        <c:ser>
          <c:idx val="2"/>
          <c:order val="2"/>
          <c:tx>
            <c:strRef>
              <c:f>DTE_cost_per_minute_forecast!$B$191</c:f>
              <c:strCache>
                <c:ptCount val="1"/>
                <c:pt idx="0">
                  <c:v>Near Earth Robotic - GEO and Near Earth</c:v>
                </c:pt>
              </c:strCache>
            </c:strRef>
          </c:tx>
          <c:spPr>
            <a:solidFill>
              <a:schemeClr val="accent3"/>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D9B-4A2C-8AB1-4838F1FFD2D5}"/>
            </c:ext>
          </c:extLst>
        </c:ser>
        <c:ser>
          <c:idx val="3"/>
          <c:order val="3"/>
          <c:tx>
            <c:strRef>
              <c:f>DTE_cost_per_minute_forecast!$B$192</c:f>
              <c:strCache>
                <c:ptCount val="1"/>
                <c:pt idx="0">
                  <c:v>Deep Space Robotic</c:v>
                </c:pt>
              </c:strCache>
            </c:strRef>
          </c:tx>
          <c:spPr>
            <a:solidFill>
              <a:schemeClr val="accent4"/>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D9B-4A2C-8AB1-4838F1FFD2D5}"/>
            </c:ext>
          </c:extLst>
        </c:ser>
        <c:ser>
          <c:idx val="4"/>
          <c:order val="4"/>
          <c:tx>
            <c:strRef>
              <c:f>DTE_cost_per_minute_forecast!$B$193</c:f>
              <c:strCache>
                <c:ptCount val="1"/>
                <c:pt idx="0">
                  <c:v>Near Earth Robotic - Low Latency &amp; Complex Needs</c:v>
                </c:pt>
              </c:strCache>
            </c:strRef>
          </c:tx>
          <c:spPr>
            <a:solidFill>
              <a:schemeClr val="accent5"/>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D9B-4A2C-8AB1-4838F1FFD2D5}"/>
            </c:ext>
          </c:extLst>
        </c:ser>
        <c:ser>
          <c:idx val="5"/>
          <c:order val="5"/>
          <c:tx>
            <c:strRef>
              <c:f>DTE_cost_per_minute_forecast!$B$194</c:f>
              <c:strCache>
                <c:ptCount val="1"/>
                <c:pt idx="0">
                  <c:v>Mission Operations</c:v>
                </c:pt>
              </c:strCache>
            </c:strRef>
          </c:tx>
          <c:spPr>
            <a:solidFill>
              <a:schemeClr val="accent6"/>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D9B-4A2C-8AB1-4838F1FFD2D5}"/>
            </c:ext>
          </c:extLst>
        </c:ser>
        <c:ser>
          <c:idx val="6"/>
          <c:order val="6"/>
          <c:tx>
            <c:strRef>
              <c:f>DTE_cost_per_minute_forecast!$B$195</c:f>
              <c:strCache>
                <c:ptCount val="1"/>
                <c:pt idx="0">
                  <c:v>Launch Events</c:v>
                </c:pt>
              </c:strCache>
            </c:strRef>
          </c:tx>
          <c:spPr>
            <a:solidFill>
              <a:schemeClr val="accent1">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D9B-4A2C-8AB1-4838F1FFD2D5}"/>
            </c:ext>
          </c:extLst>
        </c:ser>
        <c:ser>
          <c:idx val="7"/>
          <c:order val="7"/>
          <c:tx>
            <c:strRef>
              <c:f>DTE_cost_per_minute_forecast!$B$196</c:f>
              <c:strCache>
                <c:ptCount val="1"/>
                <c:pt idx="0">
                  <c:v>Terrestrial &amp; Aerial</c:v>
                </c:pt>
              </c:strCache>
            </c:strRef>
          </c:tx>
          <c:spPr>
            <a:solidFill>
              <a:schemeClr val="accent2">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D9B-4A2C-8AB1-4838F1FFD2D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DTE_cost_per_minute_forecast!$B$207</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EB1-4494-9883-8DB42BCF31F5}"/>
            </c:ext>
          </c:extLst>
        </c:ser>
        <c:ser>
          <c:idx val="1"/>
          <c:order val="1"/>
          <c:tx>
            <c:strRef>
              <c:f>DTE_cost_per_minute_forecast!$B$208</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B1-4494-9883-8DB42BCF31F5}"/>
            </c:ext>
          </c:extLst>
        </c:ser>
        <c:ser>
          <c:idx val="2"/>
          <c:order val="2"/>
          <c:tx>
            <c:strRef>
              <c:f>DTE_cost_per_minute_forecast!$B$209</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EB1-4494-9883-8DB42BCF31F5}"/>
            </c:ext>
          </c:extLst>
        </c:ser>
        <c:ser>
          <c:idx val="3"/>
          <c:order val="3"/>
          <c:tx>
            <c:strRef>
              <c:f>DTE_cost_per_minute_forecast!$B$210</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EB1-4494-9883-8DB42BCF31F5}"/>
            </c:ext>
          </c:extLst>
        </c:ser>
        <c:ser>
          <c:idx val="4"/>
          <c:order val="4"/>
          <c:tx>
            <c:strRef>
              <c:f>DTE_cost_per_minute_forecast!$B$211</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EB1-4494-9883-8DB42BCF31F5}"/>
            </c:ext>
          </c:extLst>
        </c:ser>
        <c:ser>
          <c:idx val="5"/>
          <c:order val="5"/>
          <c:tx>
            <c:strRef>
              <c:f>DTE_cost_per_minute_forecast!$B$212</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EB1-4494-9883-8DB42BCF31F5}"/>
            </c:ext>
          </c:extLst>
        </c:ser>
        <c:ser>
          <c:idx val="6"/>
          <c:order val="6"/>
          <c:tx>
            <c:strRef>
              <c:f>DTE_cost_per_minute_forecast!$B$213</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EB1-4494-9883-8DB42BCF31F5}"/>
            </c:ext>
          </c:extLst>
        </c:ser>
        <c:ser>
          <c:idx val="7"/>
          <c:order val="7"/>
          <c:tx>
            <c:strRef>
              <c:f>DTE_cost_per_minute_forecast!$B$214</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EB1-4494-9883-8DB42BCF31F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SR_cost_per_minute_forecast!$B$3</c:f>
              <c:strCache>
                <c:ptCount val="1"/>
                <c:pt idx="0">
                  <c:v>Human Space Flight</c:v>
                </c:pt>
              </c:strCache>
            </c:strRef>
          </c:tx>
          <c:spPr>
            <a:solidFill>
              <a:schemeClr val="accent1"/>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C23-4269-B36B-24071BB89BE5}"/>
            </c:ext>
          </c:extLst>
        </c:ser>
        <c:ser>
          <c:idx val="1"/>
          <c:order val="1"/>
          <c:tx>
            <c:strRef>
              <c:f>SR_cost_per_minute_forecast!$B$4</c:f>
              <c:strCache>
                <c:ptCount val="1"/>
                <c:pt idx="0">
                  <c:v>Near Earth Robotic - LEO Science</c:v>
                </c:pt>
              </c:strCache>
            </c:strRef>
          </c:tx>
          <c:spPr>
            <a:solidFill>
              <a:schemeClr val="accent2"/>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C23-4269-B36B-24071BB89BE5}"/>
            </c:ext>
          </c:extLst>
        </c:ser>
        <c:ser>
          <c:idx val="2"/>
          <c:order val="2"/>
          <c:tx>
            <c:strRef>
              <c:f>SR_cost_per_minute_forecast!$B$5</c:f>
              <c:strCache>
                <c:ptCount val="1"/>
                <c:pt idx="0">
                  <c:v>Near Earth Robotic - GEO and Near Earth</c:v>
                </c:pt>
              </c:strCache>
            </c:strRef>
          </c:tx>
          <c:spPr>
            <a:solidFill>
              <a:schemeClr val="accent3"/>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C23-4269-B36B-24071BB89BE5}"/>
            </c:ext>
          </c:extLst>
        </c:ser>
        <c:ser>
          <c:idx val="3"/>
          <c:order val="3"/>
          <c:tx>
            <c:strRef>
              <c:f>SR_cost_per_minute_forecast!$B$6</c:f>
              <c:strCache>
                <c:ptCount val="1"/>
                <c:pt idx="0">
                  <c:v>Deep Space Robotic</c:v>
                </c:pt>
              </c:strCache>
            </c:strRef>
          </c:tx>
          <c:spPr>
            <a:solidFill>
              <a:schemeClr val="accent4"/>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C23-4269-B36B-24071BB89BE5}"/>
            </c:ext>
          </c:extLst>
        </c:ser>
        <c:ser>
          <c:idx val="4"/>
          <c:order val="4"/>
          <c:tx>
            <c:strRef>
              <c:f>SR_cost_per_minute_forecast!$B$7</c:f>
              <c:strCache>
                <c:ptCount val="1"/>
                <c:pt idx="0">
                  <c:v>Near Earth Robotic - Low Latency &amp; Complex Needs</c:v>
                </c:pt>
              </c:strCache>
            </c:strRef>
          </c:tx>
          <c:spPr>
            <a:solidFill>
              <a:schemeClr val="accent5"/>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C23-4269-B36B-24071BB89BE5}"/>
            </c:ext>
          </c:extLst>
        </c:ser>
        <c:ser>
          <c:idx val="5"/>
          <c:order val="5"/>
          <c:tx>
            <c:strRef>
              <c:f>SR_cost_per_minute_forecast!$B$8</c:f>
              <c:strCache>
                <c:ptCount val="1"/>
                <c:pt idx="0">
                  <c:v>Mission Operations</c:v>
                </c:pt>
              </c:strCache>
            </c:strRef>
          </c:tx>
          <c:spPr>
            <a:solidFill>
              <a:schemeClr val="accent6"/>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C23-4269-B36B-24071BB89BE5}"/>
            </c:ext>
          </c:extLst>
        </c:ser>
        <c:ser>
          <c:idx val="6"/>
          <c:order val="6"/>
          <c:tx>
            <c:strRef>
              <c:f>SR_cost_per_minute_forecast!$B$9</c:f>
              <c:strCache>
                <c:ptCount val="1"/>
                <c:pt idx="0">
                  <c:v>Launch Events</c:v>
                </c:pt>
              </c:strCache>
            </c:strRef>
          </c:tx>
          <c:spPr>
            <a:solidFill>
              <a:schemeClr val="accent1">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C23-4269-B36B-24071BB89BE5}"/>
            </c:ext>
          </c:extLst>
        </c:ser>
        <c:ser>
          <c:idx val="7"/>
          <c:order val="7"/>
          <c:tx>
            <c:strRef>
              <c:f>SR_cost_per_minute_forecast!$B$10</c:f>
              <c:strCache>
                <c:ptCount val="1"/>
                <c:pt idx="0">
                  <c:v>Terrestrial &amp; Aerial</c:v>
                </c:pt>
              </c:strCache>
            </c:strRef>
          </c:tx>
          <c:spPr>
            <a:solidFill>
              <a:schemeClr val="accent2">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C23-4269-B36B-24071BB89BE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SR_cost_per_minute_forecast!$B$21</c:f>
              <c:strCache>
                <c:ptCount val="1"/>
                <c:pt idx="0">
                  <c:v>Human Space Flight</c:v>
                </c:pt>
              </c:strCache>
            </c:strRef>
          </c:tx>
          <c:spPr>
            <a:solidFill>
              <a:schemeClr val="accent1"/>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097-45B9-A21E-8048D9F1732C}"/>
            </c:ext>
          </c:extLst>
        </c:ser>
        <c:ser>
          <c:idx val="1"/>
          <c:order val="1"/>
          <c:tx>
            <c:strRef>
              <c:f>SR_cost_per_minute_forecast!$B$22</c:f>
              <c:strCache>
                <c:ptCount val="1"/>
                <c:pt idx="0">
                  <c:v>Near Earth Robotic - LEO Science</c:v>
                </c:pt>
              </c:strCache>
            </c:strRef>
          </c:tx>
          <c:spPr>
            <a:solidFill>
              <a:schemeClr val="accent2"/>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097-45B9-A21E-8048D9F1732C}"/>
            </c:ext>
          </c:extLst>
        </c:ser>
        <c:ser>
          <c:idx val="2"/>
          <c:order val="2"/>
          <c:tx>
            <c:strRef>
              <c:f>SR_cost_per_minute_forecast!$B$23</c:f>
              <c:strCache>
                <c:ptCount val="1"/>
                <c:pt idx="0">
                  <c:v>Near Earth Robotic - GEO and Near Earth</c:v>
                </c:pt>
              </c:strCache>
            </c:strRef>
          </c:tx>
          <c:spPr>
            <a:solidFill>
              <a:schemeClr val="accent3"/>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097-45B9-A21E-8048D9F1732C}"/>
            </c:ext>
          </c:extLst>
        </c:ser>
        <c:ser>
          <c:idx val="3"/>
          <c:order val="3"/>
          <c:tx>
            <c:strRef>
              <c:f>SR_cost_per_minute_forecast!$B$24</c:f>
              <c:strCache>
                <c:ptCount val="1"/>
                <c:pt idx="0">
                  <c:v>Deep Space Robotic</c:v>
                </c:pt>
              </c:strCache>
            </c:strRef>
          </c:tx>
          <c:spPr>
            <a:solidFill>
              <a:schemeClr val="accent4"/>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097-45B9-A21E-8048D9F1732C}"/>
            </c:ext>
          </c:extLst>
        </c:ser>
        <c:ser>
          <c:idx val="4"/>
          <c:order val="4"/>
          <c:tx>
            <c:strRef>
              <c:f>SR_cost_per_minute_forecast!$B$25</c:f>
              <c:strCache>
                <c:ptCount val="1"/>
                <c:pt idx="0">
                  <c:v>Near Earth Robotic - Low Latency &amp; Complex Needs</c:v>
                </c:pt>
              </c:strCache>
            </c:strRef>
          </c:tx>
          <c:spPr>
            <a:solidFill>
              <a:schemeClr val="accent5"/>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097-45B9-A21E-8048D9F1732C}"/>
            </c:ext>
          </c:extLst>
        </c:ser>
        <c:ser>
          <c:idx val="5"/>
          <c:order val="5"/>
          <c:tx>
            <c:strRef>
              <c:f>SR_cost_per_minute_forecast!$B$26</c:f>
              <c:strCache>
                <c:ptCount val="1"/>
                <c:pt idx="0">
                  <c:v>Mission Operations</c:v>
                </c:pt>
              </c:strCache>
            </c:strRef>
          </c:tx>
          <c:spPr>
            <a:solidFill>
              <a:schemeClr val="accent6"/>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097-45B9-A21E-8048D9F1732C}"/>
            </c:ext>
          </c:extLst>
        </c:ser>
        <c:ser>
          <c:idx val="6"/>
          <c:order val="6"/>
          <c:tx>
            <c:strRef>
              <c:f>SR_cost_per_minute_forecast!$B$27</c:f>
              <c:strCache>
                <c:ptCount val="1"/>
                <c:pt idx="0">
                  <c:v>Launch Events</c:v>
                </c:pt>
              </c:strCache>
            </c:strRef>
          </c:tx>
          <c:spPr>
            <a:solidFill>
              <a:schemeClr val="accent1">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097-45B9-A21E-8048D9F1732C}"/>
            </c:ext>
          </c:extLst>
        </c:ser>
        <c:ser>
          <c:idx val="7"/>
          <c:order val="7"/>
          <c:tx>
            <c:strRef>
              <c:f>SR_cost_per_minute_forecast!$B$28</c:f>
              <c:strCache>
                <c:ptCount val="1"/>
                <c:pt idx="0">
                  <c:v>Terrestrial &amp; Aerial</c:v>
                </c:pt>
              </c:strCache>
            </c:strRef>
          </c:tx>
          <c:spPr>
            <a:solidFill>
              <a:schemeClr val="accent2">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097-45B9-A21E-8048D9F1732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SR_cost_per_minute_forecast!$B$39</c:f>
              <c:strCache>
                <c:ptCount val="1"/>
                <c:pt idx="0">
                  <c:v>Human Space Flight</c:v>
                </c:pt>
              </c:strCache>
            </c:strRef>
          </c:tx>
          <c:spPr>
            <a:solidFill>
              <a:schemeClr val="accent1"/>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91F-48B7-A5AC-8C2D8131F408}"/>
            </c:ext>
          </c:extLst>
        </c:ser>
        <c:ser>
          <c:idx val="1"/>
          <c:order val="1"/>
          <c:tx>
            <c:strRef>
              <c:f>SR_cost_per_minute_forecast!$B$40</c:f>
              <c:strCache>
                <c:ptCount val="1"/>
                <c:pt idx="0">
                  <c:v>Near Earth Robotic - LEO Science</c:v>
                </c:pt>
              </c:strCache>
            </c:strRef>
          </c:tx>
          <c:spPr>
            <a:solidFill>
              <a:schemeClr val="accent2"/>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91F-48B7-A5AC-8C2D8131F408}"/>
            </c:ext>
          </c:extLst>
        </c:ser>
        <c:ser>
          <c:idx val="2"/>
          <c:order val="2"/>
          <c:tx>
            <c:strRef>
              <c:f>SR_cost_per_minute_forecast!$B$41</c:f>
              <c:strCache>
                <c:ptCount val="1"/>
                <c:pt idx="0">
                  <c:v>Near Earth Robotic - GEO and Near Earth</c:v>
                </c:pt>
              </c:strCache>
            </c:strRef>
          </c:tx>
          <c:spPr>
            <a:solidFill>
              <a:schemeClr val="accent3"/>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191F-48B7-A5AC-8C2D8131F408}"/>
            </c:ext>
          </c:extLst>
        </c:ser>
        <c:ser>
          <c:idx val="3"/>
          <c:order val="3"/>
          <c:tx>
            <c:strRef>
              <c:f>SR_cost_per_minute_forecast!$B$42</c:f>
              <c:strCache>
                <c:ptCount val="1"/>
                <c:pt idx="0">
                  <c:v>Deep Space Robotic</c:v>
                </c:pt>
              </c:strCache>
            </c:strRef>
          </c:tx>
          <c:spPr>
            <a:solidFill>
              <a:schemeClr val="accent4"/>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91F-48B7-A5AC-8C2D8131F408}"/>
            </c:ext>
          </c:extLst>
        </c:ser>
        <c:ser>
          <c:idx val="4"/>
          <c:order val="4"/>
          <c:tx>
            <c:strRef>
              <c:f>SR_cost_per_minute_forecast!$B$43</c:f>
              <c:strCache>
                <c:ptCount val="1"/>
                <c:pt idx="0">
                  <c:v>Near Earth Robotic - Low Latency &amp; Complex Needs</c:v>
                </c:pt>
              </c:strCache>
            </c:strRef>
          </c:tx>
          <c:spPr>
            <a:solidFill>
              <a:schemeClr val="accent5"/>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91F-48B7-A5AC-8C2D8131F408}"/>
            </c:ext>
          </c:extLst>
        </c:ser>
        <c:ser>
          <c:idx val="5"/>
          <c:order val="5"/>
          <c:tx>
            <c:strRef>
              <c:f>SR_cost_per_minute_forecast!$B$44</c:f>
              <c:strCache>
                <c:ptCount val="1"/>
                <c:pt idx="0">
                  <c:v>Mission Operations</c:v>
                </c:pt>
              </c:strCache>
            </c:strRef>
          </c:tx>
          <c:spPr>
            <a:solidFill>
              <a:schemeClr val="accent6"/>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91F-48B7-A5AC-8C2D8131F408}"/>
            </c:ext>
          </c:extLst>
        </c:ser>
        <c:ser>
          <c:idx val="6"/>
          <c:order val="6"/>
          <c:tx>
            <c:strRef>
              <c:f>SR_cost_per_minute_forecast!$B$45</c:f>
              <c:strCache>
                <c:ptCount val="1"/>
                <c:pt idx="0">
                  <c:v>Launch Events</c:v>
                </c:pt>
              </c:strCache>
            </c:strRef>
          </c:tx>
          <c:spPr>
            <a:solidFill>
              <a:schemeClr val="accent1">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191F-48B7-A5AC-8C2D8131F408}"/>
            </c:ext>
          </c:extLst>
        </c:ser>
        <c:ser>
          <c:idx val="7"/>
          <c:order val="7"/>
          <c:tx>
            <c:strRef>
              <c:f>SR_cost_per_minute_forecast!$B$46</c:f>
              <c:strCache>
                <c:ptCount val="1"/>
                <c:pt idx="0">
                  <c:v>Terrestrial &amp; Aerial</c:v>
                </c:pt>
              </c:strCache>
            </c:strRef>
          </c:tx>
          <c:spPr>
            <a:solidFill>
              <a:schemeClr val="accent2">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191F-48B7-A5AC-8C2D8131F40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SR_cost_per_minute_forecast!$B$59</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8E5-41E2-A834-8AD717F037AC}"/>
            </c:ext>
          </c:extLst>
        </c:ser>
        <c:ser>
          <c:idx val="1"/>
          <c:order val="1"/>
          <c:tx>
            <c:strRef>
              <c:f>SR_cost_per_minute_forecast!$B$60</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8E5-41E2-A834-8AD717F037AC}"/>
            </c:ext>
          </c:extLst>
        </c:ser>
        <c:ser>
          <c:idx val="2"/>
          <c:order val="2"/>
          <c:tx>
            <c:strRef>
              <c:f>SR_cost_per_minute_forecast!$B$61</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8E5-41E2-A834-8AD717F037AC}"/>
            </c:ext>
          </c:extLst>
        </c:ser>
        <c:ser>
          <c:idx val="3"/>
          <c:order val="3"/>
          <c:tx>
            <c:strRef>
              <c:f>SR_cost_per_minute_forecast!$B$62</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8E5-41E2-A834-8AD717F037AC}"/>
            </c:ext>
          </c:extLst>
        </c:ser>
        <c:ser>
          <c:idx val="4"/>
          <c:order val="4"/>
          <c:tx>
            <c:strRef>
              <c:f>SR_cost_per_minute_forecast!$B$63</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8E5-41E2-A834-8AD717F037AC}"/>
            </c:ext>
          </c:extLst>
        </c:ser>
        <c:ser>
          <c:idx val="5"/>
          <c:order val="5"/>
          <c:tx>
            <c:strRef>
              <c:f>SR_cost_per_minute_forecast!$B$64</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8E5-41E2-A834-8AD717F037AC}"/>
            </c:ext>
          </c:extLst>
        </c:ser>
        <c:ser>
          <c:idx val="6"/>
          <c:order val="6"/>
          <c:tx>
            <c:strRef>
              <c:f>SR_cost_per_minute_forecast!$B$65</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8E5-41E2-A834-8AD717F037AC}"/>
            </c:ext>
          </c:extLst>
        </c:ser>
        <c:ser>
          <c:idx val="7"/>
          <c:order val="7"/>
          <c:tx>
            <c:strRef>
              <c:f>SR_cost_per_minute_forecast!$B$66</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8E5-41E2-A834-8AD717F037A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SR_cost_per_minute_forecast!$B$77</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872-49CC-B700-4537783BB6C5}"/>
            </c:ext>
          </c:extLst>
        </c:ser>
        <c:ser>
          <c:idx val="1"/>
          <c:order val="1"/>
          <c:tx>
            <c:strRef>
              <c:f>SR_cost_per_minute_forecast!$B$78</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872-49CC-B700-4537783BB6C5}"/>
            </c:ext>
          </c:extLst>
        </c:ser>
        <c:ser>
          <c:idx val="2"/>
          <c:order val="2"/>
          <c:tx>
            <c:strRef>
              <c:f>SR_cost_per_minute_forecast!$B$79</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872-49CC-B700-4537783BB6C5}"/>
            </c:ext>
          </c:extLst>
        </c:ser>
        <c:ser>
          <c:idx val="3"/>
          <c:order val="3"/>
          <c:tx>
            <c:strRef>
              <c:f>SR_cost_per_minute_forecast!$B$80</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872-49CC-B700-4537783BB6C5}"/>
            </c:ext>
          </c:extLst>
        </c:ser>
        <c:ser>
          <c:idx val="4"/>
          <c:order val="4"/>
          <c:tx>
            <c:strRef>
              <c:f>SR_cost_per_minute_forecast!$B$81</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872-49CC-B700-4537783BB6C5}"/>
            </c:ext>
          </c:extLst>
        </c:ser>
        <c:ser>
          <c:idx val="5"/>
          <c:order val="5"/>
          <c:tx>
            <c:strRef>
              <c:f>SR_cost_per_minute_forecast!$B$82</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872-49CC-B700-4537783BB6C5}"/>
            </c:ext>
          </c:extLst>
        </c:ser>
        <c:ser>
          <c:idx val="6"/>
          <c:order val="6"/>
          <c:tx>
            <c:strRef>
              <c:f>SR_cost_per_minute_forecast!$B$83</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872-49CC-B700-4537783BB6C5}"/>
            </c:ext>
          </c:extLst>
        </c:ser>
        <c:ser>
          <c:idx val="7"/>
          <c:order val="7"/>
          <c:tx>
            <c:strRef>
              <c:f>SR_cost_per_minute_forecast!$B$84</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872-49CC-B700-4537783BB6C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SR_cost_per_minute_forecast!$B$95</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452-4826-A3E9-999FA93FA8F8}"/>
            </c:ext>
          </c:extLst>
        </c:ser>
        <c:ser>
          <c:idx val="1"/>
          <c:order val="1"/>
          <c:tx>
            <c:strRef>
              <c:f>SR_cost_per_minute_forecast!$B$96</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452-4826-A3E9-999FA93FA8F8}"/>
            </c:ext>
          </c:extLst>
        </c:ser>
        <c:ser>
          <c:idx val="2"/>
          <c:order val="2"/>
          <c:tx>
            <c:strRef>
              <c:f>SR_cost_per_minute_forecast!$B$97</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452-4826-A3E9-999FA93FA8F8}"/>
            </c:ext>
          </c:extLst>
        </c:ser>
        <c:ser>
          <c:idx val="3"/>
          <c:order val="3"/>
          <c:tx>
            <c:strRef>
              <c:f>SR_cost_per_minute_forecast!$B$98</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452-4826-A3E9-999FA93FA8F8}"/>
            </c:ext>
          </c:extLst>
        </c:ser>
        <c:ser>
          <c:idx val="4"/>
          <c:order val="4"/>
          <c:tx>
            <c:strRef>
              <c:f>SR_cost_per_minute_forecast!$B$99</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452-4826-A3E9-999FA93FA8F8}"/>
            </c:ext>
          </c:extLst>
        </c:ser>
        <c:ser>
          <c:idx val="5"/>
          <c:order val="5"/>
          <c:tx>
            <c:strRef>
              <c:f>SR_cost_per_minute_forecast!$B$100</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452-4826-A3E9-999FA93FA8F8}"/>
            </c:ext>
          </c:extLst>
        </c:ser>
        <c:ser>
          <c:idx val="6"/>
          <c:order val="6"/>
          <c:tx>
            <c:strRef>
              <c:f>SR_cost_per_minute_forecast!$B$101</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452-4826-A3E9-999FA93FA8F8}"/>
            </c:ext>
          </c:extLst>
        </c:ser>
        <c:ser>
          <c:idx val="7"/>
          <c:order val="7"/>
          <c:tx>
            <c:strRef>
              <c:f>SR_cost_per_minute_forecast!$B$102</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452-4826-A3E9-999FA93FA8F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SR_cost_per_minute_forecast!$B$115</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E2B-4778-AF9D-D5CFF7D39912}"/>
            </c:ext>
          </c:extLst>
        </c:ser>
        <c:ser>
          <c:idx val="1"/>
          <c:order val="1"/>
          <c:tx>
            <c:strRef>
              <c:f>SR_cost_per_minute_forecast!$B$116</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2B-4778-AF9D-D5CFF7D39912}"/>
            </c:ext>
          </c:extLst>
        </c:ser>
        <c:ser>
          <c:idx val="2"/>
          <c:order val="2"/>
          <c:tx>
            <c:strRef>
              <c:f>SR_cost_per_minute_forecast!$B$117</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E2B-4778-AF9D-D5CFF7D39912}"/>
            </c:ext>
          </c:extLst>
        </c:ser>
        <c:ser>
          <c:idx val="3"/>
          <c:order val="3"/>
          <c:tx>
            <c:strRef>
              <c:f>SR_cost_per_minute_forecast!$B$118</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E2B-4778-AF9D-D5CFF7D39912}"/>
            </c:ext>
          </c:extLst>
        </c:ser>
        <c:ser>
          <c:idx val="4"/>
          <c:order val="4"/>
          <c:tx>
            <c:strRef>
              <c:f>SR_cost_per_minute_forecast!$B$119</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E2B-4778-AF9D-D5CFF7D39912}"/>
            </c:ext>
          </c:extLst>
        </c:ser>
        <c:ser>
          <c:idx val="5"/>
          <c:order val="5"/>
          <c:tx>
            <c:strRef>
              <c:f>SR_cost_per_minute_forecast!$B$120</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E2B-4778-AF9D-D5CFF7D39912}"/>
            </c:ext>
          </c:extLst>
        </c:ser>
        <c:ser>
          <c:idx val="6"/>
          <c:order val="6"/>
          <c:tx>
            <c:strRef>
              <c:f>SR_cost_per_minute_forecast!$B$121</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E2B-4778-AF9D-D5CFF7D39912}"/>
            </c:ext>
          </c:extLst>
        </c:ser>
        <c:ser>
          <c:idx val="7"/>
          <c:order val="7"/>
          <c:tx>
            <c:strRef>
              <c:f>SR_cost_per_minute_forecast!$B$122</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E2B-4778-AF9D-D5CFF7D3991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SR_cost_per_minute_forecast!$B$133</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505-4F3B-8446-D51ACDF5E406}"/>
            </c:ext>
          </c:extLst>
        </c:ser>
        <c:ser>
          <c:idx val="1"/>
          <c:order val="1"/>
          <c:tx>
            <c:strRef>
              <c:f>SR_cost_per_minute_forecast!$B$134</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505-4F3B-8446-D51ACDF5E406}"/>
            </c:ext>
          </c:extLst>
        </c:ser>
        <c:ser>
          <c:idx val="2"/>
          <c:order val="2"/>
          <c:tx>
            <c:strRef>
              <c:f>SR_cost_per_minute_forecast!$B$135</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505-4F3B-8446-D51ACDF5E406}"/>
            </c:ext>
          </c:extLst>
        </c:ser>
        <c:ser>
          <c:idx val="3"/>
          <c:order val="3"/>
          <c:tx>
            <c:strRef>
              <c:f>SR_cost_per_minute_forecast!$B$136</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505-4F3B-8446-D51ACDF5E406}"/>
            </c:ext>
          </c:extLst>
        </c:ser>
        <c:ser>
          <c:idx val="4"/>
          <c:order val="4"/>
          <c:tx>
            <c:strRef>
              <c:f>SR_cost_per_minute_forecast!$B$137</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505-4F3B-8446-D51ACDF5E406}"/>
            </c:ext>
          </c:extLst>
        </c:ser>
        <c:ser>
          <c:idx val="5"/>
          <c:order val="5"/>
          <c:tx>
            <c:strRef>
              <c:f>SR_cost_per_minute_forecast!$B$138</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505-4F3B-8446-D51ACDF5E406}"/>
            </c:ext>
          </c:extLst>
        </c:ser>
        <c:ser>
          <c:idx val="6"/>
          <c:order val="6"/>
          <c:tx>
            <c:strRef>
              <c:f>SR_cost_per_minute_forecast!$B$139</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505-4F3B-8446-D51ACDF5E406}"/>
            </c:ext>
          </c:extLst>
        </c:ser>
        <c:ser>
          <c:idx val="7"/>
          <c:order val="7"/>
          <c:tx>
            <c:strRef>
              <c:f>SR_cost_per_minute_forecast!$B$140</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505-4F3B-8446-D51ACDF5E40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SR_cost_per_minute_forecast!$B$151</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17B-49B3-B3EA-7200A29DF807}"/>
            </c:ext>
          </c:extLst>
        </c:ser>
        <c:ser>
          <c:idx val="1"/>
          <c:order val="1"/>
          <c:tx>
            <c:strRef>
              <c:f>SR_cost_per_minute_forecast!$B$152</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17B-49B3-B3EA-7200A29DF807}"/>
            </c:ext>
          </c:extLst>
        </c:ser>
        <c:ser>
          <c:idx val="2"/>
          <c:order val="2"/>
          <c:tx>
            <c:strRef>
              <c:f>SR_cost_per_minute_forecast!$B$153</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17B-49B3-B3EA-7200A29DF807}"/>
            </c:ext>
          </c:extLst>
        </c:ser>
        <c:ser>
          <c:idx val="3"/>
          <c:order val="3"/>
          <c:tx>
            <c:strRef>
              <c:f>SR_cost_per_minute_forecast!$B$154</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17B-49B3-B3EA-7200A29DF807}"/>
            </c:ext>
          </c:extLst>
        </c:ser>
        <c:ser>
          <c:idx val="4"/>
          <c:order val="4"/>
          <c:tx>
            <c:strRef>
              <c:f>SR_cost_per_minute_forecast!$B$155</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17B-49B3-B3EA-7200A29DF807}"/>
            </c:ext>
          </c:extLst>
        </c:ser>
        <c:ser>
          <c:idx val="5"/>
          <c:order val="5"/>
          <c:tx>
            <c:strRef>
              <c:f>SR_cost_per_minute_forecast!$B$156</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17B-49B3-B3EA-7200A29DF807}"/>
            </c:ext>
          </c:extLst>
        </c:ser>
        <c:ser>
          <c:idx val="6"/>
          <c:order val="6"/>
          <c:tx>
            <c:strRef>
              <c:f>SR_cost_per_minute_forecast!$B$157</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17B-49B3-B3EA-7200A29DF807}"/>
            </c:ext>
          </c:extLst>
        </c:ser>
        <c:ser>
          <c:idx val="7"/>
          <c:order val="7"/>
          <c:tx>
            <c:strRef>
              <c:f>SR_cost_per_minute_forecast!$B$158</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17B-49B3-B3EA-7200A29DF80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SR_cost_per_minute_forecast!$B$171</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5BB-43C7-B6C8-5252BEE63648}"/>
            </c:ext>
          </c:extLst>
        </c:ser>
        <c:ser>
          <c:idx val="1"/>
          <c:order val="1"/>
          <c:tx>
            <c:strRef>
              <c:f>SR_cost_per_minute_forecast!$B$172</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5BB-43C7-B6C8-5252BEE63648}"/>
            </c:ext>
          </c:extLst>
        </c:ser>
        <c:ser>
          <c:idx val="2"/>
          <c:order val="2"/>
          <c:tx>
            <c:strRef>
              <c:f>SR_cost_per_minute_forecast!$B$173</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5BB-43C7-B6C8-5252BEE63648}"/>
            </c:ext>
          </c:extLst>
        </c:ser>
        <c:ser>
          <c:idx val="3"/>
          <c:order val="3"/>
          <c:tx>
            <c:strRef>
              <c:f>SR_cost_per_minute_forecast!$B$174</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5BB-43C7-B6C8-5252BEE63648}"/>
            </c:ext>
          </c:extLst>
        </c:ser>
        <c:ser>
          <c:idx val="4"/>
          <c:order val="4"/>
          <c:tx>
            <c:strRef>
              <c:f>SR_cost_per_minute_forecast!$B$175</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5BB-43C7-B6C8-5252BEE63648}"/>
            </c:ext>
          </c:extLst>
        </c:ser>
        <c:ser>
          <c:idx val="5"/>
          <c:order val="5"/>
          <c:tx>
            <c:strRef>
              <c:f>SR_cost_per_minute_forecast!$B$176</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5BB-43C7-B6C8-5252BEE63648}"/>
            </c:ext>
          </c:extLst>
        </c:ser>
        <c:ser>
          <c:idx val="6"/>
          <c:order val="6"/>
          <c:tx>
            <c:strRef>
              <c:f>SR_cost_per_minute_forecast!$B$177</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5BB-43C7-B6C8-5252BEE63648}"/>
            </c:ext>
          </c:extLst>
        </c:ser>
        <c:ser>
          <c:idx val="7"/>
          <c:order val="7"/>
          <c:tx>
            <c:strRef>
              <c:f>SR_cost_per_minute_forecast!$B$178</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5BB-43C7-B6C8-5252BEE6364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SR_cost_per_minute_forecast!$B$189</c:f>
              <c:strCache>
                <c:ptCount val="1"/>
                <c:pt idx="0">
                  <c:v>Human Space Flight</c:v>
                </c:pt>
              </c:strCache>
            </c:strRef>
          </c:tx>
          <c:spPr>
            <a:solidFill>
              <a:schemeClr val="accent1"/>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5F2-44FC-B45E-4B87A743081D}"/>
            </c:ext>
          </c:extLst>
        </c:ser>
        <c:ser>
          <c:idx val="1"/>
          <c:order val="1"/>
          <c:tx>
            <c:strRef>
              <c:f>SR_cost_per_minute_forecast!$B$190</c:f>
              <c:strCache>
                <c:ptCount val="1"/>
                <c:pt idx="0">
                  <c:v>Near Earth Robotic - LEO Science</c:v>
                </c:pt>
              </c:strCache>
            </c:strRef>
          </c:tx>
          <c:spPr>
            <a:solidFill>
              <a:schemeClr val="accent2"/>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5F2-44FC-B45E-4B87A743081D}"/>
            </c:ext>
          </c:extLst>
        </c:ser>
        <c:ser>
          <c:idx val="2"/>
          <c:order val="2"/>
          <c:tx>
            <c:strRef>
              <c:f>SR_cost_per_minute_forecast!$B$191</c:f>
              <c:strCache>
                <c:ptCount val="1"/>
                <c:pt idx="0">
                  <c:v>Near Earth Robotic - GEO and Near Earth</c:v>
                </c:pt>
              </c:strCache>
            </c:strRef>
          </c:tx>
          <c:spPr>
            <a:solidFill>
              <a:schemeClr val="accent3"/>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5F2-44FC-B45E-4B87A743081D}"/>
            </c:ext>
          </c:extLst>
        </c:ser>
        <c:ser>
          <c:idx val="3"/>
          <c:order val="3"/>
          <c:tx>
            <c:strRef>
              <c:f>SR_cost_per_minute_forecast!$B$192</c:f>
              <c:strCache>
                <c:ptCount val="1"/>
                <c:pt idx="0">
                  <c:v>Deep Space Robotic</c:v>
                </c:pt>
              </c:strCache>
            </c:strRef>
          </c:tx>
          <c:spPr>
            <a:solidFill>
              <a:schemeClr val="accent4"/>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5F2-44FC-B45E-4B87A743081D}"/>
            </c:ext>
          </c:extLst>
        </c:ser>
        <c:ser>
          <c:idx val="4"/>
          <c:order val="4"/>
          <c:tx>
            <c:strRef>
              <c:f>SR_cost_per_minute_forecast!$B$193</c:f>
              <c:strCache>
                <c:ptCount val="1"/>
                <c:pt idx="0">
                  <c:v>Near Earth Robotic - Low Latency &amp; Complex Needs</c:v>
                </c:pt>
              </c:strCache>
            </c:strRef>
          </c:tx>
          <c:spPr>
            <a:solidFill>
              <a:schemeClr val="accent5"/>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5F2-44FC-B45E-4B87A743081D}"/>
            </c:ext>
          </c:extLst>
        </c:ser>
        <c:ser>
          <c:idx val="5"/>
          <c:order val="5"/>
          <c:tx>
            <c:strRef>
              <c:f>SR_cost_per_minute_forecast!$B$194</c:f>
              <c:strCache>
                <c:ptCount val="1"/>
                <c:pt idx="0">
                  <c:v>Mission Operations</c:v>
                </c:pt>
              </c:strCache>
            </c:strRef>
          </c:tx>
          <c:spPr>
            <a:solidFill>
              <a:schemeClr val="accent6"/>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5F2-44FC-B45E-4B87A743081D}"/>
            </c:ext>
          </c:extLst>
        </c:ser>
        <c:ser>
          <c:idx val="6"/>
          <c:order val="6"/>
          <c:tx>
            <c:strRef>
              <c:f>SR_cost_per_minute_forecast!$B$195</c:f>
              <c:strCache>
                <c:ptCount val="1"/>
                <c:pt idx="0">
                  <c:v>Launch Events</c:v>
                </c:pt>
              </c:strCache>
            </c:strRef>
          </c:tx>
          <c:spPr>
            <a:solidFill>
              <a:schemeClr val="accent1">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5F2-44FC-B45E-4B87A743081D}"/>
            </c:ext>
          </c:extLst>
        </c:ser>
        <c:ser>
          <c:idx val="7"/>
          <c:order val="7"/>
          <c:tx>
            <c:strRef>
              <c:f>SR_cost_per_minute_forecast!$B$196</c:f>
              <c:strCache>
                <c:ptCount val="1"/>
                <c:pt idx="0">
                  <c:v>Terrestrial &amp; Aerial</c:v>
                </c:pt>
              </c:strCache>
            </c:strRef>
          </c:tx>
          <c:spPr>
            <a:solidFill>
              <a:schemeClr val="accent2">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D5F2-44FC-B45E-4B87A743081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SR_cost_per_minute_forecast!$B$207</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FC4-4128-BCD5-62AB0F8ED9F9}"/>
            </c:ext>
          </c:extLst>
        </c:ser>
        <c:ser>
          <c:idx val="1"/>
          <c:order val="1"/>
          <c:tx>
            <c:strRef>
              <c:f>SR_cost_per_minute_forecast!$B$208</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FC4-4128-BCD5-62AB0F8ED9F9}"/>
            </c:ext>
          </c:extLst>
        </c:ser>
        <c:ser>
          <c:idx val="2"/>
          <c:order val="2"/>
          <c:tx>
            <c:strRef>
              <c:f>SR_cost_per_minute_forecast!$B$209</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FC4-4128-BCD5-62AB0F8ED9F9}"/>
            </c:ext>
          </c:extLst>
        </c:ser>
        <c:ser>
          <c:idx val="3"/>
          <c:order val="3"/>
          <c:tx>
            <c:strRef>
              <c:f>SR_cost_per_minute_forecast!$B$210</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FC4-4128-BCD5-62AB0F8ED9F9}"/>
            </c:ext>
          </c:extLst>
        </c:ser>
        <c:ser>
          <c:idx val="4"/>
          <c:order val="4"/>
          <c:tx>
            <c:strRef>
              <c:f>SR_cost_per_minute_forecast!$B$211</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FC4-4128-BCD5-62AB0F8ED9F9}"/>
            </c:ext>
          </c:extLst>
        </c:ser>
        <c:ser>
          <c:idx val="5"/>
          <c:order val="5"/>
          <c:tx>
            <c:strRef>
              <c:f>SR_cost_per_minute_forecast!$B$212</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FC4-4128-BCD5-62AB0F8ED9F9}"/>
            </c:ext>
          </c:extLst>
        </c:ser>
        <c:ser>
          <c:idx val="6"/>
          <c:order val="6"/>
          <c:tx>
            <c:strRef>
              <c:f>SR_cost_per_minute_forecast!$B$213</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FC4-4128-BCD5-62AB0F8ED9F9}"/>
            </c:ext>
          </c:extLst>
        </c:ser>
        <c:ser>
          <c:idx val="7"/>
          <c:order val="7"/>
          <c:tx>
            <c:strRef>
              <c:f>SR_cost_per_minute_forecast!$B$214</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FC4-4128-BCD5-62AB0F8ED9F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c:f>
              <c:strCache>
                <c:ptCount val="1"/>
                <c:pt idx="0">
                  <c:v>Low Demand</c:v>
                </c:pt>
              </c:strCache>
            </c:strRef>
          </c:tx>
          <c:spPr>
            <a:ln w="28575" cap="rnd">
              <a:solidFill>
                <a:schemeClr val="accent1"/>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CC23-44A7-97BF-2EB7E547CF55}"/>
            </c:ext>
          </c:extLst>
        </c:ser>
        <c:ser>
          <c:idx val="1"/>
          <c:order val="1"/>
          <c:tx>
            <c:strRef>
              <c:f>DTE_cost_per_minute_forecast!$B$19</c:f>
              <c:strCache>
                <c:ptCount val="1"/>
                <c:pt idx="0">
                  <c:v>Baseline Demand</c:v>
                </c:pt>
              </c:strCache>
            </c:strRef>
          </c:tx>
          <c:spPr>
            <a:ln w="28575" cap="rnd">
              <a:solidFill>
                <a:schemeClr val="accent2"/>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CC23-44A7-97BF-2EB7E547CF55}"/>
            </c:ext>
          </c:extLst>
        </c:ser>
        <c:ser>
          <c:idx val="2"/>
          <c:order val="2"/>
          <c:tx>
            <c:strRef>
              <c:f>DTE_cost_per_minute_forecast!$B$37</c:f>
              <c:strCache>
                <c:ptCount val="1"/>
                <c:pt idx="0">
                  <c:v>High Demand</c:v>
                </c:pt>
              </c:strCache>
            </c:strRef>
          </c:tx>
          <c:spPr>
            <a:ln w="28575" cap="rnd">
              <a:solidFill>
                <a:schemeClr val="accent3"/>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CC23-44A7-97BF-2EB7E547CF55}"/>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DTE_cost_per_minute_forecast!$B$57</c:f>
              <c:strCache>
                <c:ptCount val="1"/>
                <c:pt idx="0">
                  <c:v>Low Demand</c:v>
                </c:pt>
              </c:strCache>
            </c:strRef>
          </c:tx>
          <c:spPr>
            <a:ln w="28575" cap="rnd">
              <a:solidFill>
                <a:schemeClr val="accent1"/>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FE4B-4B46-B4E9-E22FC8910F71}"/>
            </c:ext>
          </c:extLst>
        </c:ser>
        <c:ser>
          <c:idx val="1"/>
          <c:order val="1"/>
          <c:tx>
            <c:strRef>
              <c:f>DTE_cost_per_minute_forecast!$B$75</c:f>
              <c:strCache>
                <c:ptCount val="1"/>
                <c:pt idx="0">
                  <c:v>Baseline Demand</c:v>
                </c:pt>
              </c:strCache>
            </c:strRef>
          </c:tx>
          <c:spPr>
            <a:ln w="28575" cap="rnd">
              <a:solidFill>
                <a:schemeClr val="accent2"/>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FE4B-4B46-B4E9-E22FC8910F71}"/>
            </c:ext>
          </c:extLst>
        </c:ser>
        <c:ser>
          <c:idx val="2"/>
          <c:order val="2"/>
          <c:tx>
            <c:strRef>
              <c:f>DTE_cost_per_minute_forecast!$B$93</c:f>
              <c:strCache>
                <c:ptCount val="1"/>
                <c:pt idx="0">
                  <c:v>High Demand</c:v>
                </c:pt>
              </c:strCache>
            </c:strRef>
          </c:tx>
          <c:spPr>
            <a:ln w="28575" cap="rnd">
              <a:solidFill>
                <a:schemeClr val="accent3"/>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FE4B-4B46-B4E9-E22FC8910F71}"/>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DTE_cost_per_minute_forecast!$B$113</c:f>
              <c:strCache>
                <c:ptCount val="1"/>
                <c:pt idx="0">
                  <c:v>Low Demand</c:v>
                </c:pt>
              </c:strCache>
            </c:strRef>
          </c:tx>
          <c:spPr>
            <a:ln w="28575" cap="rnd">
              <a:solidFill>
                <a:schemeClr val="accent1"/>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2008-418A-A723-AF83794B2BB7}"/>
            </c:ext>
          </c:extLst>
        </c:ser>
        <c:ser>
          <c:idx val="1"/>
          <c:order val="1"/>
          <c:tx>
            <c:strRef>
              <c:f>DTE_cost_per_minute_forecast!$B$131</c:f>
              <c:strCache>
                <c:ptCount val="1"/>
                <c:pt idx="0">
                  <c:v>Baseline Demand</c:v>
                </c:pt>
              </c:strCache>
            </c:strRef>
          </c:tx>
          <c:spPr>
            <a:ln w="28575" cap="rnd">
              <a:solidFill>
                <a:schemeClr val="accent2"/>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2008-418A-A723-AF83794B2BB7}"/>
            </c:ext>
          </c:extLst>
        </c:ser>
        <c:ser>
          <c:idx val="2"/>
          <c:order val="2"/>
          <c:tx>
            <c:strRef>
              <c:f>DTE_cost_per_minute_forecast!$B$149</c:f>
              <c:strCache>
                <c:ptCount val="1"/>
                <c:pt idx="0">
                  <c:v>High Demand</c:v>
                </c:pt>
              </c:strCache>
            </c:strRef>
          </c:tx>
          <c:spPr>
            <a:ln w="28575" cap="rnd">
              <a:solidFill>
                <a:schemeClr val="accent3"/>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2008-418A-A723-AF83794B2BB7}"/>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DTE_cost_per_minute_forecast!$B$169</c:f>
              <c:strCache>
                <c:ptCount val="1"/>
                <c:pt idx="0">
                  <c:v>Low Demand</c:v>
                </c:pt>
              </c:strCache>
            </c:strRef>
          </c:tx>
          <c:spPr>
            <a:ln w="28575" cap="rnd">
              <a:solidFill>
                <a:schemeClr val="accent1"/>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94CA-4DAF-A6CC-119A5EC9C243}"/>
            </c:ext>
          </c:extLst>
        </c:ser>
        <c:ser>
          <c:idx val="1"/>
          <c:order val="1"/>
          <c:tx>
            <c:strRef>
              <c:f>DTE_cost_per_minute_forecast!$B$187</c:f>
              <c:strCache>
                <c:ptCount val="1"/>
                <c:pt idx="0">
                  <c:v>Baseline Demand</c:v>
                </c:pt>
              </c:strCache>
            </c:strRef>
          </c:tx>
          <c:spPr>
            <a:ln w="28575" cap="rnd">
              <a:solidFill>
                <a:schemeClr val="accent2"/>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94CA-4DAF-A6CC-119A5EC9C243}"/>
            </c:ext>
          </c:extLst>
        </c:ser>
        <c:ser>
          <c:idx val="2"/>
          <c:order val="2"/>
          <c:tx>
            <c:strRef>
              <c:f>DTE_cost_per_minute_forecast!$B$205</c:f>
              <c:strCache>
                <c:ptCount val="1"/>
                <c:pt idx="0">
                  <c:v>High Demand</c:v>
                </c:pt>
              </c:strCache>
            </c:strRef>
          </c:tx>
          <c:spPr>
            <a:ln w="28575" cap="rnd">
              <a:solidFill>
                <a:schemeClr val="accent3"/>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94CA-4DAF-A6CC-119A5EC9C243}"/>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c:f>
              <c:strCache>
                <c:ptCount val="1"/>
                <c:pt idx="0">
                  <c:v>Low Demand</c:v>
                </c:pt>
              </c:strCache>
            </c:strRef>
          </c:tx>
          <c:spPr>
            <a:ln w="28575" cap="rnd">
              <a:solidFill>
                <a:schemeClr val="accent1"/>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8063-4327-9ACC-765ED19ADFAC}"/>
            </c:ext>
          </c:extLst>
        </c:ser>
        <c:ser>
          <c:idx val="1"/>
          <c:order val="1"/>
          <c:tx>
            <c:strRef>
              <c:f>SR_cost_per_minute_forecast!$B$19</c:f>
              <c:strCache>
                <c:ptCount val="1"/>
                <c:pt idx="0">
                  <c:v>Baseline Demand</c:v>
                </c:pt>
              </c:strCache>
            </c:strRef>
          </c:tx>
          <c:spPr>
            <a:ln w="28575" cap="rnd">
              <a:solidFill>
                <a:schemeClr val="accent2"/>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8063-4327-9ACC-765ED19ADFAC}"/>
            </c:ext>
          </c:extLst>
        </c:ser>
        <c:ser>
          <c:idx val="2"/>
          <c:order val="2"/>
          <c:tx>
            <c:strRef>
              <c:f>SR_cost_per_minute_forecast!$B$37</c:f>
              <c:strCache>
                <c:ptCount val="1"/>
                <c:pt idx="0">
                  <c:v>High Demand</c:v>
                </c:pt>
              </c:strCache>
            </c:strRef>
          </c:tx>
          <c:spPr>
            <a:ln w="28575" cap="rnd">
              <a:solidFill>
                <a:schemeClr val="accent3"/>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8063-4327-9ACC-765ED19ADFA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SR_cost_per_minute_forecast!$B$57</c:f>
              <c:strCache>
                <c:ptCount val="1"/>
                <c:pt idx="0">
                  <c:v>Low Demand</c:v>
                </c:pt>
              </c:strCache>
            </c:strRef>
          </c:tx>
          <c:spPr>
            <a:ln w="28575" cap="rnd">
              <a:solidFill>
                <a:schemeClr val="accent1"/>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A2E2-418E-B461-39DD7D25E4E3}"/>
            </c:ext>
          </c:extLst>
        </c:ser>
        <c:ser>
          <c:idx val="1"/>
          <c:order val="1"/>
          <c:tx>
            <c:strRef>
              <c:f>SR_cost_per_minute_forecast!$B$75</c:f>
              <c:strCache>
                <c:ptCount val="1"/>
                <c:pt idx="0">
                  <c:v>Baseline Demand</c:v>
                </c:pt>
              </c:strCache>
            </c:strRef>
          </c:tx>
          <c:spPr>
            <a:ln w="28575" cap="rnd">
              <a:solidFill>
                <a:schemeClr val="accent2"/>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A2E2-418E-B461-39DD7D25E4E3}"/>
            </c:ext>
          </c:extLst>
        </c:ser>
        <c:ser>
          <c:idx val="2"/>
          <c:order val="2"/>
          <c:tx>
            <c:strRef>
              <c:f>SR_cost_per_minute_forecast!$B$93</c:f>
              <c:strCache>
                <c:ptCount val="1"/>
                <c:pt idx="0">
                  <c:v>High Demand</c:v>
                </c:pt>
              </c:strCache>
            </c:strRef>
          </c:tx>
          <c:spPr>
            <a:ln w="28575" cap="rnd">
              <a:solidFill>
                <a:schemeClr val="accent3"/>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A2E2-418E-B461-39DD7D25E4E3}"/>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SR_cost_per_minute_forecast!$B$113</c:f>
              <c:strCache>
                <c:ptCount val="1"/>
                <c:pt idx="0">
                  <c:v>Low Demand</c:v>
                </c:pt>
              </c:strCache>
            </c:strRef>
          </c:tx>
          <c:spPr>
            <a:ln w="28575" cap="rnd">
              <a:solidFill>
                <a:schemeClr val="accent1"/>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CDBB-4BF4-A8BE-BE0CD11C7085}"/>
            </c:ext>
          </c:extLst>
        </c:ser>
        <c:ser>
          <c:idx val="1"/>
          <c:order val="1"/>
          <c:tx>
            <c:strRef>
              <c:f>SR_cost_per_minute_forecast!$B$131</c:f>
              <c:strCache>
                <c:ptCount val="1"/>
                <c:pt idx="0">
                  <c:v>Baseline Demand</c:v>
                </c:pt>
              </c:strCache>
            </c:strRef>
          </c:tx>
          <c:spPr>
            <a:ln w="28575" cap="rnd">
              <a:solidFill>
                <a:schemeClr val="accent2"/>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CDBB-4BF4-A8BE-BE0CD11C7085}"/>
            </c:ext>
          </c:extLst>
        </c:ser>
        <c:ser>
          <c:idx val="2"/>
          <c:order val="2"/>
          <c:tx>
            <c:strRef>
              <c:f>SR_cost_per_minute_forecast!$B$149</c:f>
              <c:strCache>
                <c:ptCount val="1"/>
                <c:pt idx="0">
                  <c:v>High Demand</c:v>
                </c:pt>
              </c:strCache>
            </c:strRef>
          </c:tx>
          <c:spPr>
            <a:ln w="28575" cap="rnd">
              <a:solidFill>
                <a:schemeClr val="accent3"/>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CDBB-4BF4-A8BE-BE0CD11C7085}"/>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SR_cost_per_minute_forecast!$B$169</c:f>
              <c:strCache>
                <c:ptCount val="1"/>
                <c:pt idx="0">
                  <c:v>Low Demand</c:v>
                </c:pt>
              </c:strCache>
            </c:strRef>
          </c:tx>
          <c:spPr>
            <a:ln w="28575" cap="rnd">
              <a:solidFill>
                <a:schemeClr val="accent1"/>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3638-4B3F-BE1B-149980EF31A0}"/>
            </c:ext>
          </c:extLst>
        </c:ser>
        <c:ser>
          <c:idx val="1"/>
          <c:order val="1"/>
          <c:tx>
            <c:strRef>
              <c:f>SR_cost_per_minute_forecast!$B$187</c:f>
              <c:strCache>
                <c:ptCount val="1"/>
                <c:pt idx="0">
                  <c:v>Baseline Demand</c:v>
                </c:pt>
              </c:strCache>
            </c:strRef>
          </c:tx>
          <c:spPr>
            <a:ln w="28575" cap="rnd">
              <a:solidFill>
                <a:schemeClr val="accent2"/>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3638-4B3F-BE1B-149980EF31A0}"/>
            </c:ext>
          </c:extLst>
        </c:ser>
        <c:ser>
          <c:idx val="2"/>
          <c:order val="2"/>
          <c:tx>
            <c:strRef>
              <c:f>SR_cost_per_minute_forecast!$B$205</c:f>
              <c:strCache>
                <c:ptCount val="1"/>
                <c:pt idx="0">
                  <c:v>High Demand</c:v>
                </c:pt>
              </c:strCache>
            </c:strRef>
          </c:tx>
          <c:spPr>
            <a:ln w="28575" cap="rnd">
              <a:solidFill>
                <a:schemeClr val="accent3"/>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3638-4B3F-BE1B-149980EF31A0}"/>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2" Type="http://schemas.openxmlformats.org/officeDocument/2006/relationships/chart" Target="../charts/chart30.xml"/><Relationship Id="rId16" Type="http://schemas.openxmlformats.org/officeDocument/2006/relationships/chart" Target="../charts/chart44.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52.xml"/><Relationship Id="rId13" Type="http://schemas.openxmlformats.org/officeDocument/2006/relationships/chart" Target="../charts/chart57.xml"/><Relationship Id="rId3" Type="http://schemas.openxmlformats.org/officeDocument/2006/relationships/chart" Target="../charts/chart47.xml"/><Relationship Id="rId7" Type="http://schemas.openxmlformats.org/officeDocument/2006/relationships/chart" Target="../charts/chart51.xml"/><Relationship Id="rId12" Type="http://schemas.openxmlformats.org/officeDocument/2006/relationships/chart" Target="../charts/chart56.xml"/><Relationship Id="rId2" Type="http://schemas.openxmlformats.org/officeDocument/2006/relationships/chart" Target="../charts/chart46.xml"/><Relationship Id="rId16" Type="http://schemas.openxmlformats.org/officeDocument/2006/relationships/chart" Target="../charts/chart60.xml"/><Relationship Id="rId1" Type="http://schemas.openxmlformats.org/officeDocument/2006/relationships/chart" Target="../charts/chart45.xml"/><Relationship Id="rId6" Type="http://schemas.openxmlformats.org/officeDocument/2006/relationships/chart" Target="../charts/chart50.xml"/><Relationship Id="rId11" Type="http://schemas.openxmlformats.org/officeDocument/2006/relationships/chart" Target="../charts/chart55.xml"/><Relationship Id="rId5" Type="http://schemas.openxmlformats.org/officeDocument/2006/relationships/chart" Target="../charts/chart49.xml"/><Relationship Id="rId15" Type="http://schemas.openxmlformats.org/officeDocument/2006/relationships/chart" Target="../charts/chart59.xml"/><Relationship Id="rId10" Type="http://schemas.openxmlformats.org/officeDocument/2006/relationships/chart" Target="../charts/chart54.xml"/><Relationship Id="rId4" Type="http://schemas.openxmlformats.org/officeDocument/2006/relationships/chart" Target="../charts/chart48.xml"/><Relationship Id="rId9" Type="http://schemas.openxmlformats.org/officeDocument/2006/relationships/chart" Target="../charts/chart53.xml"/><Relationship Id="rId14" Type="http://schemas.openxmlformats.org/officeDocument/2006/relationships/chart" Target="../charts/chart58.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63.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6.xml"/><Relationship Id="rId5" Type="http://schemas.openxmlformats.org/officeDocument/2006/relationships/chart" Target="../charts/chart65.xml"/><Relationship Id="rId4" Type="http://schemas.openxmlformats.org/officeDocument/2006/relationships/chart" Target="../charts/chart64.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69.xml"/><Relationship Id="rId2" Type="http://schemas.openxmlformats.org/officeDocument/2006/relationships/chart" Target="../charts/chart68.xml"/><Relationship Id="rId1" Type="http://schemas.openxmlformats.org/officeDocument/2006/relationships/chart" Target="../charts/chart67.xml"/><Relationship Id="rId6" Type="http://schemas.openxmlformats.org/officeDocument/2006/relationships/chart" Target="../charts/chart72.xml"/><Relationship Id="rId5" Type="http://schemas.openxmlformats.org/officeDocument/2006/relationships/chart" Target="../charts/chart71.xml"/><Relationship Id="rId4" Type="http://schemas.openxmlformats.org/officeDocument/2006/relationships/chart" Target="../charts/chart70.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75.xml"/><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chart" Target="../charts/chart78.xml"/><Relationship Id="rId5" Type="http://schemas.openxmlformats.org/officeDocument/2006/relationships/chart" Target="../charts/chart77.xml"/><Relationship Id="rId4" Type="http://schemas.openxmlformats.org/officeDocument/2006/relationships/chart" Target="../charts/chart76.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86.xml"/><Relationship Id="rId3" Type="http://schemas.openxmlformats.org/officeDocument/2006/relationships/chart" Target="../charts/chart81.xml"/><Relationship Id="rId7" Type="http://schemas.openxmlformats.org/officeDocument/2006/relationships/chart" Target="../charts/chart85.xml"/><Relationship Id="rId12" Type="http://schemas.openxmlformats.org/officeDocument/2006/relationships/chart" Target="../charts/chart90.xml"/><Relationship Id="rId2" Type="http://schemas.openxmlformats.org/officeDocument/2006/relationships/chart" Target="../charts/chart80.xml"/><Relationship Id="rId1" Type="http://schemas.openxmlformats.org/officeDocument/2006/relationships/chart" Target="../charts/chart79.xml"/><Relationship Id="rId6" Type="http://schemas.openxmlformats.org/officeDocument/2006/relationships/chart" Target="../charts/chart84.xml"/><Relationship Id="rId11" Type="http://schemas.openxmlformats.org/officeDocument/2006/relationships/chart" Target="../charts/chart89.xml"/><Relationship Id="rId5" Type="http://schemas.openxmlformats.org/officeDocument/2006/relationships/chart" Target="../charts/chart83.xml"/><Relationship Id="rId10" Type="http://schemas.openxmlformats.org/officeDocument/2006/relationships/chart" Target="../charts/chart88.xml"/><Relationship Id="rId4" Type="http://schemas.openxmlformats.org/officeDocument/2006/relationships/chart" Target="../charts/chart82.xml"/><Relationship Id="rId9" Type="http://schemas.openxmlformats.org/officeDocument/2006/relationships/chart" Target="../charts/chart87.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98.xml"/><Relationship Id="rId3" Type="http://schemas.openxmlformats.org/officeDocument/2006/relationships/chart" Target="../charts/chart93.xml"/><Relationship Id="rId7" Type="http://schemas.openxmlformats.org/officeDocument/2006/relationships/chart" Target="../charts/chart97.xml"/><Relationship Id="rId12" Type="http://schemas.openxmlformats.org/officeDocument/2006/relationships/chart" Target="../charts/chart102.xml"/><Relationship Id="rId2" Type="http://schemas.openxmlformats.org/officeDocument/2006/relationships/chart" Target="../charts/chart92.xml"/><Relationship Id="rId1" Type="http://schemas.openxmlformats.org/officeDocument/2006/relationships/chart" Target="../charts/chart91.xml"/><Relationship Id="rId6" Type="http://schemas.openxmlformats.org/officeDocument/2006/relationships/chart" Target="../charts/chart96.xml"/><Relationship Id="rId11" Type="http://schemas.openxmlformats.org/officeDocument/2006/relationships/chart" Target="../charts/chart101.xml"/><Relationship Id="rId5" Type="http://schemas.openxmlformats.org/officeDocument/2006/relationships/chart" Target="../charts/chart95.xml"/><Relationship Id="rId10" Type="http://schemas.openxmlformats.org/officeDocument/2006/relationships/chart" Target="../charts/chart100.xml"/><Relationship Id="rId4" Type="http://schemas.openxmlformats.org/officeDocument/2006/relationships/chart" Target="../charts/chart94.xml"/><Relationship Id="rId9" Type="http://schemas.openxmlformats.org/officeDocument/2006/relationships/chart" Target="../charts/chart99.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110.xml"/><Relationship Id="rId3" Type="http://schemas.openxmlformats.org/officeDocument/2006/relationships/chart" Target="../charts/chart105.xml"/><Relationship Id="rId7" Type="http://schemas.openxmlformats.org/officeDocument/2006/relationships/chart" Target="../charts/chart109.xml"/><Relationship Id="rId2" Type="http://schemas.openxmlformats.org/officeDocument/2006/relationships/chart" Target="../charts/chart104.xml"/><Relationship Id="rId1" Type="http://schemas.openxmlformats.org/officeDocument/2006/relationships/chart" Target="../charts/chart103.xml"/><Relationship Id="rId6" Type="http://schemas.openxmlformats.org/officeDocument/2006/relationships/chart" Target="../charts/chart108.xml"/><Relationship Id="rId5" Type="http://schemas.openxmlformats.org/officeDocument/2006/relationships/chart" Target="../charts/chart107.xml"/><Relationship Id="rId4" Type="http://schemas.openxmlformats.org/officeDocument/2006/relationships/chart" Target="../charts/chart106.xml"/></Relationships>
</file>

<file path=xl/drawings/drawing1.xml><?xml version="1.0" encoding="utf-8"?>
<xdr:wsDr xmlns:xdr="http://schemas.openxmlformats.org/drawingml/2006/spreadsheetDrawing" xmlns:a="http://schemas.openxmlformats.org/drawingml/2006/main">
  <xdr:twoCellAnchor editAs="oneCell">
    <xdr:from>
      <xdr:col>0</xdr:col>
      <xdr:colOff>540812</xdr:colOff>
      <xdr:row>5</xdr:row>
      <xdr:rowOff>147470</xdr:rowOff>
    </xdr:from>
    <xdr:to>
      <xdr:col>3</xdr:col>
      <xdr:colOff>321926</xdr:colOff>
      <xdr:row>13</xdr:row>
      <xdr:rowOff>34602</xdr:rowOff>
    </xdr:to>
    <xdr:pic>
      <xdr:nvPicPr>
        <xdr:cNvPr id="4" name="Picture 3">
          <a:extLst>
            <a:ext uri="{FF2B5EF4-FFF2-40B4-BE49-F238E27FC236}">
              <a16:creationId xmlns:a16="http://schemas.microsoft.com/office/drawing/2014/main" id="{824BD08B-F7B5-47B2-A205-BB28BC10F3A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0812" y="1191410"/>
          <a:ext cx="1541334" cy="1289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257657</xdr:colOff>
      <xdr:row>5</xdr:row>
      <xdr:rowOff>153955</xdr:rowOff>
    </xdr:from>
    <xdr:to>
      <xdr:col>7</xdr:col>
      <xdr:colOff>289560</xdr:colOff>
      <xdr:row>12</xdr:row>
      <xdr:rowOff>153434</xdr:rowOff>
    </xdr:to>
    <xdr:pic>
      <xdr:nvPicPr>
        <xdr:cNvPr id="6" name="Picture 5">
          <a:extLst>
            <a:ext uri="{FF2B5EF4-FFF2-40B4-BE49-F238E27FC236}">
              <a16:creationId xmlns:a16="http://schemas.microsoft.com/office/drawing/2014/main" id="{852B9A8F-7EAE-47A6-A370-13C96F6BCFD6}"/>
            </a:ext>
          </a:extLst>
        </xdr:cNvPr>
        <xdr:cNvPicPr>
          <a:picLocks noChangeAspect="1"/>
        </xdr:cNvPicPr>
      </xdr:nvPicPr>
      <xdr:blipFill>
        <a:blip xmlns:r="http://schemas.openxmlformats.org/officeDocument/2006/relationships" r:embed="rId2"/>
        <a:stretch>
          <a:fillRect/>
        </a:stretch>
      </xdr:blipFill>
      <xdr:spPr>
        <a:xfrm>
          <a:off x="2086457" y="1197895"/>
          <a:ext cx="2470303" cy="12262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xdr:col>
      <xdr:colOff>231576</xdr:colOff>
      <xdr:row>6</xdr:row>
      <xdr:rowOff>2876</xdr:rowOff>
    </xdr:to>
    <xdr:pic>
      <xdr:nvPicPr>
        <xdr:cNvPr id="4" name="Picture 3">
          <a:extLst>
            <a:ext uri="{FF2B5EF4-FFF2-40B4-BE49-F238E27FC236}">
              <a16:creationId xmlns:a16="http://schemas.microsoft.com/office/drawing/2014/main" id="{63992871-862B-494F-8C73-AFEA6A4FFAD3}"/>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4253" b="3871"/>
        <a:stretch/>
      </xdr:blipFill>
      <xdr:spPr bwMode="auto">
        <a:xfrm>
          <a:off x="1" y="0"/>
          <a:ext cx="1253706" cy="106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376007</xdr:colOff>
      <xdr:row>0</xdr:row>
      <xdr:rowOff>11506</xdr:rowOff>
    </xdr:from>
    <xdr:to>
      <xdr:col>17</xdr:col>
      <xdr:colOff>1</xdr:colOff>
      <xdr:row>6</xdr:row>
      <xdr:rowOff>944</xdr:rowOff>
    </xdr:to>
    <xdr:pic>
      <xdr:nvPicPr>
        <xdr:cNvPr id="6" name="Picture 5">
          <a:extLst>
            <a:ext uri="{FF2B5EF4-FFF2-40B4-BE49-F238E27FC236}">
              <a16:creationId xmlns:a16="http://schemas.microsoft.com/office/drawing/2014/main" id="{D123F857-80C1-4A7A-B725-6B77D81B180D}"/>
            </a:ext>
          </a:extLst>
        </xdr:cNvPr>
        <xdr:cNvPicPr>
          <a:picLocks noChangeAspect="1"/>
        </xdr:cNvPicPr>
      </xdr:nvPicPr>
      <xdr:blipFill rotWithShape="1">
        <a:blip xmlns:r="http://schemas.openxmlformats.org/officeDocument/2006/relationships" r:embed="rId2"/>
        <a:srcRect t="3184" r="4800"/>
        <a:stretch/>
      </xdr:blipFill>
      <xdr:spPr>
        <a:xfrm>
          <a:off x="8300807" y="11506"/>
          <a:ext cx="2062394" cy="1049254"/>
        </a:xfrm>
        <a:prstGeom prst="rect">
          <a:avLst/>
        </a:prstGeom>
      </xdr:spPr>
    </xdr:pic>
    <xdr:clientData/>
  </xdr:twoCellAnchor>
  <xdr:twoCellAnchor editAs="oneCell">
    <xdr:from>
      <xdr:col>0</xdr:col>
      <xdr:colOff>278802</xdr:colOff>
      <xdr:row>22</xdr:row>
      <xdr:rowOff>22860</xdr:rowOff>
    </xdr:from>
    <xdr:to>
      <xdr:col>13</xdr:col>
      <xdr:colOff>310179</xdr:colOff>
      <xdr:row>57</xdr:row>
      <xdr:rowOff>17032</xdr:rowOff>
    </xdr:to>
    <xdr:pic>
      <xdr:nvPicPr>
        <xdr:cNvPr id="5" name="Picture 4">
          <a:extLst>
            <a:ext uri="{FF2B5EF4-FFF2-40B4-BE49-F238E27FC236}">
              <a16:creationId xmlns:a16="http://schemas.microsoft.com/office/drawing/2014/main" id="{BD7EF298-6E4D-4A40-A144-55AE4CD47B6D}"/>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847" t="9922" r="7316" b="600"/>
        <a:stretch/>
      </xdr:blipFill>
      <xdr:spPr bwMode="auto">
        <a:xfrm>
          <a:off x="278802" y="4069080"/>
          <a:ext cx="7758057" cy="6135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925287</xdr:colOff>
      <xdr:row>15</xdr:row>
      <xdr:rowOff>0</xdr:rowOff>
    </xdr:from>
    <xdr:to>
      <xdr:col>8</xdr:col>
      <xdr:colOff>20793</xdr:colOff>
      <xdr:row>28</xdr:row>
      <xdr:rowOff>152379</xdr:rowOff>
    </xdr:to>
    <xdr:graphicFrame macro="">
      <xdr:nvGraphicFramePr>
        <xdr:cNvPr id="7" name="Chart 6">
          <a:extLst>
            <a:ext uri="{FF2B5EF4-FFF2-40B4-BE49-F238E27FC236}">
              <a16:creationId xmlns:a16="http://schemas.microsoft.com/office/drawing/2014/main" id="{C26C6A16-E6E9-4E22-B434-9F0B5A99D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930318</xdr:colOff>
      <xdr:row>30</xdr:row>
      <xdr:rowOff>108856</xdr:rowOff>
    </xdr:from>
    <xdr:to>
      <xdr:col>7</xdr:col>
      <xdr:colOff>1066800</xdr:colOff>
      <xdr:row>47</xdr:row>
      <xdr:rowOff>21771</xdr:rowOff>
    </xdr:to>
    <xdr:graphicFrame macro="">
      <xdr:nvGraphicFramePr>
        <xdr:cNvPr id="8" name="Chart 7">
          <a:extLst>
            <a:ext uri="{FF2B5EF4-FFF2-40B4-BE49-F238E27FC236}">
              <a16:creationId xmlns:a16="http://schemas.microsoft.com/office/drawing/2014/main" id="{A8CB7375-C263-43AE-B571-17779F670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180109</xdr:colOff>
      <xdr:row>32</xdr:row>
      <xdr:rowOff>110835</xdr:rowOff>
    </xdr:from>
    <xdr:to>
      <xdr:col>4</xdr:col>
      <xdr:colOff>1357746</xdr:colOff>
      <xdr:row>49</xdr:row>
      <xdr:rowOff>152399</xdr:rowOff>
    </xdr:to>
    <xdr:graphicFrame macro="">
      <xdr:nvGraphicFramePr>
        <xdr:cNvPr id="7" name="Chart 6">
          <a:extLst>
            <a:ext uri="{FF2B5EF4-FFF2-40B4-BE49-F238E27FC236}">
              <a16:creationId xmlns:a16="http://schemas.microsoft.com/office/drawing/2014/main" id="{87A4E757-D3C4-4F70-A0DE-2C0C7B0CC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1357746</xdr:colOff>
      <xdr:row>32</xdr:row>
      <xdr:rowOff>69271</xdr:rowOff>
    </xdr:from>
    <xdr:to>
      <xdr:col>11</xdr:col>
      <xdr:colOff>55418</xdr:colOff>
      <xdr:row>49</xdr:row>
      <xdr:rowOff>180108</xdr:rowOff>
    </xdr:to>
    <xdr:graphicFrame macro="">
      <xdr:nvGraphicFramePr>
        <xdr:cNvPr id="4" name="Chart 3">
          <a:extLst>
            <a:ext uri="{FF2B5EF4-FFF2-40B4-BE49-F238E27FC236}">
              <a16:creationId xmlns:a16="http://schemas.microsoft.com/office/drawing/2014/main" id="{03AF7FC0-EECF-474B-AC9F-1F18A407B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23</xdr:col>
      <xdr:colOff>990</xdr:colOff>
      <xdr:row>44</xdr:row>
      <xdr:rowOff>36615</xdr:rowOff>
    </xdr:from>
    <xdr:to>
      <xdr:col>32</xdr:col>
      <xdr:colOff>523504</xdr:colOff>
      <xdr:row>68</xdr:row>
      <xdr:rowOff>14845</xdr:rowOff>
    </xdr:to>
    <xdr:graphicFrame macro="">
      <xdr:nvGraphicFramePr>
        <xdr:cNvPr id="2" name="Chart 1">
          <a:extLst>
            <a:ext uri="{FF2B5EF4-FFF2-40B4-BE49-F238E27FC236}">
              <a16:creationId xmlns:a16="http://schemas.microsoft.com/office/drawing/2014/main" id="{9390EA90-C992-4FE9-B2E6-CF7223016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13855</xdr:colOff>
      <xdr:row>119</xdr:row>
      <xdr:rowOff>0</xdr:rowOff>
    </xdr:from>
    <xdr:to>
      <xdr:col>32</xdr:col>
      <xdr:colOff>536369</xdr:colOff>
      <xdr:row>145</xdr:row>
      <xdr:rowOff>190995</xdr:rowOff>
    </xdr:to>
    <xdr:graphicFrame macro="">
      <xdr:nvGraphicFramePr>
        <xdr:cNvPr id="3" name="Chart 2">
          <a:extLst>
            <a:ext uri="{FF2B5EF4-FFF2-40B4-BE49-F238E27FC236}">
              <a16:creationId xmlns:a16="http://schemas.microsoft.com/office/drawing/2014/main" id="{F15D9C3C-F507-49CE-B144-10CF03A9C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595745</xdr:colOff>
      <xdr:row>199</xdr:row>
      <xdr:rowOff>178130</xdr:rowOff>
    </xdr:from>
    <xdr:to>
      <xdr:col>32</xdr:col>
      <xdr:colOff>508659</xdr:colOff>
      <xdr:row>223</xdr:row>
      <xdr:rowOff>184068</xdr:rowOff>
    </xdr:to>
    <xdr:graphicFrame macro="">
      <xdr:nvGraphicFramePr>
        <xdr:cNvPr id="4" name="Chart 3">
          <a:extLst>
            <a:ext uri="{FF2B5EF4-FFF2-40B4-BE49-F238E27FC236}">
              <a16:creationId xmlns:a16="http://schemas.microsoft.com/office/drawing/2014/main" id="{CDD8141A-AC28-4B78-90D1-D40DA5841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588817</xdr:colOff>
      <xdr:row>70</xdr:row>
      <xdr:rowOff>152399</xdr:rowOff>
    </xdr:from>
    <xdr:to>
      <xdr:col>32</xdr:col>
      <xdr:colOff>512618</xdr:colOff>
      <xdr:row>86</xdr:row>
      <xdr:rowOff>27708</xdr:rowOff>
    </xdr:to>
    <xdr:graphicFrame macro="">
      <xdr:nvGraphicFramePr>
        <xdr:cNvPr id="5" name="Chart 4">
          <a:extLst>
            <a:ext uri="{FF2B5EF4-FFF2-40B4-BE49-F238E27FC236}">
              <a16:creationId xmlns:a16="http://schemas.microsoft.com/office/drawing/2014/main" id="{CAFEFE66-FB9C-47C2-B5F0-7EA7E3FC7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6926</xdr:colOff>
      <xdr:row>148</xdr:row>
      <xdr:rowOff>124690</xdr:rowOff>
    </xdr:from>
    <xdr:to>
      <xdr:col>32</xdr:col>
      <xdr:colOff>540327</xdr:colOff>
      <xdr:row>163</xdr:row>
      <xdr:rowOff>180108</xdr:rowOff>
    </xdr:to>
    <xdr:graphicFrame macro="">
      <xdr:nvGraphicFramePr>
        <xdr:cNvPr id="6" name="Chart 5">
          <a:extLst>
            <a:ext uri="{FF2B5EF4-FFF2-40B4-BE49-F238E27FC236}">
              <a16:creationId xmlns:a16="http://schemas.microsoft.com/office/drawing/2014/main" id="{314E422B-5077-4F51-A148-EDA1F9166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227</xdr:row>
      <xdr:rowOff>180108</xdr:rowOff>
    </xdr:from>
    <xdr:to>
      <xdr:col>32</xdr:col>
      <xdr:colOff>533401</xdr:colOff>
      <xdr:row>242</xdr:row>
      <xdr:rowOff>55418</xdr:rowOff>
    </xdr:to>
    <xdr:graphicFrame macro="">
      <xdr:nvGraphicFramePr>
        <xdr:cNvPr id="7" name="Chart 6">
          <a:extLst>
            <a:ext uri="{FF2B5EF4-FFF2-40B4-BE49-F238E27FC236}">
              <a16:creationId xmlns:a16="http://schemas.microsoft.com/office/drawing/2014/main" id="{0836D621-2377-4156-9FE2-732745000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22</xdr:col>
      <xdr:colOff>598716</xdr:colOff>
      <xdr:row>43</xdr:row>
      <xdr:rowOff>87086</xdr:rowOff>
    </xdr:from>
    <xdr:to>
      <xdr:col>32</xdr:col>
      <xdr:colOff>511630</xdr:colOff>
      <xdr:row>69</xdr:row>
      <xdr:rowOff>6928</xdr:rowOff>
    </xdr:to>
    <xdr:graphicFrame macro="">
      <xdr:nvGraphicFramePr>
        <xdr:cNvPr id="10" name="Chart 9">
          <a:extLst>
            <a:ext uri="{FF2B5EF4-FFF2-40B4-BE49-F238E27FC236}">
              <a16:creationId xmlns:a16="http://schemas.microsoft.com/office/drawing/2014/main" id="{BEFED371-B948-4558-9728-4A2F1BF50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1981</xdr:colOff>
      <xdr:row>127</xdr:row>
      <xdr:rowOff>14844</xdr:rowOff>
    </xdr:from>
    <xdr:to>
      <xdr:col>32</xdr:col>
      <xdr:colOff>524495</xdr:colOff>
      <xdr:row>154</xdr:row>
      <xdr:rowOff>167245</xdr:rowOff>
    </xdr:to>
    <xdr:graphicFrame macro="">
      <xdr:nvGraphicFramePr>
        <xdr:cNvPr id="11" name="Chart 10">
          <a:extLst>
            <a:ext uri="{FF2B5EF4-FFF2-40B4-BE49-F238E27FC236}">
              <a16:creationId xmlns:a16="http://schemas.microsoft.com/office/drawing/2014/main" id="{DB8A71E6-582B-4955-ADDC-D7C8C18DC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605642</xdr:colOff>
      <xdr:row>201</xdr:row>
      <xdr:rowOff>56408</xdr:rowOff>
    </xdr:from>
    <xdr:to>
      <xdr:col>32</xdr:col>
      <xdr:colOff>518556</xdr:colOff>
      <xdr:row>227</xdr:row>
      <xdr:rowOff>22762</xdr:rowOff>
    </xdr:to>
    <xdr:graphicFrame macro="">
      <xdr:nvGraphicFramePr>
        <xdr:cNvPr id="12" name="Chart 11">
          <a:extLst>
            <a:ext uri="{FF2B5EF4-FFF2-40B4-BE49-F238E27FC236}">
              <a16:creationId xmlns:a16="http://schemas.microsoft.com/office/drawing/2014/main" id="{0018D2FA-6617-4BFF-BD00-56699DE49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576943</xdr:colOff>
      <xdr:row>71</xdr:row>
      <xdr:rowOff>134586</xdr:rowOff>
    </xdr:from>
    <xdr:to>
      <xdr:col>32</xdr:col>
      <xdr:colOff>500744</xdr:colOff>
      <xdr:row>88</xdr:row>
      <xdr:rowOff>42552</xdr:rowOff>
    </xdr:to>
    <xdr:graphicFrame macro="">
      <xdr:nvGraphicFramePr>
        <xdr:cNvPr id="13" name="Chart 12">
          <a:extLst>
            <a:ext uri="{FF2B5EF4-FFF2-40B4-BE49-F238E27FC236}">
              <a16:creationId xmlns:a16="http://schemas.microsoft.com/office/drawing/2014/main" id="{F5133920-0C95-476B-9EB4-B84280DB8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604652</xdr:colOff>
      <xdr:row>157</xdr:row>
      <xdr:rowOff>99950</xdr:rowOff>
    </xdr:from>
    <xdr:to>
      <xdr:col>32</xdr:col>
      <xdr:colOff>528453</xdr:colOff>
      <xdr:row>175</xdr:row>
      <xdr:rowOff>95002</xdr:rowOff>
    </xdr:to>
    <xdr:graphicFrame macro="">
      <xdr:nvGraphicFramePr>
        <xdr:cNvPr id="14" name="Chart 13">
          <a:extLst>
            <a:ext uri="{FF2B5EF4-FFF2-40B4-BE49-F238E27FC236}">
              <a16:creationId xmlns:a16="http://schemas.microsoft.com/office/drawing/2014/main" id="{3761D90E-860E-445D-A5A4-F957BCF34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9897</xdr:colOff>
      <xdr:row>231</xdr:row>
      <xdr:rowOff>1979</xdr:rowOff>
    </xdr:from>
    <xdr:to>
      <xdr:col>32</xdr:col>
      <xdr:colOff>543298</xdr:colOff>
      <xdr:row>245</xdr:row>
      <xdr:rowOff>182089</xdr:rowOff>
    </xdr:to>
    <xdr:graphicFrame macro="">
      <xdr:nvGraphicFramePr>
        <xdr:cNvPr id="15" name="Chart 14">
          <a:extLst>
            <a:ext uri="{FF2B5EF4-FFF2-40B4-BE49-F238E27FC236}">
              <a16:creationId xmlns:a16="http://schemas.microsoft.com/office/drawing/2014/main" id="{238D0CCC-5F8E-4C1D-9665-01F30D631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22</xdr:col>
      <xdr:colOff>853045</xdr:colOff>
      <xdr:row>40</xdr:row>
      <xdr:rowOff>13854</xdr:rowOff>
    </xdr:from>
    <xdr:to>
      <xdr:col>32</xdr:col>
      <xdr:colOff>475013</xdr:colOff>
      <xdr:row>63</xdr:row>
      <xdr:rowOff>144112</xdr:rowOff>
    </xdr:to>
    <xdr:graphicFrame macro="">
      <xdr:nvGraphicFramePr>
        <xdr:cNvPr id="2" name="Chart 1">
          <a:extLst>
            <a:ext uri="{FF2B5EF4-FFF2-40B4-BE49-F238E27FC236}">
              <a16:creationId xmlns:a16="http://schemas.microsoft.com/office/drawing/2014/main" id="{184122B9-83BA-4064-9FEC-62701D7A4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831272</xdr:colOff>
      <xdr:row>66</xdr:row>
      <xdr:rowOff>93393</xdr:rowOff>
    </xdr:from>
    <xdr:to>
      <xdr:col>32</xdr:col>
      <xdr:colOff>464127</xdr:colOff>
      <xdr:row>81</xdr:row>
      <xdr:rowOff>128648</xdr:rowOff>
    </xdr:to>
    <xdr:graphicFrame macro="">
      <xdr:nvGraphicFramePr>
        <xdr:cNvPr id="3" name="Chart 2">
          <a:extLst>
            <a:ext uri="{FF2B5EF4-FFF2-40B4-BE49-F238E27FC236}">
              <a16:creationId xmlns:a16="http://schemas.microsoft.com/office/drawing/2014/main" id="{8443C0B5-D2D9-4D57-856C-8BBCD0731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10887</xdr:colOff>
      <xdr:row>113</xdr:row>
      <xdr:rowOff>88074</xdr:rowOff>
    </xdr:from>
    <xdr:to>
      <xdr:col>32</xdr:col>
      <xdr:colOff>536369</xdr:colOff>
      <xdr:row>137</xdr:row>
      <xdr:rowOff>44161</xdr:rowOff>
    </xdr:to>
    <xdr:graphicFrame macro="">
      <xdr:nvGraphicFramePr>
        <xdr:cNvPr id="4" name="Chart 3">
          <a:extLst>
            <a:ext uri="{FF2B5EF4-FFF2-40B4-BE49-F238E27FC236}">
              <a16:creationId xmlns:a16="http://schemas.microsoft.com/office/drawing/2014/main" id="{14666678-6E76-4755-A795-1AD58A014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892628</xdr:colOff>
      <xdr:row>139</xdr:row>
      <xdr:rowOff>167614</xdr:rowOff>
    </xdr:from>
    <xdr:to>
      <xdr:col>32</xdr:col>
      <xdr:colOff>525483</xdr:colOff>
      <xdr:row>155</xdr:row>
      <xdr:rowOff>28697</xdr:rowOff>
    </xdr:to>
    <xdr:graphicFrame macro="">
      <xdr:nvGraphicFramePr>
        <xdr:cNvPr id="5" name="Chart 4">
          <a:extLst>
            <a:ext uri="{FF2B5EF4-FFF2-40B4-BE49-F238E27FC236}">
              <a16:creationId xmlns:a16="http://schemas.microsoft.com/office/drawing/2014/main" id="{C44679B2-35D2-46FB-8E58-80544E6B6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881744</xdr:colOff>
      <xdr:row>185</xdr:row>
      <xdr:rowOff>54428</xdr:rowOff>
    </xdr:from>
    <xdr:to>
      <xdr:col>32</xdr:col>
      <xdr:colOff>503712</xdr:colOff>
      <xdr:row>209</xdr:row>
      <xdr:rowOff>10515</xdr:rowOff>
    </xdr:to>
    <xdr:graphicFrame macro="">
      <xdr:nvGraphicFramePr>
        <xdr:cNvPr id="6" name="Chart 5">
          <a:extLst>
            <a:ext uri="{FF2B5EF4-FFF2-40B4-BE49-F238E27FC236}">
              <a16:creationId xmlns:a16="http://schemas.microsoft.com/office/drawing/2014/main" id="{F722E9C4-9832-49A5-9471-7B1E1501C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859971</xdr:colOff>
      <xdr:row>211</xdr:row>
      <xdr:rowOff>133968</xdr:rowOff>
    </xdr:from>
    <xdr:to>
      <xdr:col>32</xdr:col>
      <xdr:colOff>492826</xdr:colOff>
      <xdr:row>226</xdr:row>
      <xdr:rowOff>169223</xdr:rowOff>
    </xdr:to>
    <xdr:graphicFrame macro="">
      <xdr:nvGraphicFramePr>
        <xdr:cNvPr id="7" name="Chart 6">
          <a:extLst>
            <a:ext uri="{FF2B5EF4-FFF2-40B4-BE49-F238E27FC236}">
              <a16:creationId xmlns:a16="http://schemas.microsoft.com/office/drawing/2014/main" id="{1B850669-00C0-4654-BF05-22CAAD7B7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398318</xdr:colOff>
      <xdr:row>0</xdr:row>
      <xdr:rowOff>162792</xdr:rowOff>
    </xdr:from>
    <xdr:to>
      <xdr:col>27</xdr:col>
      <xdr:colOff>899159</xdr:colOff>
      <xdr:row>23</xdr:row>
      <xdr:rowOff>49482</xdr:rowOff>
    </xdr:to>
    <xdr:graphicFrame macro="">
      <xdr:nvGraphicFramePr>
        <xdr:cNvPr id="5" name="Chart 4">
          <a:extLst>
            <a:ext uri="{FF2B5EF4-FFF2-40B4-BE49-F238E27FC236}">
              <a16:creationId xmlns:a16="http://schemas.microsoft.com/office/drawing/2014/main" id="{A6C1D905-CC23-4F6B-9FAC-86D304FAF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380054</xdr:colOff>
      <xdr:row>23</xdr:row>
      <xdr:rowOff>88574</xdr:rowOff>
    </xdr:from>
    <xdr:to>
      <xdr:col>27</xdr:col>
      <xdr:colOff>868680</xdr:colOff>
      <xdr:row>45</xdr:row>
      <xdr:rowOff>162184</xdr:rowOff>
    </xdr:to>
    <xdr:graphicFrame macro="">
      <xdr:nvGraphicFramePr>
        <xdr:cNvPr id="6" name="Chart 5">
          <a:extLst>
            <a:ext uri="{FF2B5EF4-FFF2-40B4-BE49-F238E27FC236}">
              <a16:creationId xmlns:a16="http://schemas.microsoft.com/office/drawing/2014/main" id="{39F8E8D1-6124-49AE-87AC-612B4F433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538842</xdr:colOff>
      <xdr:row>0</xdr:row>
      <xdr:rowOff>189697</xdr:rowOff>
    </xdr:from>
    <xdr:to>
      <xdr:col>29</xdr:col>
      <xdr:colOff>10885</xdr:colOff>
      <xdr:row>28</xdr:row>
      <xdr:rowOff>13606</xdr:rowOff>
    </xdr:to>
    <xdr:graphicFrame macro="">
      <xdr:nvGraphicFramePr>
        <xdr:cNvPr id="2" name="Chart 1">
          <a:extLst>
            <a:ext uri="{FF2B5EF4-FFF2-40B4-BE49-F238E27FC236}">
              <a16:creationId xmlns:a16="http://schemas.microsoft.com/office/drawing/2014/main" id="{49D2A57F-D9AF-4AA8-9B90-9E554888C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537654</xdr:colOff>
      <xdr:row>28</xdr:row>
      <xdr:rowOff>161743</xdr:rowOff>
    </xdr:from>
    <xdr:to>
      <xdr:col>29</xdr:col>
      <xdr:colOff>0</xdr:colOff>
      <xdr:row>54</xdr:row>
      <xdr:rowOff>166008</xdr:rowOff>
    </xdr:to>
    <xdr:graphicFrame macro="">
      <xdr:nvGraphicFramePr>
        <xdr:cNvPr id="3" name="Chart 2">
          <a:extLst>
            <a:ext uri="{FF2B5EF4-FFF2-40B4-BE49-F238E27FC236}">
              <a16:creationId xmlns:a16="http://schemas.microsoft.com/office/drawing/2014/main" id="{B5794E9B-13FB-4738-8D86-060C51692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590550</xdr:colOff>
      <xdr:row>0</xdr:row>
      <xdr:rowOff>136816</xdr:rowOff>
    </xdr:from>
    <xdr:to>
      <xdr:col>29</xdr:col>
      <xdr:colOff>41564</xdr:colOff>
      <xdr:row>27</xdr:row>
      <xdr:rowOff>162111</xdr:rowOff>
    </xdr:to>
    <xdr:graphicFrame macro="">
      <xdr:nvGraphicFramePr>
        <xdr:cNvPr id="7" name="Chart 6">
          <a:extLst>
            <a:ext uri="{FF2B5EF4-FFF2-40B4-BE49-F238E27FC236}">
              <a16:creationId xmlns:a16="http://schemas.microsoft.com/office/drawing/2014/main" id="{3D4D58CB-E73E-42B2-83BC-1A286EEB9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581690</xdr:colOff>
      <xdr:row>28</xdr:row>
      <xdr:rowOff>166753</xdr:rowOff>
    </xdr:from>
    <xdr:to>
      <xdr:col>29</xdr:col>
      <xdr:colOff>55418</xdr:colOff>
      <xdr:row>55</xdr:row>
      <xdr:rowOff>145289</xdr:rowOff>
    </xdr:to>
    <xdr:graphicFrame macro="">
      <xdr:nvGraphicFramePr>
        <xdr:cNvPr id="8" name="Chart 7">
          <a:extLst>
            <a:ext uri="{FF2B5EF4-FFF2-40B4-BE49-F238E27FC236}">
              <a16:creationId xmlns:a16="http://schemas.microsoft.com/office/drawing/2014/main" id="{A274D42F-5A8E-4ACA-A83E-83E8D2340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592778</xdr:colOff>
      <xdr:row>0</xdr:row>
      <xdr:rowOff>167243</xdr:rowOff>
    </xdr:from>
    <xdr:to>
      <xdr:col>33</xdr:col>
      <xdr:colOff>124691</xdr:colOff>
      <xdr:row>18</xdr:row>
      <xdr:rowOff>55418</xdr:rowOff>
    </xdr:to>
    <xdr:graphicFrame macro="">
      <xdr:nvGraphicFramePr>
        <xdr:cNvPr id="2" name="Chart 1">
          <a:extLst>
            <a:ext uri="{FF2B5EF4-FFF2-40B4-BE49-F238E27FC236}">
              <a16:creationId xmlns:a16="http://schemas.microsoft.com/office/drawing/2014/main" id="{A4D5BD66-C13E-4AE3-8BF6-43662B789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603666</xdr:colOff>
      <xdr:row>18</xdr:row>
      <xdr:rowOff>177140</xdr:rowOff>
    </xdr:from>
    <xdr:to>
      <xdr:col>33</xdr:col>
      <xdr:colOff>152400</xdr:colOff>
      <xdr:row>36</xdr:row>
      <xdr:rowOff>13854</xdr:rowOff>
    </xdr:to>
    <xdr:graphicFrame macro="">
      <xdr:nvGraphicFramePr>
        <xdr:cNvPr id="3" name="Chart 2">
          <a:extLst>
            <a:ext uri="{FF2B5EF4-FFF2-40B4-BE49-F238E27FC236}">
              <a16:creationId xmlns:a16="http://schemas.microsoft.com/office/drawing/2014/main" id="{9DBB3131-C857-4BE1-8E49-71400274A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602674</xdr:colOff>
      <xdr:row>36</xdr:row>
      <xdr:rowOff>174172</xdr:rowOff>
    </xdr:from>
    <xdr:to>
      <xdr:col>33</xdr:col>
      <xdr:colOff>166254</xdr:colOff>
      <xdr:row>55</xdr:row>
      <xdr:rowOff>96982</xdr:rowOff>
    </xdr:to>
    <xdr:graphicFrame macro="">
      <xdr:nvGraphicFramePr>
        <xdr:cNvPr id="4" name="Chart 3">
          <a:extLst>
            <a:ext uri="{FF2B5EF4-FFF2-40B4-BE49-F238E27FC236}">
              <a16:creationId xmlns:a16="http://schemas.microsoft.com/office/drawing/2014/main" id="{B132AA24-80BC-4F65-AFAE-CD33F4A85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592282</xdr:colOff>
      <xdr:row>18</xdr:row>
      <xdr:rowOff>69272</xdr:rowOff>
    </xdr:from>
    <xdr:to>
      <xdr:col>43</xdr:col>
      <xdr:colOff>432954</xdr:colOff>
      <xdr:row>36</xdr:row>
      <xdr:rowOff>110835</xdr:rowOff>
    </xdr:to>
    <xdr:graphicFrame macro="">
      <xdr:nvGraphicFramePr>
        <xdr:cNvPr id="8" name="Chart 7">
          <a:extLst>
            <a:ext uri="{FF2B5EF4-FFF2-40B4-BE49-F238E27FC236}">
              <a16:creationId xmlns:a16="http://schemas.microsoft.com/office/drawing/2014/main" id="{70DB4B51-1A61-482F-8015-286174378E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592778</xdr:colOff>
      <xdr:row>56</xdr:row>
      <xdr:rowOff>167243</xdr:rowOff>
    </xdr:from>
    <xdr:to>
      <xdr:col>33</xdr:col>
      <xdr:colOff>124691</xdr:colOff>
      <xdr:row>74</xdr:row>
      <xdr:rowOff>55418</xdr:rowOff>
    </xdr:to>
    <xdr:graphicFrame macro="">
      <xdr:nvGraphicFramePr>
        <xdr:cNvPr id="9" name="Chart 8">
          <a:extLst>
            <a:ext uri="{FF2B5EF4-FFF2-40B4-BE49-F238E27FC236}">
              <a16:creationId xmlns:a16="http://schemas.microsoft.com/office/drawing/2014/main" id="{37960FA5-A402-444B-B244-75165D1F4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603666</xdr:colOff>
      <xdr:row>74</xdr:row>
      <xdr:rowOff>177140</xdr:rowOff>
    </xdr:from>
    <xdr:to>
      <xdr:col>33</xdr:col>
      <xdr:colOff>152400</xdr:colOff>
      <xdr:row>92</xdr:row>
      <xdr:rowOff>13854</xdr:rowOff>
    </xdr:to>
    <xdr:graphicFrame macro="">
      <xdr:nvGraphicFramePr>
        <xdr:cNvPr id="10" name="Chart 9">
          <a:extLst>
            <a:ext uri="{FF2B5EF4-FFF2-40B4-BE49-F238E27FC236}">
              <a16:creationId xmlns:a16="http://schemas.microsoft.com/office/drawing/2014/main" id="{4A1DCEB3-ECB1-4B2E-BE2A-5C5671E70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602674</xdr:colOff>
      <xdr:row>92</xdr:row>
      <xdr:rowOff>174172</xdr:rowOff>
    </xdr:from>
    <xdr:to>
      <xdr:col>33</xdr:col>
      <xdr:colOff>166254</xdr:colOff>
      <xdr:row>111</xdr:row>
      <xdr:rowOff>96982</xdr:rowOff>
    </xdr:to>
    <xdr:graphicFrame macro="">
      <xdr:nvGraphicFramePr>
        <xdr:cNvPr id="11" name="Chart 10">
          <a:extLst>
            <a:ext uri="{FF2B5EF4-FFF2-40B4-BE49-F238E27FC236}">
              <a16:creationId xmlns:a16="http://schemas.microsoft.com/office/drawing/2014/main" id="{652E4667-FAAA-4C53-9DB9-A4918C9F4E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592282</xdr:colOff>
      <xdr:row>74</xdr:row>
      <xdr:rowOff>69272</xdr:rowOff>
    </xdr:from>
    <xdr:to>
      <xdr:col>43</xdr:col>
      <xdr:colOff>432954</xdr:colOff>
      <xdr:row>92</xdr:row>
      <xdr:rowOff>110835</xdr:rowOff>
    </xdr:to>
    <xdr:graphicFrame macro="">
      <xdr:nvGraphicFramePr>
        <xdr:cNvPr id="12" name="Chart 11">
          <a:extLst>
            <a:ext uri="{FF2B5EF4-FFF2-40B4-BE49-F238E27FC236}">
              <a16:creationId xmlns:a16="http://schemas.microsoft.com/office/drawing/2014/main" id="{7E1D274F-03E7-4A2D-83CA-1742DB94B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496</xdr:colOff>
      <xdr:row>113</xdr:row>
      <xdr:rowOff>989</xdr:rowOff>
    </xdr:from>
    <xdr:to>
      <xdr:col>33</xdr:col>
      <xdr:colOff>142009</xdr:colOff>
      <xdr:row>130</xdr:row>
      <xdr:rowOff>69273</xdr:rowOff>
    </xdr:to>
    <xdr:graphicFrame macro="">
      <xdr:nvGraphicFramePr>
        <xdr:cNvPr id="13" name="Chart 12">
          <a:extLst>
            <a:ext uri="{FF2B5EF4-FFF2-40B4-BE49-F238E27FC236}">
              <a16:creationId xmlns:a16="http://schemas.microsoft.com/office/drawing/2014/main" id="{AC4B7566-56CA-49CD-8216-09DE6671B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11384</xdr:colOff>
      <xdr:row>131</xdr:row>
      <xdr:rowOff>10886</xdr:rowOff>
    </xdr:from>
    <xdr:to>
      <xdr:col>33</xdr:col>
      <xdr:colOff>169718</xdr:colOff>
      <xdr:row>148</xdr:row>
      <xdr:rowOff>27709</xdr:rowOff>
    </xdr:to>
    <xdr:graphicFrame macro="">
      <xdr:nvGraphicFramePr>
        <xdr:cNvPr id="14" name="Chart 13">
          <a:extLst>
            <a:ext uri="{FF2B5EF4-FFF2-40B4-BE49-F238E27FC236}">
              <a16:creationId xmlns:a16="http://schemas.microsoft.com/office/drawing/2014/main" id="{77772AE9-3BEA-4A4E-814E-7FE4A17F9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10392</xdr:colOff>
      <xdr:row>149</xdr:row>
      <xdr:rowOff>7917</xdr:rowOff>
    </xdr:from>
    <xdr:to>
      <xdr:col>33</xdr:col>
      <xdr:colOff>183572</xdr:colOff>
      <xdr:row>167</xdr:row>
      <xdr:rowOff>110837</xdr:rowOff>
    </xdr:to>
    <xdr:graphicFrame macro="">
      <xdr:nvGraphicFramePr>
        <xdr:cNvPr id="15" name="Chart 14">
          <a:extLst>
            <a:ext uri="{FF2B5EF4-FFF2-40B4-BE49-F238E27FC236}">
              <a16:creationId xmlns:a16="http://schemas.microsoft.com/office/drawing/2014/main" id="{B6E276E6-685F-4C47-99BE-3C0E9D128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596241</xdr:colOff>
      <xdr:row>169</xdr:row>
      <xdr:rowOff>14843</xdr:rowOff>
    </xdr:from>
    <xdr:to>
      <xdr:col>33</xdr:col>
      <xdr:colOff>128154</xdr:colOff>
      <xdr:row>186</xdr:row>
      <xdr:rowOff>83127</xdr:rowOff>
    </xdr:to>
    <xdr:graphicFrame macro="">
      <xdr:nvGraphicFramePr>
        <xdr:cNvPr id="16" name="Chart 15">
          <a:extLst>
            <a:ext uri="{FF2B5EF4-FFF2-40B4-BE49-F238E27FC236}">
              <a16:creationId xmlns:a16="http://schemas.microsoft.com/office/drawing/2014/main" id="{9D2FC278-4407-4D60-8AF3-C9579A684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607129</xdr:colOff>
      <xdr:row>187</xdr:row>
      <xdr:rowOff>24740</xdr:rowOff>
    </xdr:from>
    <xdr:to>
      <xdr:col>33</xdr:col>
      <xdr:colOff>155863</xdr:colOff>
      <xdr:row>204</xdr:row>
      <xdr:rowOff>41562</xdr:rowOff>
    </xdr:to>
    <xdr:graphicFrame macro="">
      <xdr:nvGraphicFramePr>
        <xdr:cNvPr id="17" name="Chart 16">
          <a:extLst>
            <a:ext uri="{FF2B5EF4-FFF2-40B4-BE49-F238E27FC236}">
              <a16:creationId xmlns:a16="http://schemas.microsoft.com/office/drawing/2014/main" id="{A6272C62-36F3-4955-ACAF-53D1C9AC5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606137</xdr:colOff>
      <xdr:row>205</xdr:row>
      <xdr:rowOff>21771</xdr:rowOff>
    </xdr:from>
    <xdr:to>
      <xdr:col>33</xdr:col>
      <xdr:colOff>169717</xdr:colOff>
      <xdr:row>223</xdr:row>
      <xdr:rowOff>124691</xdr:rowOff>
    </xdr:to>
    <xdr:graphicFrame macro="">
      <xdr:nvGraphicFramePr>
        <xdr:cNvPr id="18" name="Chart 17">
          <a:extLst>
            <a:ext uri="{FF2B5EF4-FFF2-40B4-BE49-F238E27FC236}">
              <a16:creationId xmlns:a16="http://schemas.microsoft.com/office/drawing/2014/main" id="{3F029E1A-C105-4DBC-B80B-46FDEDC02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13854</xdr:colOff>
      <xdr:row>131</xdr:row>
      <xdr:rowOff>0</xdr:rowOff>
    </xdr:from>
    <xdr:to>
      <xdr:col>43</xdr:col>
      <xdr:colOff>464126</xdr:colOff>
      <xdr:row>149</xdr:row>
      <xdr:rowOff>41562</xdr:rowOff>
    </xdr:to>
    <xdr:graphicFrame macro="">
      <xdr:nvGraphicFramePr>
        <xdr:cNvPr id="21" name="Chart 20">
          <a:extLst>
            <a:ext uri="{FF2B5EF4-FFF2-40B4-BE49-F238E27FC236}">
              <a16:creationId xmlns:a16="http://schemas.microsoft.com/office/drawing/2014/main" id="{ED4E93D0-84EA-4E6A-B41D-D50BB763F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187</xdr:row>
      <xdr:rowOff>0</xdr:rowOff>
    </xdr:from>
    <xdr:to>
      <xdr:col>43</xdr:col>
      <xdr:colOff>450272</xdr:colOff>
      <xdr:row>205</xdr:row>
      <xdr:rowOff>41562</xdr:rowOff>
    </xdr:to>
    <xdr:graphicFrame macro="">
      <xdr:nvGraphicFramePr>
        <xdr:cNvPr id="22" name="Chart 21">
          <a:extLst>
            <a:ext uri="{FF2B5EF4-FFF2-40B4-BE49-F238E27FC236}">
              <a16:creationId xmlns:a16="http://schemas.microsoft.com/office/drawing/2014/main" id="{535086A1-6BD9-4F79-9CA1-0FF7DC661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22</xdr:col>
      <xdr:colOff>592778</xdr:colOff>
      <xdr:row>0</xdr:row>
      <xdr:rowOff>167243</xdr:rowOff>
    </xdr:from>
    <xdr:to>
      <xdr:col>33</xdr:col>
      <xdr:colOff>124691</xdr:colOff>
      <xdr:row>18</xdr:row>
      <xdr:rowOff>55418</xdr:rowOff>
    </xdr:to>
    <xdr:graphicFrame macro="">
      <xdr:nvGraphicFramePr>
        <xdr:cNvPr id="2" name="Chart 1">
          <a:extLst>
            <a:ext uri="{FF2B5EF4-FFF2-40B4-BE49-F238E27FC236}">
              <a16:creationId xmlns:a16="http://schemas.microsoft.com/office/drawing/2014/main" id="{E2F8788C-57FD-441D-9BD0-2DE76F8A3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603666</xdr:colOff>
      <xdr:row>18</xdr:row>
      <xdr:rowOff>177140</xdr:rowOff>
    </xdr:from>
    <xdr:to>
      <xdr:col>33</xdr:col>
      <xdr:colOff>152400</xdr:colOff>
      <xdr:row>36</xdr:row>
      <xdr:rowOff>13854</xdr:rowOff>
    </xdr:to>
    <xdr:graphicFrame macro="">
      <xdr:nvGraphicFramePr>
        <xdr:cNvPr id="3" name="Chart 2">
          <a:extLst>
            <a:ext uri="{FF2B5EF4-FFF2-40B4-BE49-F238E27FC236}">
              <a16:creationId xmlns:a16="http://schemas.microsoft.com/office/drawing/2014/main" id="{C7172014-0D2B-42F0-9D4A-5EEE31FC6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602674</xdr:colOff>
      <xdr:row>36</xdr:row>
      <xdr:rowOff>174172</xdr:rowOff>
    </xdr:from>
    <xdr:to>
      <xdr:col>33</xdr:col>
      <xdr:colOff>166254</xdr:colOff>
      <xdr:row>55</xdr:row>
      <xdr:rowOff>96982</xdr:rowOff>
    </xdr:to>
    <xdr:graphicFrame macro="">
      <xdr:nvGraphicFramePr>
        <xdr:cNvPr id="4" name="Chart 3">
          <a:extLst>
            <a:ext uri="{FF2B5EF4-FFF2-40B4-BE49-F238E27FC236}">
              <a16:creationId xmlns:a16="http://schemas.microsoft.com/office/drawing/2014/main" id="{106D299F-BA87-4081-8690-B5A2549AB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592282</xdr:colOff>
      <xdr:row>18</xdr:row>
      <xdr:rowOff>69272</xdr:rowOff>
    </xdr:from>
    <xdr:to>
      <xdr:col>43</xdr:col>
      <xdr:colOff>432954</xdr:colOff>
      <xdr:row>36</xdr:row>
      <xdr:rowOff>110835</xdr:rowOff>
    </xdr:to>
    <xdr:graphicFrame macro="">
      <xdr:nvGraphicFramePr>
        <xdr:cNvPr id="5" name="Chart 4">
          <a:extLst>
            <a:ext uri="{FF2B5EF4-FFF2-40B4-BE49-F238E27FC236}">
              <a16:creationId xmlns:a16="http://schemas.microsoft.com/office/drawing/2014/main" id="{5286BB93-20F4-4FE7-92BC-7DFCAA7F2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592778</xdr:colOff>
      <xdr:row>56</xdr:row>
      <xdr:rowOff>167243</xdr:rowOff>
    </xdr:from>
    <xdr:to>
      <xdr:col>33</xdr:col>
      <xdr:colOff>124691</xdr:colOff>
      <xdr:row>74</xdr:row>
      <xdr:rowOff>55418</xdr:rowOff>
    </xdr:to>
    <xdr:graphicFrame macro="">
      <xdr:nvGraphicFramePr>
        <xdr:cNvPr id="6" name="Chart 5">
          <a:extLst>
            <a:ext uri="{FF2B5EF4-FFF2-40B4-BE49-F238E27FC236}">
              <a16:creationId xmlns:a16="http://schemas.microsoft.com/office/drawing/2014/main" id="{878B4E6E-D7B7-45F0-A002-61A6C535C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603666</xdr:colOff>
      <xdr:row>74</xdr:row>
      <xdr:rowOff>177140</xdr:rowOff>
    </xdr:from>
    <xdr:to>
      <xdr:col>33</xdr:col>
      <xdr:colOff>152400</xdr:colOff>
      <xdr:row>92</xdr:row>
      <xdr:rowOff>13854</xdr:rowOff>
    </xdr:to>
    <xdr:graphicFrame macro="">
      <xdr:nvGraphicFramePr>
        <xdr:cNvPr id="7" name="Chart 6">
          <a:extLst>
            <a:ext uri="{FF2B5EF4-FFF2-40B4-BE49-F238E27FC236}">
              <a16:creationId xmlns:a16="http://schemas.microsoft.com/office/drawing/2014/main" id="{2672378F-F3A0-474C-A019-AE1B2344B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602674</xdr:colOff>
      <xdr:row>92</xdr:row>
      <xdr:rowOff>174172</xdr:rowOff>
    </xdr:from>
    <xdr:to>
      <xdr:col>33</xdr:col>
      <xdr:colOff>166254</xdr:colOff>
      <xdr:row>111</xdr:row>
      <xdr:rowOff>96982</xdr:rowOff>
    </xdr:to>
    <xdr:graphicFrame macro="">
      <xdr:nvGraphicFramePr>
        <xdr:cNvPr id="8" name="Chart 7">
          <a:extLst>
            <a:ext uri="{FF2B5EF4-FFF2-40B4-BE49-F238E27FC236}">
              <a16:creationId xmlns:a16="http://schemas.microsoft.com/office/drawing/2014/main" id="{F50580D8-39FC-4F65-8790-2EF818903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592282</xdr:colOff>
      <xdr:row>74</xdr:row>
      <xdr:rowOff>69272</xdr:rowOff>
    </xdr:from>
    <xdr:to>
      <xdr:col>43</xdr:col>
      <xdr:colOff>432954</xdr:colOff>
      <xdr:row>92</xdr:row>
      <xdr:rowOff>110835</xdr:rowOff>
    </xdr:to>
    <xdr:graphicFrame macro="">
      <xdr:nvGraphicFramePr>
        <xdr:cNvPr id="9" name="Chart 8">
          <a:extLst>
            <a:ext uri="{FF2B5EF4-FFF2-40B4-BE49-F238E27FC236}">
              <a16:creationId xmlns:a16="http://schemas.microsoft.com/office/drawing/2014/main" id="{00F8CBE9-1264-42B0-9631-B77B53E8B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496</xdr:colOff>
      <xdr:row>113</xdr:row>
      <xdr:rowOff>989</xdr:rowOff>
    </xdr:from>
    <xdr:to>
      <xdr:col>33</xdr:col>
      <xdr:colOff>142009</xdr:colOff>
      <xdr:row>130</xdr:row>
      <xdr:rowOff>69273</xdr:rowOff>
    </xdr:to>
    <xdr:graphicFrame macro="">
      <xdr:nvGraphicFramePr>
        <xdr:cNvPr id="10" name="Chart 9">
          <a:extLst>
            <a:ext uri="{FF2B5EF4-FFF2-40B4-BE49-F238E27FC236}">
              <a16:creationId xmlns:a16="http://schemas.microsoft.com/office/drawing/2014/main" id="{A295ABEE-088A-4567-9FF1-A225485E0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11384</xdr:colOff>
      <xdr:row>131</xdr:row>
      <xdr:rowOff>10886</xdr:rowOff>
    </xdr:from>
    <xdr:to>
      <xdr:col>33</xdr:col>
      <xdr:colOff>169718</xdr:colOff>
      <xdr:row>148</xdr:row>
      <xdr:rowOff>27709</xdr:rowOff>
    </xdr:to>
    <xdr:graphicFrame macro="">
      <xdr:nvGraphicFramePr>
        <xdr:cNvPr id="11" name="Chart 10">
          <a:extLst>
            <a:ext uri="{FF2B5EF4-FFF2-40B4-BE49-F238E27FC236}">
              <a16:creationId xmlns:a16="http://schemas.microsoft.com/office/drawing/2014/main" id="{5995614A-730B-4BBE-8519-DA9C431CF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10392</xdr:colOff>
      <xdr:row>149</xdr:row>
      <xdr:rowOff>7917</xdr:rowOff>
    </xdr:from>
    <xdr:to>
      <xdr:col>33</xdr:col>
      <xdr:colOff>183572</xdr:colOff>
      <xdr:row>167</xdr:row>
      <xdr:rowOff>110837</xdr:rowOff>
    </xdr:to>
    <xdr:graphicFrame macro="">
      <xdr:nvGraphicFramePr>
        <xdr:cNvPr id="12" name="Chart 11">
          <a:extLst>
            <a:ext uri="{FF2B5EF4-FFF2-40B4-BE49-F238E27FC236}">
              <a16:creationId xmlns:a16="http://schemas.microsoft.com/office/drawing/2014/main" id="{9CA8762B-E849-4145-9903-9DC2CBB95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596241</xdr:colOff>
      <xdr:row>169</xdr:row>
      <xdr:rowOff>14843</xdr:rowOff>
    </xdr:from>
    <xdr:to>
      <xdr:col>33</xdr:col>
      <xdr:colOff>128154</xdr:colOff>
      <xdr:row>186</xdr:row>
      <xdr:rowOff>83127</xdr:rowOff>
    </xdr:to>
    <xdr:graphicFrame macro="">
      <xdr:nvGraphicFramePr>
        <xdr:cNvPr id="13" name="Chart 12">
          <a:extLst>
            <a:ext uri="{FF2B5EF4-FFF2-40B4-BE49-F238E27FC236}">
              <a16:creationId xmlns:a16="http://schemas.microsoft.com/office/drawing/2014/main" id="{01FF0672-C9A3-4219-8ED1-8F3792416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607129</xdr:colOff>
      <xdr:row>187</xdr:row>
      <xdr:rowOff>24740</xdr:rowOff>
    </xdr:from>
    <xdr:to>
      <xdr:col>33</xdr:col>
      <xdr:colOff>155863</xdr:colOff>
      <xdr:row>204</xdr:row>
      <xdr:rowOff>41562</xdr:rowOff>
    </xdr:to>
    <xdr:graphicFrame macro="">
      <xdr:nvGraphicFramePr>
        <xdr:cNvPr id="14" name="Chart 13">
          <a:extLst>
            <a:ext uri="{FF2B5EF4-FFF2-40B4-BE49-F238E27FC236}">
              <a16:creationId xmlns:a16="http://schemas.microsoft.com/office/drawing/2014/main" id="{AAD8BCCE-62A9-428C-82C8-2B0C0825F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606137</xdr:colOff>
      <xdr:row>205</xdr:row>
      <xdr:rowOff>21771</xdr:rowOff>
    </xdr:from>
    <xdr:to>
      <xdr:col>33</xdr:col>
      <xdr:colOff>169717</xdr:colOff>
      <xdr:row>223</xdr:row>
      <xdr:rowOff>124691</xdr:rowOff>
    </xdr:to>
    <xdr:graphicFrame macro="">
      <xdr:nvGraphicFramePr>
        <xdr:cNvPr id="15" name="Chart 14">
          <a:extLst>
            <a:ext uri="{FF2B5EF4-FFF2-40B4-BE49-F238E27FC236}">
              <a16:creationId xmlns:a16="http://schemas.microsoft.com/office/drawing/2014/main" id="{220F6C51-D521-4B4A-9B51-7468739FD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13854</xdr:colOff>
      <xdr:row>131</xdr:row>
      <xdr:rowOff>0</xdr:rowOff>
    </xdr:from>
    <xdr:to>
      <xdr:col>43</xdr:col>
      <xdr:colOff>464126</xdr:colOff>
      <xdr:row>149</xdr:row>
      <xdr:rowOff>41562</xdr:rowOff>
    </xdr:to>
    <xdr:graphicFrame macro="">
      <xdr:nvGraphicFramePr>
        <xdr:cNvPr id="16" name="Chart 15">
          <a:extLst>
            <a:ext uri="{FF2B5EF4-FFF2-40B4-BE49-F238E27FC236}">
              <a16:creationId xmlns:a16="http://schemas.microsoft.com/office/drawing/2014/main" id="{88C916FC-EE08-49A0-8B6A-A6DA57F44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187</xdr:row>
      <xdr:rowOff>0</xdr:rowOff>
    </xdr:from>
    <xdr:to>
      <xdr:col>43</xdr:col>
      <xdr:colOff>450272</xdr:colOff>
      <xdr:row>205</xdr:row>
      <xdr:rowOff>41562</xdr:rowOff>
    </xdr:to>
    <xdr:graphicFrame macro="">
      <xdr:nvGraphicFramePr>
        <xdr:cNvPr id="17" name="Chart 16">
          <a:extLst>
            <a:ext uri="{FF2B5EF4-FFF2-40B4-BE49-F238E27FC236}">
              <a16:creationId xmlns:a16="http://schemas.microsoft.com/office/drawing/2014/main" id="{AA1A90F2-8240-41BA-B835-559A9418C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144780</xdr:rowOff>
    </xdr:from>
    <xdr:to>
      <xdr:col>9</xdr:col>
      <xdr:colOff>507274</xdr:colOff>
      <xdr:row>25</xdr:row>
      <xdr:rowOff>14152</xdr:rowOff>
    </xdr:to>
    <xdr:graphicFrame macro="">
      <xdr:nvGraphicFramePr>
        <xdr:cNvPr id="2" name="Chart 1">
          <a:extLst>
            <a:ext uri="{FF2B5EF4-FFF2-40B4-BE49-F238E27FC236}">
              <a16:creationId xmlns:a16="http://schemas.microsoft.com/office/drawing/2014/main" id="{4769BE20-00A8-4B5A-AEEE-33C05E2A4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564968</xdr:colOff>
      <xdr:row>0</xdr:row>
      <xdr:rowOff>127363</xdr:rowOff>
    </xdr:from>
    <xdr:to>
      <xdr:col>19</xdr:col>
      <xdr:colOff>477882</xdr:colOff>
      <xdr:row>24</xdr:row>
      <xdr:rowOff>179615</xdr:rowOff>
    </xdr:to>
    <xdr:graphicFrame macro="">
      <xdr:nvGraphicFramePr>
        <xdr:cNvPr id="3" name="Chart 2">
          <a:extLst>
            <a:ext uri="{FF2B5EF4-FFF2-40B4-BE49-F238E27FC236}">
              <a16:creationId xmlns:a16="http://schemas.microsoft.com/office/drawing/2014/main" id="{1C8A20FF-F6F0-4FAF-9669-AC5EB8A14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542108</xdr:colOff>
      <xdr:row>0</xdr:row>
      <xdr:rowOff>120832</xdr:rowOff>
    </xdr:from>
    <xdr:to>
      <xdr:col>29</xdr:col>
      <xdr:colOff>455022</xdr:colOff>
      <xdr:row>24</xdr:row>
      <xdr:rowOff>173084</xdr:rowOff>
    </xdr:to>
    <xdr:graphicFrame macro="">
      <xdr:nvGraphicFramePr>
        <xdr:cNvPr id="4" name="Chart 3">
          <a:extLst>
            <a:ext uri="{FF2B5EF4-FFF2-40B4-BE49-F238E27FC236}">
              <a16:creationId xmlns:a16="http://schemas.microsoft.com/office/drawing/2014/main" id="{21E3B220-0D75-4FF2-924A-3F6F31F24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28</xdr:row>
      <xdr:rowOff>8965</xdr:rowOff>
    </xdr:from>
    <xdr:to>
      <xdr:col>9</xdr:col>
      <xdr:colOff>475130</xdr:colOff>
      <xdr:row>43</xdr:row>
      <xdr:rowOff>36674</xdr:rowOff>
    </xdr:to>
    <xdr:graphicFrame macro="">
      <xdr:nvGraphicFramePr>
        <xdr:cNvPr id="5" name="Chart 4">
          <a:extLst>
            <a:ext uri="{FF2B5EF4-FFF2-40B4-BE49-F238E27FC236}">
              <a16:creationId xmlns:a16="http://schemas.microsoft.com/office/drawing/2014/main" id="{4877A952-9A66-4CBB-95C0-62BEBFA4A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584642</xdr:colOff>
      <xdr:row>27</xdr:row>
      <xdr:rowOff>176931</xdr:rowOff>
    </xdr:from>
    <xdr:to>
      <xdr:col>19</xdr:col>
      <xdr:colOff>475129</xdr:colOff>
      <xdr:row>43</xdr:row>
      <xdr:rowOff>71718</xdr:rowOff>
    </xdr:to>
    <xdr:graphicFrame macro="">
      <xdr:nvGraphicFramePr>
        <xdr:cNvPr id="6" name="Chart 5">
          <a:extLst>
            <a:ext uri="{FF2B5EF4-FFF2-40B4-BE49-F238E27FC236}">
              <a16:creationId xmlns:a16="http://schemas.microsoft.com/office/drawing/2014/main" id="{6590EA32-72E4-441D-A121-90216851E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8965</xdr:colOff>
      <xdr:row>28</xdr:row>
      <xdr:rowOff>0</xdr:rowOff>
    </xdr:from>
    <xdr:to>
      <xdr:col>29</xdr:col>
      <xdr:colOff>542366</xdr:colOff>
      <xdr:row>43</xdr:row>
      <xdr:rowOff>81498</xdr:rowOff>
    </xdr:to>
    <xdr:graphicFrame macro="">
      <xdr:nvGraphicFramePr>
        <xdr:cNvPr id="8" name="Chart 7">
          <a:extLst>
            <a:ext uri="{FF2B5EF4-FFF2-40B4-BE49-F238E27FC236}">
              <a16:creationId xmlns:a16="http://schemas.microsoft.com/office/drawing/2014/main" id="{B1A60499-A74F-447F-83BD-0BF11D671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9549</xdr:colOff>
      <xdr:row>0</xdr:row>
      <xdr:rowOff>14960</xdr:rowOff>
    </xdr:from>
    <xdr:to>
      <xdr:col>9</xdr:col>
      <xdr:colOff>532063</xdr:colOff>
      <xdr:row>24</xdr:row>
      <xdr:rowOff>35510</xdr:rowOff>
    </xdr:to>
    <xdr:graphicFrame macro="">
      <xdr:nvGraphicFramePr>
        <xdr:cNvPr id="8" name="Chart 7">
          <a:extLst>
            <a:ext uri="{FF2B5EF4-FFF2-40B4-BE49-F238E27FC236}">
              <a16:creationId xmlns:a16="http://schemas.microsoft.com/office/drawing/2014/main" id="{C904AF29-D334-4C67-A1B4-0642A8897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30563</xdr:colOff>
      <xdr:row>0</xdr:row>
      <xdr:rowOff>22820</xdr:rowOff>
    </xdr:from>
    <xdr:to>
      <xdr:col>19</xdr:col>
      <xdr:colOff>553077</xdr:colOff>
      <xdr:row>24</xdr:row>
      <xdr:rowOff>31784</xdr:rowOff>
    </xdr:to>
    <xdr:graphicFrame macro="">
      <xdr:nvGraphicFramePr>
        <xdr:cNvPr id="14" name="Chart 13">
          <a:extLst>
            <a:ext uri="{FF2B5EF4-FFF2-40B4-BE49-F238E27FC236}">
              <a16:creationId xmlns:a16="http://schemas.microsoft.com/office/drawing/2014/main" id="{279C3005-605A-4A54-B130-62E79B731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32599</xdr:colOff>
      <xdr:row>0</xdr:row>
      <xdr:rowOff>13856</xdr:rowOff>
    </xdr:from>
    <xdr:to>
      <xdr:col>29</xdr:col>
      <xdr:colOff>555113</xdr:colOff>
      <xdr:row>24</xdr:row>
      <xdr:rowOff>4076</xdr:rowOff>
    </xdr:to>
    <xdr:graphicFrame macro="">
      <xdr:nvGraphicFramePr>
        <xdr:cNvPr id="16" name="Chart 15">
          <a:extLst>
            <a:ext uri="{FF2B5EF4-FFF2-40B4-BE49-F238E27FC236}">
              <a16:creationId xmlns:a16="http://schemas.microsoft.com/office/drawing/2014/main" id="{C99192F4-D590-45BB-B74E-F9644A834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42420</xdr:colOff>
      <xdr:row>24</xdr:row>
      <xdr:rowOff>166255</xdr:rowOff>
    </xdr:from>
    <xdr:to>
      <xdr:col>9</xdr:col>
      <xdr:colOff>567902</xdr:colOff>
      <xdr:row>48</xdr:row>
      <xdr:rowOff>22662</xdr:rowOff>
    </xdr:to>
    <xdr:graphicFrame macro="">
      <xdr:nvGraphicFramePr>
        <xdr:cNvPr id="9" name="Chart 8">
          <a:extLst>
            <a:ext uri="{FF2B5EF4-FFF2-40B4-BE49-F238E27FC236}">
              <a16:creationId xmlns:a16="http://schemas.microsoft.com/office/drawing/2014/main" id="{E21C7582-184E-4A35-BA23-677E7A56F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105172</xdr:colOff>
      <xdr:row>24</xdr:row>
      <xdr:rowOff>166255</xdr:rowOff>
    </xdr:from>
    <xdr:to>
      <xdr:col>20</xdr:col>
      <xdr:colOff>21054</xdr:colOff>
      <xdr:row>48</xdr:row>
      <xdr:rowOff>22662</xdr:rowOff>
    </xdr:to>
    <xdr:graphicFrame macro="">
      <xdr:nvGraphicFramePr>
        <xdr:cNvPr id="20" name="Chart 19">
          <a:extLst>
            <a:ext uri="{FF2B5EF4-FFF2-40B4-BE49-F238E27FC236}">
              <a16:creationId xmlns:a16="http://schemas.microsoft.com/office/drawing/2014/main" id="{8DEF09E5-9474-4C29-AA1A-93FA7768C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105173</xdr:colOff>
      <xdr:row>24</xdr:row>
      <xdr:rowOff>175220</xdr:rowOff>
    </xdr:from>
    <xdr:to>
      <xdr:col>30</xdr:col>
      <xdr:colOff>21055</xdr:colOff>
      <xdr:row>48</xdr:row>
      <xdr:rowOff>31627</xdr:rowOff>
    </xdr:to>
    <xdr:graphicFrame macro="">
      <xdr:nvGraphicFramePr>
        <xdr:cNvPr id="22" name="Chart 21">
          <a:extLst>
            <a:ext uri="{FF2B5EF4-FFF2-40B4-BE49-F238E27FC236}">
              <a16:creationId xmlns:a16="http://schemas.microsoft.com/office/drawing/2014/main" id="{5D55AEAE-1966-4E00-8E16-6057A1D78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38575</xdr:colOff>
      <xdr:row>0</xdr:row>
      <xdr:rowOff>21924</xdr:rowOff>
    </xdr:from>
    <xdr:to>
      <xdr:col>9</xdr:col>
      <xdr:colOff>571976</xdr:colOff>
      <xdr:row>23</xdr:row>
      <xdr:rowOff>152399</xdr:rowOff>
    </xdr:to>
    <xdr:graphicFrame macro="">
      <xdr:nvGraphicFramePr>
        <xdr:cNvPr id="3" name="Chart 2">
          <a:extLst>
            <a:ext uri="{FF2B5EF4-FFF2-40B4-BE49-F238E27FC236}">
              <a16:creationId xmlns:a16="http://schemas.microsoft.com/office/drawing/2014/main" id="{85C7BD9A-DBE8-468F-8E0F-67CB82411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92363</xdr:colOff>
      <xdr:row>0</xdr:row>
      <xdr:rowOff>15347</xdr:rowOff>
    </xdr:from>
    <xdr:to>
      <xdr:col>19</xdr:col>
      <xdr:colOff>585422</xdr:colOff>
      <xdr:row>23</xdr:row>
      <xdr:rowOff>156213</xdr:rowOff>
    </xdr:to>
    <xdr:graphicFrame macro="">
      <xdr:nvGraphicFramePr>
        <xdr:cNvPr id="5" name="Chart 4">
          <a:extLst>
            <a:ext uri="{FF2B5EF4-FFF2-40B4-BE49-F238E27FC236}">
              <a16:creationId xmlns:a16="http://schemas.microsoft.com/office/drawing/2014/main" id="{FABB0582-2C99-49EA-830C-A15DE71DD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79324</xdr:colOff>
      <xdr:row>0</xdr:row>
      <xdr:rowOff>27572</xdr:rowOff>
    </xdr:from>
    <xdr:to>
      <xdr:col>30</xdr:col>
      <xdr:colOff>3125</xdr:colOff>
      <xdr:row>23</xdr:row>
      <xdr:rowOff>125084</xdr:rowOff>
    </xdr:to>
    <xdr:graphicFrame macro="">
      <xdr:nvGraphicFramePr>
        <xdr:cNvPr id="7" name="Chart 6">
          <a:extLst>
            <a:ext uri="{FF2B5EF4-FFF2-40B4-BE49-F238E27FC236}">
              <a16:creationId xmlns:a16="http://schemas.microsoft.com/office/drawing/2014/main" id="{5EE7C8D2-FBD2-4D7D-BEA1-FC1047556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63975</xdr:colOff>
      <xdr:row>24</xdr:row>
      <xdr:rowOff>120826</xdr:rowOff>
    </xdr:from>
    <xdr:to>
      <xdr:col>9</xdr:col>
      <xdr:colOff>600344</xdr:colOff>
      <xdr:row>47</xdr:row>
      <xdr:rowOff>143740</xdr:rowOff>
    </xdr:to>
    <xdr:graphicFrame macro="">
      <xdr:nvGraphicFramePr>
        <xdr:cNvPr id="9" name="Chart 8">
          <a:extLst>
            <a:ext uri="{FF2B5EF4-FFF2-40B4-BE49-F238E27FC236}">
              <a16:creationId xmlns:a16="http://schemas.microsoft.com/office/drawing/2014/main" id="{D14C86D2-920C-48A6-A1C8-31B2E360A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117763</xdr:colOff>
      <xdr:row>24</xdr:row>
      <xdr:rowOff>129790</xdr:rowOff>
    </xdr:from>
    <xdr:to>
      <xdr:col>20</xdr:col>
      <xdr:colOff>44532</xdr:colOff>
      <xdr:row>47</xdr:row>
      <xdr:rowOff>152704</xdr:rowOff>
    </xdr:to>
    <xdr:graphicFrame macro="">
      <xdr:nvGraphicFramePr>
        <xdr:cNvPr id="11" name="Chart 10">
          <a:extLst>
            <a:ext uri="{FF2B5EF4-FFF2-40B4-BE49-F238E27FC236}">
              <a16:creationId xmlns:a16="http://schemas.microsoft.com/office/drawing/2014/main" id="{A2573074-F23C-4D4A-8E9F-B12DF0277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126727</xdr:colOff>
      <xdr:row>24</xdr:row>
      <xdr:rowOff>138754</xdr:rowOff>
    </xdr:from>
    <xdr:to>
      <xdr:col>30</xdr:col>
      <xdr:colOff>53496</xdr:colOff>
      <xdr:row>47</xdr:row>
      <xdr:rowOff>154048</xdr:rowOff>
    </xdr:to>
    <xdr:graphicFrame macro="">
      <xdr:nvGraphicFramePr>
        <xdr:cNvPr id="13" name="Chart 12">
          <a:extLst>
            <a:ext uri="{FF2B5EF4-FFF2-40B4-BE49-F238E27FC236}">
              <a16:creationId xmlns:a16="http://schemas.microsoft.com/office/drawing/2014/main" id="{5F3FD58C-3D48-4998-AE36-97548555B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141513</xdr:colOff>
      <xdr:row>17</xdr:row>
      <xdr:rowOff>103440</xdr:rowOff>
    </xdr:to>
    <xdr:graphicFrame macro="">
      <xdr:nvGraphicFramePr>
        <xdr:cNvPr id="18" name="Chart 17">
          <a:extLst>
            <a:ext uri="{FF2B5EF4-FFF2-40B4-BE49-F238E27FC236}">
              <a16:creationId xmlns:a16="http://schemas.microsoft.com/office/drawing/2014/main" id="{C106E24C-CDA0-44E5-B033-1EED9F3C0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10888</xdr:colOff>
      <xdr:row>18</xdr:row>
      <xdr:rowOff>44187</xdr:rowOff>
    </xdr:from>
    <xdr:to>
      <xdr:col>10</xdr:col>
      <xdr:colOff>169222</xdr:colOff>
      <xdr:row>35</xdr:row>
      <xdr:rowOff>96166</xdr:rowOff>
    </xdr:to>
    <xdr:graphicFrame macro="">
      <xdr:nvGraphicFramePr>
        <xdr:cNvPr id="19" name="Chart 18">
          <a:extLst>
            <a:ext uri="{FF2B5EF4-FFF2-40B4-BE49-F238E27FC236}">
              <a16:creationId xmlns:a16="http://schemas.microsoft.com/office/drawing/2014/main" id="{33AA3111-7051-4A0C-8A2C-0B04588EE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xdr:colOff>
      <xdr:row>36</xdr:row>
      <xdr:rowOff>75509</xdr:rowOff>
    </xdr:from>
    <xdr:to>
      <xdr:col>10</xdr:col>
      <xdr:colOff>183076</xdr:colOff>
      <xdr:row>55</xdr:row>
      <xdr:rowOff>34514</xdr:rowOff>
    </xdr:to>
    <xdr:graphicFrame macro="">
      <xdr:nvGraphicFramePr>
        <xdr:cNvPr id="24" name="Chart 23">
          <a:extLst>
            <a:ext uri="{FF2B5EF4-FFF2-40B4-BE49-F238E27FC236}">
              <a16:creationId xmlns:a16="http://schemas.microsoft.com/office/drawing/2014/main" id="{EB51A007-F1F2-4C1E-9428-9C66059D8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0</xdr:row>
      <xdr:rowOff>0</xdr:rowOff>
    </xdr:from>
    <xdr:to>
      <xdr:col>21</xdr:col>
      <xdr:colOff>141513</xdr:colOff>
      <xdr:row>17</xdr:row>
      <xdr:rowOff>103440</xdr:rowOff>
    </xdr:to>
    <xdr:graphicFrame macro="">
      <xdr:nvGraphicFramePr>
        <xdr:cNvPr id="25" name="Chart 24">
          <a:extLst>
            <a:ext uri="{FF2B5EF4-FFF2-40B4-BE49-F238E27FC236}">
              <a16:creationId xmlns:a16="http://schemas.microsoft.com/office/drawing/2014/main" id="{7CFFA827-BCFA-4319-9BB2-AAE729963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10888</xdr:colOff>
      <xdr:row>18</xdr:row>
      <xdr:rowOff>44187</xdr:rowOff>
    </xdr:from>
    <xdr:to>
      <xdr:col>21</xdr:col>
      <xdr:colOff>169222</xdr:colOff>
      <xdr:row>35</xdr:row>
      <xdr:rowOff>96166</xdr:rowOff>
    </xdr:to>
    <xdr:graphicFrame macro="">
      <xdr:nvGraphicFramePr>
        <xdr:cNvPr id="26" name="Chart 25">
          <a:extLst>
            <a:ext uri="{FF2B5EF4-FFF2-40B4-BE49-F238E27FC236}">
              <a16:creationId xmlns:a16="http://schemas.microsoft.com/office/drawing/2014/main" id="{1433B893-067D-4547-B18F-DCEB69799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9896</xdr:colOff>
      <xdr:row>36</xdr:row>
      <xdr:rowOff>75509</xdr:rowOff>
    </xdr:from>
    <xdr:to>
      <xdr:col>21</xdr:col>
      <xdr:colOff>183076</xdr:colOff>
      <xdr:row>55</xdr:row>
      <xdr:rowOff>34514</xdr:rowOff>
    </xdr:to>
    <xdr:graphicFrame macro="">
      <xdr:nvGraphicFramePr>
        <xdr:cNvPr id="27" name="Chart 26">
          <a:extLst>
            <a:ext uri="{FF2B5EF4-FFF2-40B4-BE49-F238E27FC236}">
              <a16:creationId xmlns:a16="http://schemas.microsoft.com/office/drawing/2014/main" id="{264654E7-0B73-4ED6-83F9-223B1686E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0</xdr:row>
      <xdr:rowOff>0</xdr:rowOff>
    </xdr:from>
    <xdr:to>
      <xdr:col>32</xdr:col>
      <xdr:colOff>141513</xdr:colOff>
      <xdr:row>17</xdr:row>
      <xdr:rowOff>100669</xdr:rowOff>
    </xdr:to>
    <xdr:graphicFrame macro="">
      <xdr:nvGraphicFramePr>
        <xdr:cNvPr id="28" name="Chart 27">
          <a:extLst>
            <a:ext uri="{FF2B5EF4-FFF2-40B4-BE49-F238E27FC236}">
              <a16:creationId xmlns:a16="http://schemas.microsoft.com/office/drawing/2014/main" id="{DE6A00F6-DB29-4886-9645-9B0627397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10888</xdr:colOff>
      <xdr:row>18</xdr:row>
      <xdr:rowOff>44187</xdr:rowOff>
    </xdr:from>
    <xdr:to>
      <xdr:col>32</xdr:col>
      <xdr:colOff>169222</xdr:colOff>
      <xdr:row>35</xdr:row>
      <xdr:rowOff>93395</xdr:rowOff>
    </xdr:to>
    <xdr:graphicFrame macro="">
      <xdr:nvGraphicFramePr>
        <xdr:cNvPr id="29" name="Chart 28">
          <a:extLst>
            <a:ext uri="{FF2B5EF4-FFF2-40B4-BE49-F238E27FC236}">
              <a16:creationId xmlns:a16="http://schemas.microsoft.com/office/drawing/2014/main" id="{2FCA88CD-A5D7-4E45-BFEB-2C0587656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9896</xdr:colOff>
      <xdr:row>36</xdr:row>
      <xdr:rowOff>75508</xdr:rowOff>
    </xdr:from>
    <xdr:to>
      <xdr:col>32</xdr:col>
      <xdr:colOff>183076</xdr:colOff>
      <xdr:row>55</xdr:row>
      <xdr:rowOff>31743</xdr:rowOff>
    </xdr:to>
    <xdr:graphicFrame macro="">
      <xdr:nvGraphicFramePr>
        <xdr:cNvPr id="30" name="Chart 29">
          <a:extLst>
            <a:ext uri="{FF2B5EF4-FFF2-40B4-BE49-F238E27FC236}">
              <a16:creationId xmlns:a16="http://schemas.microsoft.com/office/drawing/2014/main" id="{4248ACF4-E36E-454F-BFB9-327DE2D28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0</xdr:colOff>
      <xdr:row>0</xdr:row>
      <xdr:rowOff>0</xdr:rowOff>
    </xdr:from>
    <xdr:to>
      <xdr:col>43</xdr:col>
      <xdr:colOff>141513</xdr:colOff>
      <xdr:row>17</xdr:row>
      <xdr:rowOff>100669</xdr:rowOff>
    </xdr:to>
    <xdr:graphicFrame macro="">
      <xdr:nvGraphicFramePr>
        <xdr:cNvPr id="31" name="Chart 30">
          <a:extLst>
            <a:ext uri="{FF2B5EF4-FFF2-40B4-BE49-F238E27FC236}">
              <a16:creationId xmlns:a16="http://schemas.microsoft.com/office/drawing/2014/main" id="{88C37436-D598-48F5-BFD9-4ADDDFEDA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33</xdr:col>
      <xdr:colOff>10888</xdr:colOff>
      <xdr:row>18</xdr:row>
      <xdr:rowOff>44187</xdr:rowOff>
    </xdr:from>
    <xdr:to>
      <xdr:col>43</xdr:col>
      <xdr:colOff>169222</xdr:colOff>
      <xdr:row>35</xdr:row>
      <xdr:rowOff>93394</xdr:rowOff>
    </xdr:to>
    <xdr:graphicFrame macro="">
      <xdr:nvGraphicFramePr>
        <xdr:cNvPr id="32" name="Chart 31">
          <a:extLst>
            <a:ext uri="{FF2B5EF4-FFF2-40B4-BE49-F238E27FC236}">
              <a16:creationId xmlns:a16="http://schemas.microsoft.com/office/drawing/2014/main" id="{8B1425E9-463C-4C66-8771-EE2DFAF57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9896</xdr:colOff>
      <xdr:row>36</xdr:row>
      <xdr:rowOff>75508</xdr:rowOff>
    </xdr:from>
    <xdr:to>
      <xdr:col>43</xdr:col>
      <xdr:colOff>183076</xdr:colOff>
      <xdr:row>55</xdr:row>
      <xdr:rowOff>31743</xdr:rowOff>
    </xdr:to>
    <xdr:graphicFrame macro="">
      <xdr:nvGraphicFramePr>
        <xdr:cNvPr id="33" name="Chart 32">
          <a:extLst>
            <a:ext uri="{FF2B5EF4-FFF2-40B4-BE49-F238E27FC236}">
              <a16:creationId xmlns:a16="http://schemas.microsoft.com/office/drawing/2014/main" id="{14CBC718-2BD4-48FD-880C-9F27711A5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10885</xdr:rowOff>
    </xdr:from>
    <xdr:to>
      <xdr:col>10</xdr:col>
      <xdr:colOff>141513</xdr:colOff>
      <xdr:row>16</xdr:row>
      <xdr:rowOff>142900</xdr:rowOff>
    </xdr:to>
    <xdr:graphicFrame macro="">
      <xdr:nvGraphicFramePr>
        <xdr:cNvPr id="35" name="Chart 34">
          <a:extLst>
            <a:ext uri="{FF2B5EF4-FFF2-40B4-BE49-F238E27FC236}">
              <a16:creationId xmlns:a16="http://schemas.microsoft.com/office/drawing/2014/main" id="{40022BD7-BAFC-48A2-8B43-4ECE970F3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10888</xdr:colOff>
      <xdr:row>17</xdr:row>
      <xdr:rowOff>63237</xdr:rowOff>
    </xdr:from>
    <xdr:to>
      <xdr:col>10</xdr:col>
      <xdr:colOff>169222</xdr:colOff>
      <xdr:row>33</xdr:row>
      <xdr:rowOff>143791</xdr:rowOff>
    </xdr:to>
    <xdr:graphicFrame macro="">
      <xdr:nvGraphicFramePr>
        <xdr:cNvPr id="36" name="Chart 35">
          <a:extLst>
            <a:ext uri="{FF2B5EF4-FFF2-40B4-BE49-F238E27FC236}">
              <a16:creationId xmlns:a16="http://schemas.microsoft.com/office/drawing/2014/main" id="{36513004-6B58-4F14-A885-6805C624D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xdr:colOff>
      <xdr:row>34</xdr:row>
      <xdr:rowOff>113609</xdr:rowOff>
    </xdr:from>
    <xdr:to>
      <xdr:col>10</xdr:col>
      <xdr:colOff>183076</xdr:colOff>
      <xdr:row>52</xdr:row>
      <xdr:rowOff>82139</xdr:rowOff>
    </xdr:to>
    <xdr:graphicFrame macro="">
      <xdr:nvGraphicFramePr>
        <xdr:cNvPr id="37" name="Chart 36">
          <a:extLst>
            <a:ext uri="{FF2B5EF4-FFF2-40B4-BE49-F238E27FC236}">
              <a16:creationId xmlns:a16="http://schemas.microsoft.com/office/drawing/2014/main" id="{82599184-09AF-47A5-9935-D73C6401A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0</xdr:row>
      <xdr:rowOff>1</xdr:rowOff>
    </xdr:from>
    <xdr:to>
      <xdr:col>21</xdr:col>
      <xdr:colOff>141513</xdr:colOff>
      <xdr:row>16</xdr:row>
      <xdr:rowOff>152401</xdr:rowOff>
    </xdr:to>
    <xdr:graphicFrame macro="">
      <xdr:nvGraphicFramePr>
        <xdr:cNvPr id="38" name="Chart 37">
          <a:extLst>
            <a:ext uri="{FF2B5EF4-FFF2-40B4-BE49-F238E27FC236}">
              <a16:creationId xmlns:a16="http://schemas.microsoft.com/office/drawing/2014/main" id="{BE8A80B6-4A2B-42A4-95C3-50511EC72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10888</xdr:colOff>
      <xdr:row>17</xdr:row>
      <xdr:rowOff>65315</xdr:rowOff>
    </xdr:from>
    <xdr:to>
      <xdr:col>21</xdr:col>
      <xdr:colOff>169222</xdr:colOff>
      <xdr:row>33</xdr:row>
      <xdr:rowOff>152400</xdr:rowOff>
    </xdr:to>
    <xdr:graphicFrame macro="">
      <xdr:nvGraphicFramePr>
        <xdr:cNvPr id="39" name="Chart 38">
          <a:extLst>
            <a:ext uri="{FF2B5EF4-FFF2-40B4-BE49-F238E27FC236}">
              <a16:creationId xmlns:a16="http://schemas.microsoft.com/office/drawing/2014/main" id="{F53900CB-B581-4DEF-B981-361569694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597725</xdr:colOff>
      <xdr:row>34</xdr:row>
      <xdr:rowOff>124494</xdr:rowOff>
    </xdr:from>
    <xdr:to>
      <xdr:col>21</xdr:col>
      <xdr:colOff>161305</xdr:colOff>
      <xdr:row>52</xdr:row>
      <xdr:rowOff>76200</xdr:rowOff>
    </xdr:to>
    <xdr:graphicFrame macro="">
      <xdr:nvGraphicFramePr>
        <xdr:cNvPr id="40" name="Chart 39">
          <a:extLst>
            <a:ext uri="{FF2B5EF4-FFF2-40B4-BE49-F238E27FC236}">
              <a16:creationId xmlns:a16="http://schemas.microsoft.com/office/drawing/2014/main" id="{1600A46A-C136-4F1B-B7F5-7F4E27312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0</xdr:row>
      <xdr:rowOff>0</xdr:rowOff>
    </xdr:from>
    <xdr:to>
      <xdr:col>32</xdr:col>
      <xdr:colOff>141513</xdr:colOff>
      <xdr:row>17</xdr:row>
      <xdr:rowOff>31273</xdr:rowOff>
    </xdr:to>
    <xdr:graphicFrame macro="">
      <xdr:nvGraphicFramePr>
        <xdr:cNvPr id="41" name="Chart 40">
          <a:extLst>
            <a:ext uri="{FF2B5EF4-FFF2-40B4-BE49-F238E27FC236}">
              <a16:creationId xmlns:a16="http://schemas.microsoft.com/office/drawing/2014/main" id="{62CCACC2-457C-4826-8B5E-F2AD65E17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598716</xdr:colOff>
      <xdr:row>17</xdr:row>
      <xdr:rowOff>101337</xdr:rowOff>
    </xdr:from>
    <xdr:to>
      <xdr:col>32</xdr:col>
      <xdr:colOff>147450</xdr:colOff>
      <xdr:row>34</xdr:row>
      <xdr:rowOff>81148</xdr:rowOff>
    </xdr:to>
    <xdr:graphicFrame macro="">
      <xdr:nvGraphicFramePr>
        <xdr:cNvPr id="42" name="Chart 41">
          <a:extLst>
            <a:ext uri="{FF2B5EF4-FFF2-40B4-BE49-F238E27FC236}">
              <a16:creationId xmlns:a16="http://schemas.microsoft.com/office/drawing/2014/main" id="{80C2C892-39C1-424C-AFCD-29FCE4EBE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608611</xdr:colOff>
      <xdr:row>34</xdr:row>
      <xdr:rowOff>146265</xdr:rowOff>
    </xdr:from>
    <xdr:to>
      <xdr:col>32</xdr:col>
      <xdr:colOff>172191</xdr:colOff>
      <xdr:row>53</xdr:row>
      <xdr:rowOff>24939</xdr:rowOff>
    </xdr:to>
    <xdr:graphicFrame macro="">
      <xdr:nvGraphicFramePr>
        <xdr:cNvPr id="43" name="Chart 42">
          <a:extLst>
            <a:ext uri="{FF2B5EF4-FFF2-40B4-BE49-F238E27FC236}">
              <a16:creationId xmlns:a16="http://schemas.microsoft.com/office/drawing/2014/main" id="{436ED799-F158-4C0B-B98B-063FE9345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0</xdr:colOff>
      <xdr:row>0</xdr:row>
      <xdr:rowOff>0</xdr:rowOff>
    </xdr:from>
    <xdr:to>
      <xdr:col>43</xdr:col>
      <xdr:colOff>141513</xdr:colOff>
      <xdr:row>17</xdr:row>
      <xdr:rowOff>65315</xdr:rowOff>
    </xdr:to>
    <xdr:graphicFrame macro="">
      <xdr:nvGraphicFramePr>
        <xdr:cNvPr id="44" name="Chart 43">
          <a:extLst>
            <a:ext uri="{FF2B5EF4-FFF2-40B4-BE49-F238E27FC236}">
              <a16:creationId xmlns:a16="http://schemas.microsoft.com/office/drawing/2014/main" id="{FD189B22-D5AD-4D99-8A9C-0C94C4712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598717</xdr:colOff>
      <xdr:row>17</xdr:row>
      <xdr:rowOff>118754</xdr:rowOff>
    </xdr:from>
    <xdr:to>
      <xdr:col>43</xdr:col>
      <xdr:colOff>147451</xdr:colOff>
      <xdr:row>34</xdr:row>
      <xdr:rowOff>87085</xdr:rowOff>
    </xdr:to>
    <xdr:graphicFrame macro="">
      <xdr:nvGraphicFramePr>
        <xdr:cNvPr id="45" name="Chart 44">
          <a:extLst>
            <a:ext uri="{FF2B5EF4-FFF2-40B4-BE49-F238E27FC236}">
              <a16:creationId xmlns:a16="http://schemas.microsoft.com/office/drawing/2014/main" id="{01CB8B11-4CEE-4A16-9E15-555640995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32</xdr:col>
      <xdr:colOff>608610</xdr:colOff>
      <xdr:row>34</xdr:row>
      <xdr:rowOff>148442</xdr:rowOff>
    </xdr:from>
    <xdr:to>
      <xdr:col>43</xdr:col>
      <xdr:colOff>172190</xdr:colOff>
      <xdr:row>53</xdr:row>
      <xdr:rowOff>54428</xdr:rowOff>
    </xdr:to>
    <xdr:graphicFrame macro="">
      <xdr:nvGraphicFramePr>
        <xdr:cNvPr id="46" name="Chart 45">
          <a:extLst>
            <a:ext uri="{FF2B5EF4-FFF2-40B4-BE49-F238E27FC236}">
              <a16:creationId xmlns:a16="http://schemas.microsoft.com/office/drawing/2014/main" id="{9CED658A-3809-47EB-8E9C-819B6A484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450272</xdr:colOff>
      <xdr:row>18</xdr:row>
      <xdr:rowOff>75853</xdr:rowOff>
    </xdr:to>
    <xdr:graphicFrame macro="">
      <xdr:nvGraphicFramePr>
        <xdr:cNvPr id="21" name="Chart 20">
          <a:extLst>
            <a:ext uri="{FF2B5EF4-FFF2-40B4-BE49-F238E27FC236}">
              <a16:creationId xmlns:a16="http://schemas.microsoft.com/office/drawing/2014/main" id="{7ACF3686-26D2-4419-8858-86B10E924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0</xdr:row>
      <xdr:rowOff>0</xdr:rowOff>
    </xdr:from>
    <xdr:to>
      <xdr:col>19</xdr:col>
      <xdr:colOff>450272</xdr:colOff>
      <xdr:row>18</xdr:row>
      <xdr:rowOff>75853</xdr:rowOff>
    </xdr:to>
    <xdr:graphicFrame macro="">
      <xdr:nvGraphicFramePr>
        <xdr:cNvPr id="25" name="Chart 24">
          <a:extLst>
            <a:ext uri="{FF2B5EF4-FFF2-40B4-BE49-F238E27FC236}">
              <a16:creationId xmlns:a16="http://schemas.microsoft.com/office/drawing/2014/main" id="{62A2A69E-48AB-4F69-9644-CED47CE46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0</xdr:row>
      <xdr:rowOff>0</xdr:rowOff>
    </xdr:from>
    <xdr:to>
      <xdr:col>29</xdr:col>
      <xdr:colOff>450272</xdr:colOff>
      <xdr:row>18</xdr:row>
      <xdr:rowOff>75852</xdr:rowOff>
    </xdr:to>
    <xdr:graphicFrame macro="">
      <xdr:nvGraphicFramePr>
        <xdr:cNvPr id="26" name="Chart 25">
          <a:extLst>
            <a:ext uri="{FF2B5EF4-FFF2-40B4-BE49-F238E27FC236}">
              <a16:creationId xmlns:a16="http://schemas.microsoft.com/office/drawing/2014/main" id="{EE65D6F7-A5E9-4879-A77A-233DE3225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0</xdr:row>
      <xdr:rowOff>0</xdr:rowOff>
    </xdr:from>
    <xdr:to>
      <xdr:col>39</xdr:col>
      <xdr:colOff>450272</xdr:colOff>
      <xdr:row>18</xdr:row>
      <xdr:rowOff>75852</xdr:rowOff>
    </xdr:to>
    <xdr:graphicFrame macro="">
      <xdr:nvGraphicFramePr>
        <xdr:cNvPr id="27" name="Chart 26">
          <a:extLst>
            <a:ext uri="{FF2B5EF4-FFF2-40B4-BE49-F238E27FC236}">
              <a16:creationId xmlns:a16="http://schemas.microsoft.com/office/drawing/2014/main" id="{F62EFE9B-F221-4164-B58F-97F159738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xdr:row>
      <xdr:rowOff>0</xdr:rowOff>
    </xdr:from>
    <xdr:to>
      <xdr:col>9</xdr:col>
      <xdr:colOff>450272</xdr:colOff>
      <xdr:row>38</xdr:row>
      <xdr:rowOff>32038</xdr:rowOff>
    </xdr:to>
    <xdr:graphicFrame macro="">
      <xdr:nvGraphicFramePr>
        <xdr:cNvPr id="28" name="Chart 27">
          <a:extLst>
            <a:ext uri="{FF2B5EF4-FFF2-40B4-BE49-F238E27FC236}">
              <a16:creationId xmlns:a16="http://schemas.microsoft.com/office/drawing/2014/main" id="{E0215F18-9043-4745-8CC7-67E3BAB48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19</xdr:row>
      <xdr:rowOff>0</xdr:rowOff>
    </xdr:from>
    <xdr:to>
      <xdr:col>19</xdr:col>
      <xdr:colOff>450272</xdr:colOff>
      <xdr:row>38</xdr:row>
      <xdr:rowOff>32038</xdr:rowOff>
    </xdr:to>
    <xdr:graphicFrame macro="">
      <xdr:nvGraphicFramePr>
        <xdr:cNvPr id="32" name="Chart 31">
          <a:extLst>
            <a:ext uri="{FF2B5EF4-FFF2-40B4-BE49-F238E27FC236}">
              <a16:creationId xmlns:a16="http://schemas.microsoft.com/office/drawing/2014/main" id="{90060873-CB9C-432A-84AE-73D490CE2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19</xdr:row>
      <xdr:rowOff>0</xdr:rowOff>
    </xdr:from>
    <xdr:to>
      <xdr:col>29</xdr:col>
      <xdr:colOff>450272</xdr:colOff>
      <xdr:row>38</xdr:row>
      <xdr:rowOff>32037</xdr:rowOff>
    </xdr:to>
    <xdr:graphicFrame macro="">
      <xdr:nvGraphicFramePr>
        <xdr:cNvPr id="33" name="Chart 32">
          <a:extLst>
            <a:ext uri="{FF2B5EF4-FFF2-40B4-BE49-F238E27FC236}">
              <a16:creationId xmlns:a16="http://schemas.microsoft.com/office/drawing/2014/main" id="{7F812416-D606-413B-9B43-E4D8B0842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19</xdr:row>
      <xdr:rowOff>0</xdr:rowOff>
    </xdr:from>
    <xdr:to>
      <xdr:col>39</xdr:col>
      <xdr:colOff>450272</xdr:colOff>
      <xdr:row>38</xdr:row>
      <xdr:rowOff>32037</xdr:rowOff>
    </xdr:to>
    <xdr:graphicFrame macro="">
      <xdr:nvGraphicFramePr>
        <xdr:cNvPr id="34" name="Chart 33">
          <a:extLst>
            <a:ext uri="{FF2B5EF4-FFF2-40B4-BE49-F238E27FC236}">
              <a16:creationId xmlns:a16="http://schemas.microsoft.com/office/drawing/2014/main" id="{A630D0BE-045D-40E7-B82D-740158B47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212121"/>
  </sheetPr>
  <dimension ref="A1:AZ1006"/>
  <sheetViews>
    <sheetView showGridLines="0" zoomScaleNormal="100" workbookViewId="0">
      <selection activeCell="B22" sqref="B22"/>
    </sheetView>
  </sheetViews>
  <sheetFormatPr defaultColWidth="8.88671875" defaultRowHeight="13.8" x14ac:dyDescent="0.25"/>
  <cols>
    <col min="1" max="1" width="5.77734375" style="2" customWidth="1"/>
    <col min="2" max="16384" width="8.88671875" style="2"/>
  </cols>
  <sheetData>
    <row r="1" spans="1:52" s="6" customFormat="1" ht="16.5" customHeight="1" x14ac:dyDescent="0.25">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row>
    <row r="2" spans="1:52" s="8" customFormat="1" ht="14.25" customHeight="1" x14ac:dyDescent="0.25">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row>
    <row r="3" spans="1:52"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24.6" x14ac:dyDescent="0.4">
      <c r="A4" s="1"/>
      <c r="B4" s="9" t="s">
        <v>14</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1" t="s">
        <v>12</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row>
    <row r="7" spans="1:52" x14ac:dyDescent="0.25">
      <c r="A7" s="1"/>
      <c r="C7" s="1"/>
      <c r="D7" s="1"/>
      <c r="E7" s="1"/>
      <c r="F7" s="1"/>
      <c r="G7" s="1"/>
      <c r="H7" s="1"/>
      <c r="I7" s="1"/>
      <c r="J7" s="307" t="s">
        <v>482</v>
      </c>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row>
    <row r="8" spans="1:52" x14ac:dyDescent="0.25">
      <c r="A8" s="1"/>
      <c r="B8" s="1"/>
      <c r="C8" s="1"/>
      <c r="D8" s="1"/>
      <c r="E8" s="1"/>
      <c r="F8" s="1"/>
      <c r="G8" s="1"/>
      <c r="H8" s="1"/>
      <c r="I8" s="1"/>
      <c r="J8" s="308" t="s">
        <v>481</v>
      </c>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row>
    <row r="9" spans="1:52" x14ac:dyDescent="0.25">
      <c r="A9" s="1"/>
      <c r="B9" s="1"/>
      <c r="C9" s="1"/>
      <c r="D9" s="1"/>
      <c r="E9" s="1"/>
      <c r="F9" s="1"/>
      <c r="G9" s="1"/>
      <c r="H9" s="1"/>
      <c r="I9" s="1"/>
      <c r="J9" s="308" t="s">
        <v>483</v>
      </c>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row>
    <row r="10" spans="1:52" x14ac:dyDescent="0.25">
      <c r="A10" s="1"/>
      <c r="B10" s="1"/>
      <c r="C10" s="1"/>
      <c r="D10" s="1"/>
      <c r="E10" s="1"/>
      <c r="F10" s="1"/>
      <c r="G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row>
    <row r="11" spans="1:52" x14ac:dyDescent="0.2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row>
    <row r="12" spans="1:52" x14ac:dyDescent="0.2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row>
    <row r="13" spans="1:52" x14ac:dyDescent="0.2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row>
    <row r="14" spans="1:52" x14ac:dyDescent="0.2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row>
    <row r="15" spans="1:52" x14ac:dyDescent="0.25">
      <c r="A15" s="1"/>
      <c r="B15" s="1" t="s">
        <v>11</v>
      </c>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row>
    <row r="16" spans="1:52" x14ac:dyDescent="0.25">
      <c r="A16" s="1"/>
      <c r="B16" s="10" t="str">
        <f>HYPERLINK("https://github.com/edwardoughton/ascend")</f>
        <v>https://github.com/edwardoughton/ascend</v>
      </c>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row>
    <row r="17" spans="1:52" x14ac:dyDescent="0.25">
      <c r="A17" s="1"/>
      <c r="B17" s="10"/>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row>
    <row r="18" spans="1:52" ht="18" x14ac:dyDescent="0.35">
      <c r="A18" s="1"/>
      <c r="B18" s="255" t="s">
        <v>436</v>
      </c>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row>
    <row r="19" spans="1:52"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row>
    <row r="20" spans="1:52" x14ac:dyDescent="0.25">
      <c r="A20" s="1"/>
      <c r="B20" s="3" t="s">
        <v>0</v>
      </c>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row>
    <row r="21" spans="1:52" x14ac:dyDescent="0.25">
      <c r="A21" s="1"/>
      <c r="B21" s="1" t="s">
        <v>536</v>
      </c>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row>
    <row r="22" spans="1:52" x14ac:dyDescent="0.25">
      <c r="A22" s="1"/>
      <c r="B22" s="4" t="s">
        <v>535</v>
      </c>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row>
    <row r="23" spans="1:52" x14ac:dyDescent="0.25">
      <c r="A23" s="1"/>
      <c r="B23" s="4" t="s">
        <v>437</v>
      </c>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row>
    <row r="24" spans="1:52" x14ac:dyDescent="0.25">
      <c r="A24" s="1"/>
      <c r="B24" s="4" t="s">
        <v>438</v>
      </c>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row>
    <row r="25" spans="1:52" x14ac:dyDescent="0.25">
      <c r="A25" s="1"/>
      <c r="B25" s="4" t="s">
        <v>441</v>
      </c>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row>
    <row r="26" spans="1:52" x14ac:dyDescent="0.25">
      <c r="A26" s="1"/>
      <c r="B26" s="4"/>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row>
    <row r="27" spans="1:52" x14ac:dyDescent="0.25">
      <c r="A27" s="1"/>
      <c r="B27" s="3" t="s">
        <v>13</v>
      </c>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row>
    <row r="28" spans="1:52" x14ac:dyDescent="0.25">
      <c r="A28" s="1"/>
      <c r="B28" s="1" t="s">
        <v>433</v>
      </c>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row>
    <row r="29" spans="1:52" x14ac:dyDescent="0.25">
      <c r="A29" s="1"/>
      <c r="B29" s="1" t="s">
        <v>434</v>
      </c>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row>
    <row r="30" spans="1:52" x14ac:dyDescent="0.25">
      <c r="A30" s="1"/>
      <c r="B30" s="1" t="s">
        <v>15</v>
      </c>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row>
    <row r="31" spans="1:52" x14ac:dyDescent="0.25">
      <c r="A31" s="1"/>
      <c r="B31" s="4"/>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row>
    <row r="32" spans="1:52" x14ac:dyDescent="0.25">
      <c r="A32" s="1"/>
      <c r="B32" s="3" t="s">
        <v>1</v>
      </c>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row>
    <row r="33" spans="1:52" x14ac:dyDescent="0.25">
      <c r="A33" s="1"/>
      <c r="B33" s="4" t="s">
        <v>439</v>
      </c>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row>
    <row r="34" spans="1:52" x14ac:dyDescent="0.25">
      <c r="A34" s="1"/>
      <c r="B34" s="4" t="s">
        <v>435</v>
      </c>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row>
    <row r="35" spans="1:52"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row>
    <row r="36" spans="1:52" x14ac:dyDescent="0.25">
      <c r="A36" s="1"/>
      <c r="B36" s="3" t="s">
        <v>2</v>
      </c>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row>
    <row r="37" spans="1:52" x14ac:dyDescent="0.25">
      <c r="A37" s="1"/>
      <c r="B37" s="1" t="s">
        <v>440</v>
      </c>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row>
    <row r="38" spans="1:52"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row>
    <row r="39" spans="1:52"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row>
    <row r="40" spans="1:52"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row>
    <row r="41" spans="1:52" x14ac:dyDescent="0.25">
      <c r="A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row>
    <row r="47" spans="1:52"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row>
    <row r="48" spans="1:52"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row>
    <row r="50" spans="1:52"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row>
    <row r="51" spans="1:52"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row>
    <row r="52" spans="1:52"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row>
    <row r="53" spans="1:52"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row>
    <row r="54" spans="1:52"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row>
    <row r="55" spans="1:52"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row>
    <row r="56" spans="1:52"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row>
    <row r="57" spans="1:52"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row>
    <row r="58" spans="1:52"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row>
    <row r="59" spans="1:52"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row>
    <row r="60" spans="1:52"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row>
    <row r="61" spans="1:52"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row>
    <row r="62" spans="1:52"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row>
    <row r="63" spans="1:52"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row>
    <row r="64" spans="1:52"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row>
    <row r="65" spans="1:52"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row>
    <row r="66" spans="1:52"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row>
    <row r="67" spans="1:52"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row>
    <row r="68" spans="1:52"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row>
    <row r="69" spans="1:52"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row>
    <row r="70" spans="1:52"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row>
    <row r="71" spans="1:52"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row>
    <row r="72" spans="1:52"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row>
    <row r="73" spans="1:52"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row>
    <row r="74" spans="1:52"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row>
    <row r="75" spans="1:52"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row>
    <row r="76" spans="1:52"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row>
    <row r="77" spans="1:52"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row>
    <row r="78" spans="1:52"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row>
    <row r="79" spans="1:52"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row>
    <row r="80" spans="1:52"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row>
    <row r="81" spans="1:52"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row>
    <row r="82" spans="1:52"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row>
    <row r="83" spans="1:52"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row>
    <row r="84" spans="1:52"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row>
    <row r="85" spans="1:52"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row>
    <row r="86" spans="1:52"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row>
    <row r="87" spans="1:52"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row>
    <row r="88" spans="1:52"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row>
    <row r="89" spans="1:52"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row>
    <row r="90" spans="1:52"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row>
    <row r="91" spans="1:52"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row>
    <row r="92" spans="1:5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row>
    <row r="93" spans="1:5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row>
    <row r="94" spans="1:5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row>
    <row r="95" spans="1:5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row>
    <row r="96" spans="1:5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row>
    <row r="97" spans="1:5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row>
    <row r="98" spans="1:5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row>
    <row r="99" spans="1:5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row>
    <row r="100" spans="1:5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row>
    <row r="101" spans="1:5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row>
    <row r="102" spans="1:5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row>
    <row r="103" spans="1:5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row>
    <row r="104" spans="1:5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row>
    <row r="105" spans="1:5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row>
    <row r="106" spans="1:5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row>
    <row r="107" spans="1:5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row>
    <row r="108" spans="1:5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row>
    <row r="109" spans="1:5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row>
    <row r="110" spans="1:5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row>
    <row r="111" spans="1:5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row>
    <row r="112" spans="1:5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row>
    <row r="113" spans="1:5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row>
    <row r="114" spans="1:5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row>
    <row r="115" spans="1:5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row>
    <row r="116" spans="1:5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row>
    <row r="117" spans="1:5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row>
    <row r="118" spans="1:5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row>
    <row r="119" spans="1:5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row>
    <row r="120" spans="1:5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row>
    <row r="121" spans="1:5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row>
    <row r="122" spans="1:5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row>
    <row r="123" spans="1:5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row>
    <row r="124" spans="1:5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row>
    <row r="125" spans="1:5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row>
    <row r="126" spans="1:5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row>
    <row r="127" spans="1:5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row>
    <row r="128" spans="1:5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row>
    <row r="129" spans="1:5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row>
    <row r="130" spans="1:5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row>
    <row r="131" spans="1:5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row>
    <row r="132" spans="1:5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row>
    <row r="133" spans="1:5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row>
    <row r="134" spans="1:5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row>
    <row r="135" spans="1:5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row>
    <row r="136" spans="1:5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row>
    <row r="137" spans="1:5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row>
    <row r="138" spans="1:5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row>
    <row r="139" spans="1:5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row>
    <row r="140" spans="1:5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row>
    <row r="141" spans="1:5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row>
    <row r="142" spans="1:5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row>
    <row r="143" spans="1:5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row>
    <row r="144" spans="1:5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row>
    <row r="145" spans="1:5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row>
    <row r="146" spans="1:5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row>
    <row r="147" spans="1:5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row>
    <row r="148" spans="1:5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row>
    <row r="149" spans="1:5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row>
    <row r="150" spans="1:5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row>
    <row r="151" spans="1:5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row>
    <row r="152" spans="1:5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row>
    <row r="153" spans="1:5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row>
    <row r="154" spans="1:5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row>
    <row r="155" spans="1:5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row>
    <row r="156" spans="1:5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row>
    <row r="157" spans="1:5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row>
    <row r="158" spans="1:5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row>
    <row r="159" spans="1:5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row>
    <row r="160" spans="1:5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row>
    <row r="161" spans="1:5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row>
    <row r="162" spans="1:5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row>
    <row r="163" spans="1:5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row>
    <row r="164" spans="1:5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row>
    <row r="165" spans="1:5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row>
    <row r="166" spans="1:5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row>
    <row r="167" spans="1:5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row>
    <row r="168" spans="1:5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row>
    <row r="169" spans="1:5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row>
    <row r="170" spans="1:5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row>
    <row r="171" spans="1:5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row>
    <row r="172" spans="1:5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row>
    <row r="173" spans="1:5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row>
    <row r="174" spans="1:5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row>
    <row r="175" spans="1:5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row>
    <row r="176" spans="1:5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row>
    <row r="177" spans="1:5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row>
    <row r="178" spans="1:5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row>
    <row r="179" spans="1:5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row>
    <row r="180" spans="1:5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row>
    <row r="181" spans="1:5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row>
    <row r="182" spans="1:5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row>
    <row r="183" spans="1:5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row>
    <row r="184" spans="1:5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row>
    <row r="185" spans="1:5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row>
    <row r="186" spans="1:5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row>
    <row r="187" spans="1:5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row>
    <row r="188" spans="1:5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row>
    <row r="189" spans="1:5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row>
    <row r="190" spans="1:5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row>
    <row r="191" spans="1:5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row>
    <row r="192" spans="1:5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row>
    <row r="193" spans="1:5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row>
    <row r="194" spans="1:5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row>
    <row r="195" spans="1:5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row>
    <row r="196" spans="1:5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row>
    <row r="197" spans="1:5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row>
    <row r="198" spans="1:5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row>
    <row r="199" spans="1:5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row>
    <row r="200" spans="1:5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row>
    <row r="201" spans="1:5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row>
    <row r="202" spans="1:5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row>
    <row r="203" spans="1:5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row>
    <row r="204" spans="1:5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row>
    <row r="205" spans="1:5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row>
    <row r="206" spans="1:5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row>
    <row r="207" spans="1:5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row>
    <row r="208" spans="1:5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row>
    <row r="209" spans="1:5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row>
    <row r="210" spans="1:5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row>
    <row r="211" spans="1:5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row>
    <row r="212" spans="1:5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row>
    <row r="213" spans="1:5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row>
    <row r="214" spans="1:5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row>
    <row r="215" spans="1:5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row>
    <row r="216" spans="1:5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row>
    <row r="217" spans="1:5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row>
    <row r="218" spans="1:5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row>
    <row r="219" spans="1:5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row>
    <row r="220" spans="1:5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row>
    <row r="221" spans="1:5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row>
    <row r="222" spans="1:5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row>
    <row r="223" spans="1:5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row>
    <row r="224" spans="1:5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row>
    <row r="225" spans="1:5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row>
    <row r="226" spans="1:5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row>
    <row r="227" spans="1:5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row>
    <row r="228" spans="1:5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row>
    <row r="229" spans="1:5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row>
    <row r="230" spans="1:5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row>
    <row r="231" spans="1:5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row>
    <row r="232" spans="1:5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row>
    <row r="233" spans="1:5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row>
    <row r="234" spans="1:5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row>
    <row r="235" spans="1:5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row>
    <row r="236" spans="1:5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row>
    <row r="237" spans="1:5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row>
    <row r="238" spans="1:5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row>
    <row r="239" spans="1:5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row>
    <row r="240" spans="1:5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row>
    <row r="241" spans="1:5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row>
    <row r="242" spans="1:5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row>
    <row r="243" spans="1:5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row>
    <row r="244" spans="1:5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row>
    <row r="245" spans="1:5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row>
    <row r="246" spans="1:5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row>
    <row r="247" spans="1:5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row>
    <row r="248" spans="1:5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row>
    <row r="249" spans="1:5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row>
    <row r="250" spans="1:5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row>
    <row r="251" spans="1:5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row>
    <row r="252" spans="1:5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row>
    <row r="253" spans="1:5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row>
    <row r="254" spans="1:5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row>
    <row r="255" spans="1:5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row>
    <row r="256" spans="1:5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row>
    <row r="257" spans="1:5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row>
    <row r="258" spans="1:5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row>
    <row r="259" spans="1:5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row>
    <row r="260" spans="1:5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row>
    <row r="261" spans="1:5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row>
    <row r="262" spans="1:5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row>
    <row r="263" spans="1:5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row>
    <row r="264" spans="1:5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row>
    <row r="265" spans="1:5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row>
    <row r="266" spans="1:5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row>
    <row r="267" spans="1:5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row>
    <row r="268" spans="1:5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row>
    <row r="269" spans="1:5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row>
    <row r="270" spans="1:5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row>
    <row r="271" spans="1:5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row>
    <row r="272" spans="1:5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row>
    <row r="273" spans="1:5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row>
    <row r="274" spans="1:5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row>
    <row r="275" spans="1:5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row>
    <row r="276" spans="1:5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row>
    <row r="277" spans="1:5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row>
    <row r="278" spans="1:5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row>
    <row r="279" spans="1:5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row>
    <row r="280" spans="1:5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row>
    <row r="281" spans="1:5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row>
    <row r="282" spans="1:5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row>
    <row r="283" spans="1:5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row>
    <row r="284" spans="1:5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row>
    <row r="285" spans="1:5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row>
    <row r="286" spans="1:5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row>
    <row r="287" spans="1:5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row>
    <row r="288" spans="1:5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row>
    <row r="289" spans="1:5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row>
    <row r="290" spans="1:5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row>
    <row r="291" spans="1:5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row>
    <row r="292" spans="1:5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row>
    <row r="293" spans="1:5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row>
    <row r="294" spans="1:5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row>
    <row r="295" spans="1:5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row>
    <row r="296" spans="1:5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row>
    <row r="297" spans="1:5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row>
    <row r="298" spans="1:5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row>
    <row r="299" spans="1:5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row>
    <row r="300" spans="1:5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row>
    <row r="301" spans="1:5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row>
    <row r="302" spans="1:5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row>
    <row r="303" spans="1:5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row>
    <row r="304" spans="1:5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row>
    <row r="305" spans="1:5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row>
    <row r="306" spans="1:5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row>
    <row r="307" spans="1:5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row>
    <row r="308" spans="1:5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row>
    <row r="309" spans="1:5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row>
    <row r="310" spans="1:5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row>
    <row r="311" spans="1:5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row>
    <row r="312" spans="1:5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row>
    <row r="313" spans="1:5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row>
    <row r="314" spans="1:5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row>
    <row r="315" spans="1:5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row>
    <row r="316" spans="1:5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row>
    <row r="317" spans="1:5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row>
    <row r="318" spans="1:5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row>
    <row r="319" spans="1:5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row>
    <row r="320" spans="1:5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row>
    <row r="321" spans="1:5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row>
    <row r="322" spans="1:5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row>
    <row r="323" spans="1:5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row>
    <row r="324" spans="1:5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row>
    <row r="325" spans="1:5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row>
    <row r="326" spans="1:5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row>
    <row r="327" spans="1:5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row>
    <row r="328" spans="1:5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row>
    <row r="329" spans="1:5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row>
    <row r="330" spans="1:5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row>
    <row r="331" spans="1:5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row>
    <row r="332" spans="1:5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row>
    <row r="333" spans="1:5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row>
    <row r="334" spans="1:5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row>
    <row r="335" spans="1:5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row>
    <row r="336" spans="1:5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row>
    <row r="337" spans="1:5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row>
    <row r="338" spans="1:5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row>
    <row r="339" spans="1:5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row>
    <row r="340" spans="1:5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row>
    <row r="341" spans="1:5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row>
    <row r="342" spans="1:5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row>
    <row r="343" spans="1:5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row>
    <row r="344" spans="1:5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row>
    <row r="345" spans="1:5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row>
    <row r="346" spans="1:5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row>
    <row r="347" spans="1:5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row>
    <row r="348" spans="1:5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row>
    <row r="349" spans="1:5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row>
    <row r="350" spans="1:5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row>
    <row r="351" spans="1:5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row>
    <row r="352" spans="1:5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row>
    <row r="353" spans="1:5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row>
    <row r="354" spans="1:5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row>
    <row r="355" spans="1:5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row>
    <row r="356" spans="1:5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row>
    <row r="357" spans="1:5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row>
    <row r="358" spans="1:5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row>
    <row r="359" spans="1:5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row>
    <row r="360" spans="1:5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row>
    <row r="361" spans="1:5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row>
    <row r="362" spans="1:5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row>
    <row r="363" spans="1:5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row>
    <row r="364" spans="1:5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row>
    <row r="365" spans="1:5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row>
    <row r="366" spans="1:5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row>
    <row r="367" spans="1:5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row>
    <row r="368" spans="1:5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row>
    <row r="369" spans="1:5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row>
    <row r="370" spans="1:5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row>
    <row r="371" spans="1:5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row>
    <row r="372" spans="1:5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row>
    <row r="373" spans="1:5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row>
    <row r="374" spans="1:5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row>
    <row r="375" spans="1:5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row>
    <row r="376" spans="1:5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row>
    <row r="377" spans="1:5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row>
    <row r="378" spans="1:5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row>
    <row r="379" spans="1:5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row>
    <row r="380" spans="1:5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row>
    <row r="381" spans="1:5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row>
    <row r="382" spans="1:5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row>
    <row r="383" spans="1:5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row>
    <row r="384" spans="1:5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row>
    <row r="385" spans="1:5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row>
    <row r="386" spans="1:5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row>
    <row r="387" spans="1:5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row>
    <row r="388" spans="1:5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row>
    <row r="389" spans="1:5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row>
    <row r="390" spans="1:5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row>
    <row r="391" spans="1:5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row>
    <row r="392" spans="1:5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row>
    <row r="393" spans="1:5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row>
    <row r="394" spans="1:5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row>
    <row r="395" spans="1:5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row>
    <row r="396" spans="1:5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row>
    <row r="397" spans="1:5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row>
    <row r="398" spans="1:5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row>
    <row r="399" spans="1:5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row>
    <row r="400" spans="1:5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row>
    <row r="401" spans="1:5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row>
    <row r="402" spans="1:5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row>
    <row r="403" spans="1:5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row>
    <row r="404" spans="1:5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row>
    <row r="405" spans="1:5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row>
    <row r="406" spans="1:5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row>
    <row r="407" spans="1:5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row>
    <row r="408" spans="1:5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row>
    <row r="409" spans="1:5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row>
    <row r="410" spans="1:5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row>
    <row r="411" spans="1:5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row>
    <row r="412" spans="1:5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row>
    <row r="413" spans="1:5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row>
    <row r="414" spans="1:5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row>
    <row r="415" spans="1:5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row>
    <row r="416" spans="1:5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row>
    <row r="417" spans="1:5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row>
    <row r="418" spans="1:5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row>
    <row r="419" spans="1:5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row>
    <row r="420" spans="1:5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row>
    <row r="421" spans="1:5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row>
    <row r="422" spans="1:5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row>
    <row r="423" spans="1:5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row>
    <row r="424" spans="1:5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row>
    <row r="425" spans="1:5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row>
    <row r="426" spans="1:5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row>
    <row r="427" spans="1:5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row>
    <row r="428" spans="1:5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row>
    <row r="429" spans="1:5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row>
    <row r="430" spans="1:5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row>
    <row r="431" spans="1:5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row>
    <row r="432" spans="1:5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row>
    <row r="433" spans="1:5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row>
    <row r="434" spans="1:5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row>
    <row r="435" spans="1:5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row>
    <row r="436" spans="1:5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row>
    <row r="437" spans="1:5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row>
    <row r="438" spans="1:5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row>
    <row r="439" spans="1:5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row>
    <row r="440" spans="1:5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row>
    <row r="441" spans="1:5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row>
    <row r="442" spans="1:5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row>
    <row r="443" spans="1:5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row>
    <row r="444" spans="1:5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row>
    <row r="445" spans="1:5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row>
    <row r="446" spans="1:5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row>
    <row r="447" spans="1:5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row>
    <row r="448" spans="1:5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row>
    <row r="449" spans="1:5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row>
    <row r="450" spans="1:5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row>
    <row r="451" spans="1:5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row>
    <row r="452" spans="1:5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row>
    <row r="453" spans="1:5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row>
    <row r="454" spans="1:5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row>
    <row r="455" spans="1:5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row>
    <row r="456" spans="1:5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row>
    <row r="457" spans="1:5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row>
    <row r="458" spans="1:5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row>
    <row r="459" spans="1:5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row>
    <row r="460" spans="1:5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row>
    <row r="461" spans="1:5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row>
    <row r="462" spans="1:5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row>
    <row r="463" spans="1:5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row>
    <row r="464" spans="1:5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row>
    <row r="465" spans="1:5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row>
    <row r="466" spans="1:5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row>
    <row r="467" spans="1:5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row>
    <row r="468" spans="1:5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row>
    <row r="469" spans="1:5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row>
    <row r="470" spans="1:5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row>
    <row r="471" spans="1:5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row>
    <row r="472" spans="1:5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row>
    <row r="473" spans="1:5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row>
    <row r="474" spans="1:5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row>
    <row r="475" spans="1:5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row>
    <row r="476" spans="1:5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row>
    <row r="477" spans="1:5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row>
    <row r="478" spans="1:5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row>
    <row r="479" spans="1:5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row>
    <row r="480" spans="1:5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row>
    <row r="481" spans="1:5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row>
    <row r="482" spans="1:5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row>
    <row r="483" spans="1:5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row>
    <row r="484" spans="1:5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row>
    <row r="485" spans="1:5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row>
    <row r="486" spans="1:5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row>
    <row r="487" spans="1:5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row>
    <row r="488" spans="1:5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row>
    <row r="489" spans="1:5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row>
    <row r="490" spans="1:5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row>
    <row r="491" spans="1:5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row>
    <row r="492" spans="1:5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row>
    <row r="493" spans="1:5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row>
    <row r="494" spans="1:5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row>
    <row r="495" spans="1:5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row>
    <row r="496" spans="1:5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row>
    <row r="497" spans="1:5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row>
    <row r="498" spans="1:5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row>
    <row r="499" spans="1:5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row>
    <row r="500" spans="1:5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row>
    <row r="501" spans="1:5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row>
    <row r="502" spans="1:5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row>
    <row r="503" spans="1:5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row>
    <row r="504" spans="1:5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row>
    <row r="505" spans="1:5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row>
    <row r="506" spans="1:5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row>
    <row r="507" spans="1:5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row>
    <row r="508" spans="1:5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row>
    <row r="509" spans="1:5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row>
    <row r="510" spans="1:5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row>
    <row r="511" spans="1:5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row>
    <row r="512" spans="1:5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row>
    <row r="513" spans="1:5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row>
    <row r="514" spans="1:5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row>
    <row r="515" spans="1:5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row>
    <row r="516" spans="1:5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row>
    <row r="517" spans="1:5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row>
    <row r="518" spans="1:5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row>
    <row r="519" spans="1:5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row>
    <row r="520" spans="1:5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row>
    <row r="521" spans="1:5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row>
    <row r="522" spans="1:5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row>
    <row r="523" spans="1:5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row>
    <row r="524" spans="1:5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row>
    <row r="525" spans="1:5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row>
    <row r="526" spans="1:5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row>
    <row r="527" spans="1:5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row>
    <row r="528" spans="1:5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row>
    <row r="529" spans="1:5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row>
    <row r="530" spans="1:5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row>
    <row r="531" spans="1:5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row>
    <row r="532" spans="1:5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row>
    <row r="533" spans="1:5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row>
    <row r="534" spans="1:5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row>
    <row r="535" spans="1:5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row>
    <row r="536" spans="1:5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row>
    <row r="537" spans="1:5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row>
    <row r="538" spans="1:5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row>
    <row r="539" spans="1:5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row>
    <row r="540" spans="1:5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row>
    <row r="541" spans="1:5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row>
    <row r="542" spans="1:5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row>
    <row r="543" spans="1:5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row>
    <row r="544" spans="1:5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row>
    <row r="545" spans="1:5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row>
    <row r="546" spans="1:5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row>
    <row r="547" spans="1:5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row>
    <row r="548" spans="1:5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row>
    <row r="549" spans="1:5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row>
    <row r="550" spans="1:5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row>
    <row r="551" spans="1:5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row>
    <row r="552" spans="1:5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row>
    <row r="553" spans="1:5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row>
    <row r="554" spans="1:5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row>
    <row r="555" spans="1:5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row>
    <row r="556" spans="1:5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row>
    <row r="557" spans="1:5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row>
    <row r="558" spans="1:5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row>
    <row r="559" spans="1:5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row>
    <row r="560" spans="1:5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row>
    <row r="561" spans="1:5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row>
    <row r="562" spans="1:5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row>
    <row r="563" spans="1:5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row>
    <row r="564" spans="1:5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row>
    <row r="565" spans="1:5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row>
    <row r="566" spans="1:5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row>
    <row r="567" spans="1:5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row>
    <row r="568" spans="1:5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row>
    <row r="569" spans="1:5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row>
    <row r="570" spans="1:5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row>
    <row r="571" spans="1:5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row>
    <row r="572" spans="1:5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row>
    <row r="573" spans="1:5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row>
    <row r="574" spans="1:5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row>
    <row r="575" spans="1:5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row>
    <row r="576" spans="1:5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row>
    <row r="577" spans="1:5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row>
    <row r="578" spans="1:5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row>
    <row r="579" spans="1:5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row>
    <row r="580" spans="1:5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row>
    <row r="581" spans="1:5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row>
    <row r="582" spans="1:5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row>
    <row r="583" spans="1:5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row>
    <row r="584" spans="1:5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row>
    <row r="585" spans="1:5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row>
    <row r="586" spans="1:5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row>
    <row r="587" spans="1:5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row>
    <row r="588" spans="1:5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row>
    <row r="589" spans="1:5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row>
    <row r="590" spans="1:5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row>
    <row r="591" spans="1:5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row>
    <row r="592" spans="1:5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row>
    <row r="593" spans="1:5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row>
    <row r="594" spans="1:5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row>
    <row r="595" spans="1:5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row>
    <row r="596" spans="1:5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row>
    <row r="597" spans="1:5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row>
    <row r="598" spans="1:5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row>
    <row r="599" spans="1:5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row>
    <row r="600" spans="1:5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row>
    <row r="601" spans="1:5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row>
    <row r="602" spans="1:5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row>
    <row r="603" spans="1:5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row>
    <row r="604" spans="1:5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row>
    <row r="605" spans="1:5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row>
    <row r="606" spans="1:5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row>
    <row r="607" spans="1:5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row>
    <row r="608" spans="1:5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row>
    <row r="609" spans="1:5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row>
    <row r="610" spans="1:5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row>
    <row r="611" spans="1:5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row>
    <row r="612" spans="1:5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row>
    <row r="613" spans="1:5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row>
    <row r="614" spans="1:5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row>
    <row r="615" spans="1:5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row>
    <row r="616" spans="1:5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row>
    <row r="617" spans="1:5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row>
    <row r="618" spans="1:5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row>
    <row r="619" spans="1:5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row>
    <row r="620" spans="1:5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row>
    <row r="621" spans="1:5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row>
    <row r="622" spans="1:5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row>
    <row r="623" spans="1:5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row>
    <row r="624" spans="1:5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row>
    <row r="625" spans="1:5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row>
    <row r="626" spans="1:5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row>
    <row r="627" spans="1:5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row>
    <row r="628" spans="1:5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row>
    <row r="629" spans="1:5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row>
    <row r="630" spans="1:5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row>
    <row r="631" spans="1:5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row>
    <row r="632" spans="1:5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row>
    <row r="633" spans="1:5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row>
    <row r="634" spans="1:5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row>
    <row r="635" spans="1:5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row>
    <row r="636" spans="1:5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row>
    <row r="637" spans="1:5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row>
    <row r="638" spans="1:5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row>
    <row r="639" spans="1:5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row>
    <row r="640" spans="1:5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row>
    <row r="641" spans="1:5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row>
    <row r="642" spans="1:5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row>
    <row r="643" spans="1:5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row>
    <row r="644" spans="1:5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row>
    <row r="645" spans="1:5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row>
    <row r="646" spans="1:5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row>
    <row r="647" spans="1:5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row>
    <row r="648" spans="1:5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row>
    <row r="649" spans="1:5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row>
    <row r="650" spans="1:5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row>
    <row r="651" spans="1:5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row>
    <row r="652" spans="1:5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row>
    <row r="653" spans="1:5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row>
    <row r="654" spans="1:5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row>
    <row r="655" spans="1:5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row>
    <row r="656" spans="1:5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row>
    <row r="657" spans="1:5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row>
    <row r="658" spans="1:5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row>
    <row r="659" spans="1:5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row>
    <row r="660" spans="1:5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row>
    <row r="661" spans="1:5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row>
    <row r="662" spans="1:5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row>
    <row r="663" spans="1:5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row>
    <row r="664" spans="1:5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row>
    <row r="665" spans="1:5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row>
    <row r="666" spans="1:5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row>
    <row r="667" spans="1:5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row>
    <row r="668" spans="1:5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row>
    <row r="669" spans="1:5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row>
    <row r="670" spans="1:5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row>
    <row r="671" spans="1:5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row>
    <row r="672" spans="1:5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row>
    <row r="673" spans="1:5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row>
    <row r="674" spans="1:5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row>
    <row r="675" spans="1:5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row>
    <row r="676" spans="1:5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row>
    <row r="677" spans="1:5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row>
    <row r="678" spans="1:5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row>
    <row r="679" spans="1:5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row>
    <row r="680" spans="1:5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row>
    <row r="681" spans="1:5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row>
    <row r="682" spans="1:5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row>
    <row r="683" spans="1:5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row>
    <row r="684" spans="1:5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row>
    <row r="685" spans="1:5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row>
    <row r="686" spans="1:5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row>
    <row r="687" spans="1:5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row>
    <row r="688" spans="1:5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row>
    <row r="689" spans="1:5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row>
    <row r="690" spans="1:5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row>
    <row r="691" spans="1:5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row>
    <row r="692" spans="1:5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row>
    <row r="693" spans="1:5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row>
    <row r="694" spans="1:5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row>
    <row r="695" spans="1:5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row>
    <row r="696" spans="1:5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row>
    <row r="697" spans="1:5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row>
    <row r="698" spans="1:5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row>
    <row r="699" spans="1:5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row>
    <row r="700" spans="1:5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row>
    <row r="701" spans="1:5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row>
    <row r="702" spans="1:5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row>
    <row r="703" spans="1:5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row>
    <row r="704" spans="1:5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row>
    <row r="705" spans="1:5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row>
    <row r="706" spans="1:5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row>
    <row r="707" spans="1:5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row>
    <row r="708" spans="1:5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row>
    <row r="709" spans="1:5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row>
    <row r="710" spans="1:5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row>
    <row r="711" spans="1:5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row>
    <row r="712" spans="1:5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row>
    <row r="713" spans="1:5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row>
    <row r="714" spans="1:5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row>
    <row r="715" spans="1:5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row>
    <row r="716" spans="1:5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row>
    <row r="717" spans="1:5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row>
    <row r="718" spans="1:5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row>
    <row r="719" spans="1:5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row>
    <row r="720" spans="1:5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row>
    <row r="721" spans="1:5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row>
    <row r="722" spans="1:5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row>
    <row r="723" spans="1:5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row>
    <row r="724" spans="1:5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row>
    <row r="725" spans="1:5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row>
    <row r="726" spans="1:5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row>
    <row r="727" spans="1:5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row>
    <row r="728" spans="1:5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row>
    <row r="729" spans="1:5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row>
    <row r="730" spans="1:5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row>
    <row r="731" spans="1:5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row>
    <row r="732" spans="1:5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row>
    <row r="733" spans="1:5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row>
    <row r="734" spans="1:5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row>
    <row r="735" spans="1:5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row>
    <row r="736" spans="1:5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row>
    <row r="737" spans="1:5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row>
    <row r="738" spans="1:5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row>
    <row r="739" spans="1:5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row>
    <row r="740" spans="1:5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row>
    <row r="741" spans="1:5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row>
    <row r="742" spans="1:5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row>
    <row r="743" spans="1:5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row>
    <row r="744" spans="1:5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row>
    <row r="745" spans="1:5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row>
    <row r="746" spans="1:5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row>
    <row r="747" spans="1:5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row>
    <row r="748" spans="1:5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row>
    <row r="749" spans="1:5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row>
    <row r="750" spans="1:5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row>
    <row r="751" spans="1:5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row>
    <row r="752" spans="1:5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row>
    <row r="753" spans="1:5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row>
    <row r="754" spans="1:5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row>
    <row r="755" spans="1:5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row>
    <row r="756" spans="1:5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row>
    <row r="757" spans="1:5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row>
    <row r="758" spans="1:5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row>
    <row r="759" spans="1:5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row>
    <row r="760" spans="1:5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row>
    <row r="761" spans="1:5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row>
    <row r="762" spans="1:5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row>
    <row r="763" spans="1:5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row>
    <row r="764" spans="1:5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row>
    <row r="765" spans="1:5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row>
    <row r="766" spans="1:5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row>
    <row r="767" spans="1:5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row>
    <row r="768" spans="1:5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row>
    <row r="769" spans="1:5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row>
    <row r="770" spans="1:5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row>
    <row r="771" spans="1:5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row>
    <row r="772" spans="1:5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row>
    <row r="773" spans="1:5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row>
    <row r="774" spans="1:5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row>
    <row r="775" spans="1:5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row>
    <row r="776" spans="1:5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row>
    <row r="777" spans="1:5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row>
    <row r="778" spans="1:5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row>
    <row r="779" spans="1:5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row>
    <row r="780" spans="1:5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row>
    <row r="781" spans="1:5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row>
    <row r="782" spans="1:5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row>
    <row r="783" spans="1:5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row>
    <row r="784" spans="1:5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row>
    <row r="785" spans="1:5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row>
    <row r="786" spans="1:5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row>
    <row r="787" spans="1:5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row>
    <row r="788" spans="1:5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row>
    <row r="789" spans="1:5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row>
    <row r="790" spans="1:5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row>
    <row r="791" spans="1:5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row>
    <row r="792" spans="1:5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row>
    <row r="793" spans="1:5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row>
    <row r="794" spans="1:5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row>
    <row r="795" spans="1:5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row>
    <row r="796" spans="1:5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row>
    <row r="797" spans="1:5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row>
    <row r="798" spans="1:5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row>
    <row r="799" spans="1:5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row>
    <row r="800" spans="1:5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row>
    <row r="801" spans="1:5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row>
    <row r="802" spans="1:5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row>
    <row r="803" spans="1:5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row>
    <row r="804" spans="1:5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row>
    <row r="805" spans="1:5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row>
    <row r="806" spans="1:5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row>
    <row r="807" spans="1:5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row>
    <row r="808" spans="1:5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row>
    <row r="809" spans="1:5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row>
    <row r="810" spans="1:5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row>
    <row r="811" spans="1:5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row>
    <row r="812" spans="1:5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row>
    <row r="813" spans="1:5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row>
    <row r="814" spans="1:5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row>
    <row r="815" spans="1:5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row>
    <row r="816" spans="1:5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row>
    <row r="817" spans="1:5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row>
    <row r="818" spans="1:5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row>
    <row r="819" spans="1:5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row>
    <row r="820" spans="1:5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row>
    <row r="821" spans="1:5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row>
    <row r="822" spans="1:5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row>
    <row r="823" spans="1:5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row>
    <row r="824" spans="1:5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row>
    <row r="825" spans="1:5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row>
    <row r="826" spans="1:5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row>
    <row r="827" spans="1:5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row>
    <row r="828" spans="1:5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row>
    <row r="829" spans="1:5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row>
    <row r="830" spans="1:5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row>
    <row r="831" spans="1:5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row>
    <row r="832" spans="1:5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row>
    <row r="833" spans="1:5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row>
    <row r="834" spans="1:5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row>
    <row r="835" spans="1:5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row>
    <row r="836" spans="1:5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row>
    <row r="837" spans="1:5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row>
    <row r="838" spans="1:5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row>
    <row r="839" spans="1:5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row>
    <row r="840" spans="1:5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row>
    <row r="841" spans="1:5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row>
    <row r="842" spans="1:5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row>
    <row r="843" spans="1:5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row>
    <row r="844" spans="1:5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row>
    <row r="845" spans="1:5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row>
    <row r="846" spans="1:5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row>
    <row r="847" spans="1:5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row>
    <row r="848" spans="1:5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row>
    <row r="849" spans="1:5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row>
    <row r="850" spans="1:5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row>
    <row r="851" spans="1:5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row>
    <row r="852" spans="1:5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row>
    <row r="853" spans="1:5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row>
    <row r="854" spans="1:5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row>
    <row r="855" spans="1:5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row>
    <row r="856" spans="1:5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row>
    <row r="857" spans="1:5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row>
    <row r="858" spans="1:5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row>
    <row r="859" spans="1:5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row>
    <row r="860" spans="1:5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row>
    <row r="861" spans="1:5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row>
    <row r="862" spans="1:5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row>
    <row r="863" spans="1:5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row>
    <row r="864" spans="1:5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row>
    <row r="865" spans="1:5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row>
    <row r="866" spans="1:5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row>
    <row r="867" spans="1:5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row>
    <row r="868" spans="1:5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row>
    <row r="869" spans="1:5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row>
    <row r="870" spans="1:5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row>
    <row r="871" spans="1:5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row>
    <row r="872" spans="1:5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row>
    <row r="873" spans="1:5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row>
    <row r="874" spans="1:5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row>
    <row r="875" spans="1:5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row>
    <row r="876" spans="1:5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row>
    <row r="877" spans="1:5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row>
    <row r="878" spans="1:5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row>
    <row r="879" spans="1:5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row>
    <row r="880" spans="1:5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row>
    <row r="881" spans="1:5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row>
    <row r="882" spans="1:5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row>
    <row r="883" spans="1:5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row>
    <row r="884" spans="1:5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row>
    <row r="885" spans="1:5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row>
    <row r="886" spans="1:5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row>
    <row r="887" spans="1:5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row>
    <row r="888" spans="1:5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row>
    <row r="889" spans="1:5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row>
    <row r="890" spans="1:5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row>
    <row r="891" spans="1:5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row>
    <row r="892" spans="1:5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row>
    <row r="893" spans="1:5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row>
    <row r="894" spans="1:5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row>
    <row r="895" spans="1:5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row>
    <row r="896" spans="1:5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row>
    <row r="897" spans="1:5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row>
    <row r="898" spans="1:5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row>
    <row r="899" spans="1:5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row>
    <row r="900" spans="1:5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row>
    <row r="901" spans="1:5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row>
    <row r="902" spans="1:5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row>
    <row r="903" spans="1:5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row>
    <row r="904" spans="1:5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row>
    <row r="905" spans="1:5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row>
    <row r="906" spans="1:5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row>
    <row r="907" spans="1:5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row>
    <row r="908" spans="1:5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row>
    <row r="909" spans="1:5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row>
    <row r="910" spans="1:5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row>
    <row r="911" spans="1:5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row>
    <row r="912" spans="1:5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row>
    <row r="913" spans="1:5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row>
    <row r="914" spans="1:5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row>
    <row r="915" spans="1:5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row>
    <row r="916" spans="1:5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row>
    <row r="917" spans="1:5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row>
    <row r="918" spans="1:5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row>
    <row r="919" spans="1:5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row>
    <row r="920" spans="1:5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row>
    <row r="921" spans="1:5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row>
    <row r="922" spans="1:5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row>
    <row r="923" spans="1:5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row>
    <row r="924" spans="1:5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row>
    <row r="925" spans="1:5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row>
    <row r="926" spans="1:5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row>
    <row r="927" spans="1:5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row>
    <row r="928" spans="1:5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row>
    <row r="929" spans="1:5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row>
    <row r="930" spans="1:5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row>
    <row r="931" spans="1:5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row>
    <row r="932" spans="1:5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row>
    <row r="933" spans="1:5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row>
    <row r="934" spans="1:5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row>
    <row r="935" spans="1:5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row>
    <row r="936" spans="1:5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row>
    <row r="937" spans="1:5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row>
    <row r="938" spans="1:5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row>
    <row r="939" spans="1:5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row>
    <row r="940" spans="1:5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row>
    <row r="941" spans="1:5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row>
    <row r="942" spans="1:5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row>
    <row r="943" spans="1:5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row>
    <row r="944" spans="1:5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row>
    <row r="945" spans="1:5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row>
    <row r="946" spans="1:5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row>
    <row r="947" spans="1:5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row>
    <row r="948" spans="1:5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row>
    <row r="949" spans="1:5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row>
    <row r="950" spans="1:5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row>
    <row r="951" spans="1:5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row>
    <row r="952" spans="1:5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row>
    <row r="953" spans="1:5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row>
    <row r="954" spans="1:5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row>
    <row r="955" spans="1:5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row>
    <row r="956" spans="1:5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row>
    <row r="957" spans="1:5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row>
    <row r="958" spans="1:5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row>
    <row r="959" spans="1:5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row>
    <row r="960" spans="1:5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row>
    <row r="961" spans="1:5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row>
    <row r="962" spans="1:5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row>
    <row r="963" spans="1:5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row>
    <row r="964" spans="1:5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row>
    <row r="965" spans="1:5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row>
    <row r="966" spans="1:5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row>
    <row r="967" spans="1:5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row>
    <row r="968" spans="1:5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row>
    <row r="969" spans="1:5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row>
    <row r="970" spans="1:5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row>
    <row r="971" spans="1:5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row>
    <row r="972" spans="1:5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row>
    <row r="973" spans="1:5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row>
    <row r="974" spans="1:5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row>
    <row r="975" spans="1:5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row>
    <row r="976" spans="1:5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row>
    <row r="977" spans="1:5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row>
    <row r="978" spans="1:5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row>
    <row r="979" spans="1:5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row>
    <row r="980" spans="1:5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row>
    <row r="981" spans="1:5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row>
    <row r="982" spans="1:5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row>
    <row r="983" spans="1:5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row>
    <row r="984" spans="1:5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row>
    <row r="985" spans="1:5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row>
    <row r="986" spans="1:5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row>
    <row r="987" spans="1:5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row>
    <row r="988" spans="1:5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row>
    <row r="989" spans="1:5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row>
    <row r="990" spans="1:5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row>
    <row r="991" spans="1:5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row>
    <row r="992" spans="1:5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row>
    <row r="993" spans="1:5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row>
    <row r="994" spans="1:5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row>
    <row r="995" spans="1:5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row>
    <row r="996" spans="1:5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row>
    <row r="997" spans="1:5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row>
    <row r="998" spans="1:5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row>
    <row r="999" spans="1:5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row>
    <row r="1000" spans="1:5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row>
    <row r="1001" spans="1:5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row>
    <row r="1002" spans="1:5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row>
    <row r="1003" spans="1:5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row>
    <row r="1004" spans="1:5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row>
    <row r="1005" spans="1:5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row>
    <row r="1006" spans="1:5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row>
  </sheetData>
  <pageMargins left="0.75" right="0.75" top="1" bottom="1" header="0.5" footer="0.5"/>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212121"/>
  </sheetPr>
  <dimension ref="A1:AZ991"/>
  <sheetViews>
    <sheetView showGridLines="0" zoomScaleNormal="100" workbookViewId="0">
      <selection activeCell="T22" sqref="T22"/>
    </sheetView>
  </sheetViews>
  <sheetFormatPr defaultColWidth="8.88671875" defaultRowHeight="13.8" x14ac:dyDescent="0.25"/>
  <cols>
    <col min="1" max="1" width="5.5546875" style="2" customWidth="1"/>
    <col min="2" max="2" width="9.33203125" style="2" bestFit="1" customWidth="1"/>
    <col min="3" max="16384" width="8.88671875" style="2"/>
  </cols>
  <sheetData>
    <row r="1" spans="1:52" ht="14.4" customHeight="1" x14ac:dyDescent="0.25">
      <c r="A1" s="435" t="s">
        <v>3</v>
      </c>
      <c r="B1" s="435"/>
      <c r="C1" s="435"/>
      <c r="D1" s="435"/>
      <c r="E1" s="435"/>
      <c r="F1" s="435"/>
      <c r="G1" s="435"/>
      <c r="H1" s="435"/>
      <c r="I1" s="435"/>
      <c r="J1" s="435"/>
      <c r="K1" s="435"/>
      <c r="L1" s="435"/>
      <c r="M1" s="435"/>
      <c r="N1" s="435"/>
      <c r="O1" s="435"/>
      <c r="P1" s="435"/>
      <c r="Q1" s="435"/>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ht="13.8" customHeight="1" x14ac:dyDescent="0.25">
      <c r="A2" s="435"/>
      <c r="B2" s="435"/>
      <c r="C2" s="435"/>
      <c r="D2" s="435"/>
      <c r="E2" s="435"/>
      <c r="F2" s="435"/>
      <c r="G2" s="435"/>
      <c r="H2" s="435"/>
      <c r="I2" s="435"/>
      <c r="J2" s="435"/>
      <c r="K2" s="435"/>
      <c r="L2" s="435"/>
      <c r="M2" s="435"/>
      <c r="N2" s="435"/>
      <c r="O2" s="435"/>
      <c r="P2" s="435"/>
      <c r="Q2" s="435"/>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ht="13.8" customHeight="1" x14ac:dyDescent="0.25">
      <c r="A3" s="435"/>
      <c r="B3" s="435"/>
      <c r="C3" s="435"/>
      <c r="D3" s="435"/>
      <c r="E3" s="435"/>
      <c r="F3" s="435"/>
      <c r="G3" s="435"/>
      <c r="H3" s="435"/>
      <c r="I3" s="435"/>
      <c r="J3" s="435"/>
      <c r="K3" s="435"/>
      <c r="L3" s="435"/>
      <c r="M3" s="435"/>
      <c r="N3" s="435"/>
      <c r="O3" s="435"/>
      <c r="P3" s="435"/>
      <c r="Q3" s="435"/>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3.8" customHeight="1" x14ac:dyDescent="0.25">
      <c r="A4" s="435"/>
      <c r="B4" s="435"/>
      <c r="C4" s="435"/>
      <c r="D4" s="435"/>
      <c r="E4" s="435"/>
      <c r="F4" s="435"/>
      <c r="G4" s="435"/>
      <c r="H4" s="435"/>
      <c r="I4" s="435"/>
      <c r="J4" s="435"/>
      <c r="K4" s="435"/>
      <c r="L4" s="435"/>
      <c r="M4" s="435"/>
      <c r="N4" s="435"/>
      <c r="O4" s="435"/>
      <c r="P4" s="435"/>
      <c r="Q4" s="435"/>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435"/>
      <c r="B5" s="435"/>
      <c r="C5" s="435"/>
      <c r="D5" s="435"/>
      <c r="E5" s="435"/>
      <c r="F5" s="435"/>
      <c r="G5" s="435"/>
      <c r="H5" s="435"/>
      <c r="I5" s="435"/>
      <c r="J5" s="435"/>
      <c r="K5" s="435"/>
      <c r="L5" s="435"/>
      <c r="M5" s="435"/>
      <c r="N5" s="435"/>
      <c r="O5" s="435"/>
      <c r="P5" s="435"/>
      <c r="Q5" s="435"/>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435"/>
      <c r="B6" s="435"/>
      <c r="C6" s="435"/>
      <c r="D6" s="435"/>
      <c r="E6" s="435"/>
      <c r="F6" s="435"/>
      <c r="G6" s="435"/>
      <c r="H6" s="435"/>
      <c r="I6" s="435"/>
      <c r="J6" s="435"/>
      <c r="K6" s="435"/>
      <c r="L6" s="435"/>
      <c r="M6" s="435"/>
      <c r="N6" s="435"/>
      <c r="O6" s="435"/>
      <c r="P6" s="435"/>
      <c r="Q6" s="435"/>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row>
    <row r="7" spans="1:52"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row>
    <row r="8" spans="1:52" x14ac:dyDescent="0.25">
      <c r="A8" s="1"/>
      <c r="B8" s="3" t="s">
        <v>442</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row>
    <row r="9" spans="1:52" x14ac:dyDescent="0.25">
      <c r="A9" s="1"/>
      <c r="B9" s="4" t="s">
        <v>537</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row>
    <row r="10" spans="1:52" x14ac:dyDescent="0.25">
      <c r="A10" s="1"/>
      <c r="B10" s="4" t="s">
        <v>451</v>
      </c>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row>
    <row r="11" spans="1:52" x14ac:dyDescent="0.25">
      <c r="A11" s="1"/>
      <c r="B11" s="256" t="s">
        <v>443</v>
      </c>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row>
    <row r="12" spans="1:52" x14ac:dyDescent="0.25">
      <c r="A12" s="1"/>
      <c r="B12" s="256" t="s">
        <v>444</v>
      </c>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row>
    <row r="13" spans="1:52" x14ac:dyDescent="0.25">
      <c r="A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row>
    <row r="14" spans="1:52" x14ac:dyDescent="0.25">
      <c r="A14" s="1"/>
      <c r="B14" s="3" t="s">
        <v>4</v>
      </c>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row>
    <row r="15" spans="1:52" x14ac:dyDescent="0.25">
      <c r="A15" s="1"/>
      <c r="B15" s="256" t="s">
        <v>450</v>
      </c>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row>
    <row r="16" spans="1:52" x14ac:dyDescent="0.25">
      <c r="A16" s="1"/>
      <c r="B16" s="256" t="s">
        <v>449</v>
      </c>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row>
    <row r="17" spans="1:52" x14ac:dyDescent="0.25">
      <c r="A17" s="1"/>
      <c r="B17" s="4" t="s">
        <v>445</v>
      </c>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row>
    <row r="18" spans="1:52" ht="14.4" x14ac:dyDescent="0.3">
      <c r="A18" s="1"/>
      <c r="B18" s="256" t="s">
        <v>446</v>
      </c>
      <c r="C18" s="1"/>
      <c r="D18" s="1"/>
      <c r="E18" s="1"/>
      <c r="F18" s="1"/>
      <c r="G18" s="1"/>
      <c r="H18" s="1"/>
      <c r="I18" s="1"/>
      <c r="J18" s="1"/>
      <c r="K18" s="1"/>
      <c r="L18" s="1"/>
      <c r="M18" s="1"/>
      <c r="N18" s="1"/>
      <c r="O18" s="1"/>
      <c r="P18" s="1"/>
      <c r="Q18" s="1"/>
      <c r="R18" s="1"/>
      <c r="S18" s="1"/>
      <c r="T18"/>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row>
    <row r="19" spans="1:52" x14ac:dyDescent="0.25">
      <c r="A19" s="1"/>
      <c r="B19" s="256" t="s">
        <v>448</v>
      </c>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row>
    <row r="20" spans="1:52" x14ac:dyDescent="0.25">
      <c r="A20" s="1"/>
      <c r="B20" s="256" t="s">
        <v>447</v>
      </c>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row>
    <row r="21" spans="1:52" x14ac:dyDescent="0.25">
      <c r="A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row>
    <row r="22" spans="1:52" x14ac:dyDescent="0.25">
      <c r="A22" s="1"/>
      <c r="B22" s="3" t="s">
        <v>452</v>
      </c>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row>
    <row r="23" spans="1:52" x14ac:dyDescent="0.25">
      <c r="A23" s="1"/>
      <c r="B23" s="254"/>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row>
    <row r="24" spans="1:52" ht="14.4" x14ac:dyDescent="0.3">
      <c r="A24" s="1"/>
      <c r="B24"/>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row>
    <row r="25" spans="1:52" x14ac:dyDescent="0.25">
      <c r="A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row>
    <row r="26" spans="1:52" x14ac:dyDescent="0.25">
      <c r="A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row>
    <row r="27" spans="1:52" x14ac:dyDescent="0.25">
      <c r="A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row>
    <row r="28" spans="1:52" x14ac:dyDescent="0.25">
      <c r="A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row>
    <row r="29" spans="1:52" x14ac:dyDescent="0.25">
      <c r="A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row>
    <row r="30" spans="1:52" x14ac:dyDescent="0.25">
      <c r="A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row>
    <row r="31" spans="1:52"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row>
    <row r="32" spans="1:52" x14ac:dyDescent="0.25">
      <c r="A32" s="1"/>
      <c r="B32" s="178"/>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row>
    <row r="33" spans="1:52"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row>
    <row r="34" spans="1:52"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row>
    <row r="35" spans="1:52"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row>
    <row r="36" spans="1:52"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row>
    <row r="37" spans="1:52"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row>
    <row r="38" spans="1:52"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row>
    <row r="39" spans="1:52"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row>
    <row r="40" spans="1:52"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row>
    <row r="41" spans="1:52"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row>
    <row r="47" spans="1:52"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row>
    <row r="48" spans="1:52"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row>
    <row r="50" spans="1:52"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row>
    <row r="51" spans="1:52"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row>
    <row r="52" spans="1:52"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row>
    <row r="53" spans="1:52"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row>
    <row r="54" spans="1:52"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row>
    <row r="55" spans="1:52"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row>
    <row r="56" spans="1:52"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row>
    <row r="57" spans="1:52"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row>
    <row r="58" spans="1:52"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row>
    <row r="59" spans="1:52"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row>
    <row r="60" spans="1:52"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row>
    <row r="61" spans="1:52"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row>
    <row r="62" spans="1:52"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row>
    <row r="63" spans="1:52"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row>
    <row r="64" spans="1:52"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row>
    <row r="65" spans="1:52"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row>
    <row r="66" spans="1:52"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row>
    <row r="67" spans="1:52"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row>
    <row r="68" spans="1:52"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row>
    <row r="69" spans="1:52"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row>
    <row r="70" spans="1:52"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row>
    <row r="71" spans="1:52"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row>
    <row r="72" spans="1:52"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row>
    <row r="73" spans="1:52"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row>
    <row r="74" spans="1:52"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row>
    <row r="75" spans="1:52"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row>
    <row r="76" spans="1:52"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row>
    <row r="77" spans="1:52"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row>
    <row r="78" spans="1:52"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row>
    <row r="79" spans="1:52"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row>
    <row r="80" spans="1:52"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row>
    <row r="81" spans="1:52"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row>
    <row r="82" spans="1:52"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row>
    <row r="83" spans="1:52"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row>
    <row r="84" spans="1:52"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row>
    <row r="85" spans="1:52"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row>
    <row r="86" spans="1:52"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row>
    <row r="87" spans="1:52"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row>
    <row r="88" spans="1:52"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row>
    <row r="89" spans="1:52"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row>
    <row r="90" spans="1:52"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row>
    <row r="91" spans="1:52"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row>
    <row r="92" spans="1:5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row>
    <row r="93" spans="1:5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row>
    <row r="94" spans="1:5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row>
    <row r="95" spans="1:5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row>
    <row r="96" spans="1:5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row>
    <row r="97" spans="1:5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row>
    <row r="98" spans="1:5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row>
    <row r="99" spans="1:5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row>
    <row r="100" spans="1:5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row>
    <row r="101" spans="1:5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row>
    <row r="102" spans="1:5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row>
    <row r="103" spans="1:5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row>
    <row r="104" spans="1:5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row>
    <row r="105" spans="1:5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row>
    <row r="106" spans="1:5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row>
    <row r="107" spans="1:5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row>
    <row r="108" spans="1:5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row>
    <row r="109" spans="1:5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row>
    <row r="110" spans="1:5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row>
    <row r="111" spans="1:5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row>
    <row r="112" spans="1:5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row>
    <row r="113" spans="1:5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row>
    <row r="114" spans="1:5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row>
    <row r="115" spans="1:5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row>
    <row r="116" spans="1:5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row>
    <row r="117" spans="1:5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row>
    <row r="118" spans="1:5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row>
    <row r="119" spans="1:5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row>
    <row r="120" spans="1:5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row>
    <row r="121" spans="1:5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row>
    <row r="122" spans="1:5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row>
    <row r="123" spans="1:5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row>
    <row r="124" spans="1:5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row>
    <row r="125" spans="1:5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row>
    <row r="126" spans="1:5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row>
    <row r="127" spans="1:5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row>
    <row r="128" spans="1:5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row>
    <row r="129" spans="1:5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row>
    <row r="130" spans="1:5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row>
    <row r="131" spans="1:5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row>
    <row r="132" spans="1:5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row>
    <row r="133" spans="1:5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row>
    <row r="134" spans="1:5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row>
    <row r="135" spans="1:5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row>
    <row r="136" spans="1:5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row>
    <row r="137" spans="1:5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row>
    <row r="138" spans="1:5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row>
    <row r="139" spans="1:5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row>
    <row r="140" spans="1:5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row>
    <row r="141" spans="1:5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row>
    <row r="142" spans="1:5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row>
    <row r="143" spans="1:5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row>
    <row r="144" spans="1:5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row>
    <row r="145" spans="1:5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row>
    <row r="146" spans="1:5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row>
    <row r="147" spans="1:5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row>
    <row r="148" spans="1:5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row>
    <row r="149" spans="1:5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row>
    <row r="150" spans="1:5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row>
    <row r="151" spans="1:5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row>
    <row r="152" spans="1:5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row>
    <row r="153" spans="1:5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row>
    <row r="154" spans="1:5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row>
    <row r="155" spans="1:5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row>
    <row r="156" spans="1:5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row>
    <row r="157" spans="1:5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row>
    <row r="158" spans="1:5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row>
    <row r="159" spans="1:5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row>
    <row r="160" spans="1:5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row>
    <row r="161" spans="1:5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row>
    <row r="162" spans="1:5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row>
    <row r="163" spans="1:5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row>
    <row r="164" spans="1:5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row>
    <row r="165" spans="1:5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row>
    <row r="166" spans="1:5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row>
    <row r="167" spans="1:5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row>
    <row r="168" spans="1:5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row>
    <row r="169" spans="1:5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row>
    <row r="170" spans="1:5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row>
    <row r="171" spans="1:5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row>
    <row r="172" spans="1:5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row>
    <row r="173" spans="1:5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row>
    <row r="174" spans="1:5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row>
    <row r="175" spans="1:5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row>
    <row r="176" spans="1:5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row>
    <row r="177" spans="1:5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row>
    <row r="178" spans="1:5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row>
    <row r="179" spans="1:5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row>
    <row r="180" spans="1:5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row>
    <row r="181" spans="1:5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row>
    <row r="182" spans="1:5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row>
    <row r="183" spans="1:5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row>
    <row r="184" spans="1:5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row>
    <row r="185" spans="1:5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row>
    <row r="186" spans="1:5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row>
    <row r="187" spans="1:5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row>
    <row r="188" spans="1:5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row>
    <row r="189" spans="1:5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row>
    <row r="190" spans="1:5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row>
    <row r="191" spans="1:5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row>
    <row r="192" spans="1:5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row>
    <row r="193" spans="1:5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row>
    <row r="194" spans="1:5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row>
    <row r="195" spans="1:5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row>
    <row r="196" spans="1:5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row>
    <row r="197" spans="1:5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row>
    <row r="198" spans="1:5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row>
    <row r="199" spans="1:5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row>
    <row r="200" spans="1:5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row>
    <row r="201" spans="1:5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row>
    <row r="202" spans="1:5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row>
    <row r="203" spans="1:5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row>
    <row r="204" spans="1:5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row>
    <row r="205" spans="1:5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row>
    <row r="206" spans="1:5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row>
    <row r="207" spans="1:5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row>
    <row r="208" spans="1:5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row>
    <row r="209" spans="1:5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row>
    <row r="210" spans="1:5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row>
    <row r="211" spans="1:5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row>
    <row r="212" spans="1:5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row>
    <row r="213" spans="1:5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row>
    <row r="214" spans="1:5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row>
    <row r="215" spans="1:5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row>
    <row r="216" spans="1:5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row>
    <row r="217" spans="1:5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row>
    <row r="218" spans="1:5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row>
    <row r="219" spans="1:5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row>
    <row r="220" spans="1:5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row>
    <row r="221" spans="1:5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row>
    <row r="222" spans="1:5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row>
    <row r="223" spans="1:5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row>
    <row r="224" spans="1:5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row>
    <row r="225" spans="1:5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row>
    <row r="226" spans="1:5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row>
    <row r="227" spans="1:5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row>
    <row r="228" spans="1:5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row>
    <row r="229" spans="1:5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row>
    <row r="230" spans="1:5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row>
    <row r="231" spans="1:5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row>
    <row r="232" spans="1:5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row>
    <row r="233" spans="1:5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row>
    <row r="234" spans="1:5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row>
    <row r="235" spans="1:5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row>
    <row r="236" spans="1:5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row>
    <row r="237" spans="1:5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row>
    <row r="238" spans="1:5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row>
    <row r="239" spans="1:5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row>
    <row r="240" spans="1:5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row>
    <row r="241" spans="1:5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row>
    <row r="242" spans="1:5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row>
    <row r="243" spans="1:5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row>
    <row r="244" spans="1:5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row>
    <row r="245" spans="1:5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row>
    <row r="246" spans="1:5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row>
    <row r="247" spans="1:5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row>
    <row r="248" spans="1:5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row>
    <row r="249" spans="1:5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row>
    <row r="250" spans="1:5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row>
    <row r="251" spans="1:5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row>
    <row r="252" spans="1:5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row>
    <row r="253" spans="1:5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row>
    <row r="254" spans="1:5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row>
    <row r="255" spans="1:5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row>
    <row r="256" spans="1:5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row>
    <row r="257" spans="1:5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row>
    <row r="258" spans="1:5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row>
    <row r="259" spans="1:5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row>
    <row r="260" spans="1:5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row>
    <row r="261" spans="1:5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row>
    <row r="262" spans="1:5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row>
    <row r="263" spans="1:5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row>
    <row r="264" spans="1:5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row>
    <row r="265" spans="1:5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row>
    <row r="266" spans="1:5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row>
    <row r="267" spans="1:5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row>
    <row r="268" spans="1:5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row>
    <row r="269" spans="1:5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row>
    <row r="270" spans="1:5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row>
    <row r="271" spans="1:5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row>
    <row r="272" spans="1:5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row>
    <row r="273" spans="1:5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row>
    <row r="274" spans="1:5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row>
    <row r="275" spans="1:5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row>
    <row r="276" spans="1:5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row>
    <row r="277" spans="1:5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row>
    <row r="278" spans="1:5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row>
    <row r="279" spans="1:5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row>
    <row r="280" spans="1:5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row>
    <row r="281" spans="1:5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row>
    <row r="282" spans="1:5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row>
    <row r="283" spans="1:5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row>
    <row r="284" spans="1:5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row>
    <row r="285" spans="1:5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row>
    <row r="286" spans="1:5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row>
    <row r="287" spans="1:5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row>
    <row r="288" spans="1:5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row>
    <row r="289" spans="1:5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row>
    <row r="290" spans="1:5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row>
    <row r="291" spans="1:5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row>
    <row r="292" spans="1:5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row>
    <row r="293" spans="1:5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row>
    <row r="294" spans="1:5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row>
    <row r="295" spans="1:5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row>
    <row r="296" spans="1:5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row>
    <row r="297" spans="1:5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row>
    <row r="298" spans="1:5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row>
    <row r="299" spans="1:5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row>
    <row r="300" spans="1:5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row>
    <row r="301" spans="1:5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row>
    <row r="302" spans="1:5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row>
    <row r="303" spans="1:5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row>
    <row r="304" spans="1:5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row>
    <row r="305" spans="1:5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row>
    <row r="306" spans="1:5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row>
    <row r="307" spans="1:5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row>
    <row r="308" spans="1:5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row>
    <row r="309" spans="1:5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row>
    <row r="310" spans="1:5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row>
    <row r="311" spans="1:5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row>
    <row r="312" spans="1:5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row>
    <row r="313" spans="1:5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row>
    <row r="314" spans="1:5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row>
    <row r="315" spans="1:5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row>
    <row r="316" spans="1:5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row>
    <row r="317" spans="1:5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row>
    <row r="318" spans="1:5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row>
    <row r="319" spans="1:5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row>
    <row r="320" spans="1:5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row>
    <row r="321" spans="1:5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row>
    <row r="322" spans="1:5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row>
    <row r="323" spans="1:5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row>
    <row r="324" spans="1:5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row>
    <row r="325" spans="1:5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row>
    <row r="326" spans="1:5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row>
    <row r="327" spans="1:5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row>
    <row r="328" spans="1:5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row>
    <row r="329" spans="1:5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row>
    <row r="330" spans="1:5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row>
    <row r="331" spans="1:5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row>
    <row r="332" spans="1:5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row>
    <row r="333" spans="1:5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row>
    <row r="334" spans="1:5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row>
    <row r="335" spans="1:5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row>
    <row r="336" spans="1:5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row>
    <row r="337" spans="1:5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row>
    <row r="338" spans="1:5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row>
    <row r="339" spans="1:5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row>
    <row r="340" spans="1:5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row>
    <row r="341" spans="1:5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row>
    <row r="342" spans="1:5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row>
    <row r="343" spans="1:5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row>
    <row r="344" spans="1:5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row>
    <row r="345" spans="1:5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row>
    <row r="346" spans="1:5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row>
    <row r="347" spans="1:5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row>
    <row r="348" spans="1:5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row>
    <row r="349" spans="1:5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row>
    <row r="350" spans="1:5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row>
    <row r="351" spans="1:5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row>
    <row r="352" spans="1:5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row>
    <row r="353" spans="1:5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row>
    <row r="354" spans="1:5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row>
    <row r="355" spans="1:5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row>
    <row r="356" spans="1:5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row>
    <row r="357" spans="1:5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row>
    <row r="358" spans="1:5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row>
    <row r="359" spans="1:5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row>
    <row r="360" spans="1:5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row>
    <row r="361" spans="1:5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row>
    <row r="362" spans="1:5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row>
    <row r="363" spans="1:5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row>
    <row r="364" spans="1:5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row>
    <row r="365" spans="1:5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row>
    <row r="366" spans="1:5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row>
    <row r="367" spans="1:5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row>
    <row r="368" spans="1:5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row>
    <row r="369" spans="1:5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row>
    <row r="370" spans="1:5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row>
    <row r="371" spans="1:5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row>
    <row r="372" spans="1:5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row>
    <row r="373" spans="1:5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row>
    <row r="374" spans="1:5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row>
    <row r="375" spans="1:5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row>
    <row r="376" spans="1:5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row>
    <row r="377" spans="1:5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row>
    <row r="378" spans="1:5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row>
    <row r="379" spans="1:5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row>
    <row r="380" spans="1:5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row>
    <row r="381" spans="1:5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row>
    <row r="382" spans="1:5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row>
    <row r="383" spans="1:5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row>
    <row r="384" spans="1:5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row>
    <row r="385" spans="1:5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row>
    <row r="386" spans="1:5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row>
    <row r="387" spans="1:5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row>
    <row r="388" spans="1:5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row>
    <row r="389" spans="1:5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row>
    <row r="390" spans="1:5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row>
    <row r="391" spans="1:5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row>
    <row r="392" spans="1:5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row>
    <row r="393" spans="1:5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row>
    <row r="394" spans="1:5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row>
    <row r="395" spans="1:5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row>
    <row r="396" spans="1:5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row>
    <row r="397" spans="1:5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row>
    <row r="398" spans="1:5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row>
    <row r="399" spans="1:5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row>
    <row r="400" spans="1:5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row>
    <row r="401" spans="1:5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row>
    <row r="402" spans="1:5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row>
    <row r="403" spans="1:5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row>
    <row r="404" spans="1:5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row>
    <row r="405" spans="1:5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row>
    <row r="406" spans="1:5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row>
    <row r="407" spans="1:5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row>
    <row r="408" spans="1:5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row>
    <row r="409" spans="1:5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row>
    <row r="410" spans="1:5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row>
    <row r="411" spans="1:5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row>
    <row r="412" spans="1:5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row>
    <row r="413" spans="1:5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row>
    <row r="414" spans="1:5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row>
    <row r="415" spans="1:5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row>
    <row r="416" spans="1:5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row>
    <row r="417" spans="1:5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row>
    <row r="418" spans="1:5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row>
    <row r="419" spans="1:5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row>
    <row r="420" spans="1:5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row>
    <row r="421" spans="1:5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row>
    <row r="422" spans="1:5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row>
    <row r="423" spans="1:5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row>
    <row r="424" spans="1:5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row>
    <row r="425" spans="1:5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row>
    <row r="426" spans="1:5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row>
    <row r="427" spans="1:5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row>
    <row r="428" spans="1:5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row>
    <row r="429" spans="1:5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row>
    <row r="430" spans="1:5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row>
    <row r="431" spans="1:5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row>
    <row r="432" spans="1:5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row>
    <row r="433" spans="1:5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row>
    <row r="434" spans="1:5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row>
    <row r="435" spans="1:5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row>
    <row r="436" spans="1:5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row>
    <row r="437" spans="1:5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row>
    <row r="438" spans="1:5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row>
    <row r="439" spans="1:5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row>
    <row r="440" spans="1:5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row>
    <row r="441" spans="1:5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row>
    <row r="442" spans="1:5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row>
    <row r="443" spans="1:5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row>
    <row r="444" spans="1:5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row>
    <row r="445" spans="1:5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row>
    <row r="446" spans="1:5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row>
    <row r="447" spans="1:5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row>
    <row r="448" spans="1:5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row>
    <row r="449" spans="1:5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row>
    <row r="450" spans="1:5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row>
    <row r="451" spans="1:5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row>
    <row r="452" spans="1:5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row>
    <row r="453" spans="1:5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row>
    <row r="454" spans="1:5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row>
    <row r="455" spans="1:5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row>
    <row r="456" spans="1:5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row>
    <row r="457" spans="1:5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row>
    <row r="458" spans="1:5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row>
    <row r="459" spans="1:5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row>
    <row r="460" spans="1:5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row>
    <row r="461" spans="1:5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row>
    <row r="462" spans="1:5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row>
    <row r="463" spans="1:5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row>
    <row r="464" spans="1:5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row>
    <row r="465" spans="1:5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row>
    <row r="466" spans="1:5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row>
    <row r="467" spans="1:5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row>
    <row r="468" spans="1:5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row>
    <row r="469" spans="1:5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row>
    <row r="470" spans="1:5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row>
    <row r="471" spans="1:5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row>
    <row r="472" spans="1:5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row>
    <row r="473" spans="1:5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row>
    <row r="474" spans="1:5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row>
    <row r="475" spans="1:5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row>
    <row r="476" spans="1:5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row>
    <row r="477" spans="1:5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row>
    <row r="478" spans="1:5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row>
    <row r="479" spans="1:5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row>
    <row r="480" spans="1:5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row>
    <row r="481" spans="1:5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row>
    <row r="482" spans="1:5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row>
    <row r="483" spans="1:5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row>
    <row r="484" spans="1:5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row>
    <row r="485" spans="1:5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row>
    <row r="486" spans="1:5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row>
    <row r="487" spans="1:5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row>
    <row r="488" spans="1:5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row>
    <row r="489" spans="1:5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row>
    <row r="490" spans="1:5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row>
    <row r="491" spans="1:5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row>
    <row r="492" spans="1:5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row>
    <row r="493" spans="1:5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row>
    <row r="494" spans="1:5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row>
    <row r="495" spans="1:5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row>
    <row r="496" spans="1:5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row>
    <row r="497" spans="1:5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row>
    <row r="498" spans="1:5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row>
    <row r="499" spans="1:5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row>
    <row r="500" spans="1:5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row>
    <row r="501" spans="1:5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row>
    <row r="502" spans="1:5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row>
    <row r="503" spans="1:5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row>
    <row r="504" spans="1:5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row>
    <row r="505" spans="1:5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row>
    <row r="506" spans="1:5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row>
    <row r="507" spans="1:5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row>
    <row r="508" spans="1:5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row>
    <row r="509" spans="1:5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row>
    <row r="510" spans="1:5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row>
    <row r="511" spans="1:5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row>
    <row r="512" spans="1:5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row>
    <row r="513" spans="1:5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row>
    <row r="514" spans="1:5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row>
    <row r="515" spans="1:5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row>
    <row r="516" spans="1:5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row>
    <row r="517" spans="1:5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row>
    <row r="518" spans="1:5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row>
    <row r="519" spans="1:5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row>
    <row r="520" spans="1:5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row>
    <row r="521" spans="1:5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row>
    <row r="522" spans="1:5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row>
    <row r="523" spans="1:5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row>
    <row r="524" spans="1:5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row>
    <row r="525" spans="1:5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row>
    <row r="526" spans="1:5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row>
    <row r="527" spans="1:5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row>
    <row r="528" spans="1:5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row>
    <row r="529" spans="1:5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row>
    <row r="530" spans="1:5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row>
    <row r="531" spans="1:5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row>
    <row r="532" spans="1:5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row>
    <row r="533" spans="1:5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row>
    <row r="534" spans="1:5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row>
    <row r="535" spans="1:5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row>
    <row r="536" spans="1:5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row>
    <row r="537" spans="1:5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row>
    <row r="538" spans="1:5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row>
    <row r="539" spans="1:5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row>
    <row r="540" spans="1:5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row>
    <row r="541" spans="1:5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row>
    <row r="542" spans="1:5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row>
    <row r="543" spans="1:5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row>
    <row r="544" spans="1:5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row>
    <row r="545" spans="1:5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row>
    <row r="546" spans="1:5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row>
    <row r="547" spans="1:5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row>
    <row r="548" spans="1:5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row>
    <row r="549" spans="1:5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row>
    <row r="550" spans="1:5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row>
    <row r="551" spans="1:5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row>
    <row r="552" spans="1:5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row>
    <row r="553" spans="1:5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row>
    <row r="554" spans="1:5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row>
    <row r="555" spans="1:5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row>
    <row r="556" spans="1:5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row>
    <row r="557" spans="1:5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row>
    <row r="558" spans="1:5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row>
    <row r="559" spans="1:5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row>
    <row r="560" spans="1:5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row>
    <row r="561" spans="1:5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row>
    <row r="562" spans="1:5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row>
    <row r="563" spans="1:5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row>
    <row r="564" spans="1:5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row>
    <row r="565" spans="1:5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row>
    <row r="566" spans="1:5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row>
    <row r="567" spans="1:5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row>
    <row r="568" spans="1:5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row>
    <row r="569" spans="1:5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row>
    <row r="570" spans="1:5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row>
    <row r="571" spans="1:5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row>
    <row r="572" spans="1:5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row>
    <row r="573" spans="1:5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row>
    <row r="574" spans="1:5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row>
    <row r="575" spans="1:5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row>
    <row r="576" spans="1:5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row>
    <row r="577" spans="1:5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row>
    <row r="578" spans="1:5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row>
    <row r="579" spans="1:5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row>
    <row r="580" spans="1:5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row>
    <row r="581" spans="1:5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row>
    <row r="582" spans="1:5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row>
    <row r="583" spans="1:5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row>
    <row r="584" spans="1:5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row>
    <row r="585" spans="1:5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row>
    <row r="586" spans="1:5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row>
    <row r="587" spans="1:5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row>
    <row r="588" spans="1:5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row>
    <row r="589" spans="1:5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row>
    <row r="590" spans="1:5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row>
    <row r="591" spans="1:5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row>
    <row r="592" spans="1:5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row>
    <row r="593" spans="1:5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row>
    <row r="594" spans="1:5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row>
    <row r="595" spans="1:5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row>
    <row r="596" spans="1:5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row>
    <row r="597" spans="1:5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row>
    <row r="598" spans="1:5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row>
    <row r="599" spans="1:5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row>
    <row r="600" spans="1:5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row>
    <row r="601" spans="1:5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row>
    <row r="602" spans="1:5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row>
    <row r="603" spans="1:5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row>
    <row r="604" spans="1:5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row>
    <row r="605" spans="1:5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row>
    <row r="606" spans="1:5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row>
    <row r="607" spans="1:5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row>
    <row r="608" spans="1:5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row>
    <row r="609" spans="1:5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row>
    <row r="610" spans="1:5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row>
    <row r="611" spans="1:5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row>
    <row r="612" spans="1:5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row>
    <row r="613" spans="1:5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row>
    <row r="614" spans="1:5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row>
    <row r="615" spans="1:5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row>
    <row r="616" spans="1:5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row>
    <row r="617" spans="1:5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row>
    <row r="618" spans="1:5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row>
    <row r="619" spans="1:5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row>
    <row r="620" spans="1:5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row>
    <row r="621" spans="1:5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row>
    <row r="622" spans="1:5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row>
    <row r="623" spans="1:5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row>
    <row r="624" spans="1:5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row>
    <row r="625" spans="1:5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row>
    <row r="626" spans="1:5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row>
    <row r="627" spans="1:5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row>
    <row r="628" spans="1:5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row>
    <row r="629" spans="1:5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row>
    <row r="630" spans="1:5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row>
    <row r="631" spans="1:5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row>
    <row r="632" spans="1:5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row>
    <row r="633" spans="1:5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row>
    <row r="634" spans="1:5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row>
    <row r="635" spans="1:5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row>
    <row r="636" spans="1:5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row>
    <row r="637" spans="1:5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row>
    <row r="638" spans="1:5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row>
    <row r="639" spans="1:5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row>
    <row r="640" spans="1:5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row>
    <row r="641" spans="1:5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row>
    <row r="642" spans="1:5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row>
    <row r="643" spans="1:5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row>
    <row r="644" spans="1:5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row>
    <row r="645" spans="1:5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row>
    <row r="646" spans="1:5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row>
    <row r="647" spans="1:5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row>
    <row r="648" spans="1:5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row>
    <row r="649" spans="1:5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row>
    <row r="650" spans="1:5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row>
    <row r="651" spans="1:5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row>
    <row r="652" spans="1:5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row>
    <row r="653" spans="1:5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row>
    <row r="654" spans="1:5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row>
    <row r="655" spans="1:5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row>
    <row r="656" spans="1:5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row>
    <row r="657" spans="1:5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row>
    <row r="658" spans="1:5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row>
    <row r="659" spans="1:5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row>
    <row r="660" spans="1:5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row>
    <row r="661" spans="1:5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row>
    <row r="662" spans="1:5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row>
    <row r="663" spans="1:5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row>
    <row r="664" spans="1:5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row>
    <row r="665" spans="1:5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row>
    <row r="666" spans="1:5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row>
    <row r="667" spans="1:5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row>
    <row r="668" spans="1:5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row>
    <row r="669" spans="1:5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row>
    <row r="670" spans="1:5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row>
    <row r="671" spans="1:5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row>
    <row r="672" spans="1:5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row>
    <row r="673" spans="1:5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row>
    <row r="674" spans="1:5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row>
    <row r="675" spans="1:5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row>
    <row r="676" spans="1:5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row>
    <row r="677" spans="1:5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row>
    <row r="678" spans="1:5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row>
    <row r="679" spans="1:5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row>
    <row r="680" spans="1:5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row>
    <row r="681" spans="1:5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row>
    <row r="682" spans="1:5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row>
    <row r="683" spans="1:5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row>
    <row r="684" spans="1:5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row>
    <row r="685" spans="1:5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row>
    <row r="686" spans="1:5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row>
    <row r="687" spans="1:5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row>
    <row r="688" spans="1:5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row>
    <row r="689" spans="1:5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row>
    <row r="690" spans="1:5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row>
    <row r="691" spans="1:5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row>
    <row r="692" spans="1:5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row>
    <row r="693" spans="1:5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row>
    <row r="694" spans="1:5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row>
    <row r="695" spans="1:5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row>
    <row r="696" spans="1:5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row>
    <row r="697" spans="1:5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row>
    <row r="698" spans="1:5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row>
    <row r="699" spans="1:5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row>
    <row r="700" spans="1:5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row>
    <row r="701" spans="1:5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row>
    <row r="702" spans="1:5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row>
    <row r="703" spans="1:5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row>
    <row r="704" spans="1:5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row>
    <row r="705" spans="1:5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row>
    <row r="706" spans="1:5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row>
    <row r="707" spans="1:5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row>
    <row r="708" spans="1:5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row>
    <row r="709" spans="1:5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row>
    <row r="710" spans="1:5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row>
    <row r="711" spans="1:5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row>
    <row r="712" spans="1:5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row>
    <row r="713" spans="1:5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row>
    <row r="714" spans="1:5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row>
    <row r="715" spans="1:5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row>
    <row r="716" spans="1:5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row>
    <row r="717" spans="1:5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row>
    <row r="718" spans="1:5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row>
    <row r="719" spans="1:5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row>
    <row r="720" spans="1:5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row>
    <row r="721" spans="1:5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row>
    <row r="722" spans="1:5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row>
    <row r="723" spans="1:5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row>
    <row r="724" spans="1:5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row>
    <row r="725" spans="1:5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row>
    <row r="726" spans="1:5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row>
    <row r="727" spans="1:5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row>
    <row r="728" spans="1:5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row>
    <row r="729" spans="1:5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row>
    <row r="730" spans="1:5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row>
    <row r="731" spans="1:5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row>
    <row r="732" spans="1:5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row>
    <row r="733" spans="1:5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row>
    <row r="734" spans="1:5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row>
    <row r="735" spans="1:5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row>
    <row r="736" spans="1:5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row>
    <row r="737" spans="1:5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row>
    <row r="738" spans="1:5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row>
    <row r="739" spans="1:5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row>
    <row r="740" spans="1:5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row>
    <row r="741" spans="1:5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row>
    <row r="742" spans="1:5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row>
    <row r="743" spans="1:5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row>
    <row r="744" spans="1:5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row>
    <row r="745" spans="1:5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row>
    <row r="746" spans="1:5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row>
    <row r="747" spans="1:5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row>
    <row r="748" spans="1:5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row>
    <row r="749" spans="1:5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row>
    <row r="750" spans="1:5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row>
    <row r="751" spans="1:5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row>
    <row r="752" spans="1:5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row>
    <row r="753" spans="1:5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row>
    <row r="754" spans="1:5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row>
    <row r="755" spans="1:5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row>
    <row r="756" spans="1:5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row>
    <row r="757" spans="1:5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row>
    <row r="758" spans="1:5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row>
    <row r="759" spans="1:5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row>
    <row r="760" spans="1:5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row>
    <row r="761" spans="1:5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row>
    <row r="762" spans="1:5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row>
    <row r="763" spans="1:5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row>
    <row r="764" spans="1:5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row>
    <row r="765" spans="1:5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row>
    <row r="766" spans="1:5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row>
    <row r="767" spans="1:5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row>
    <row r="768" spans="1:5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row>
    <row r="769" spans="1:5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row>
    <row r="770" spans="1:5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row>
    <row r="771" spans="1:5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row>
    <row r="772" spans="1:5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row>
    <row r="773" spans="1:5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row>
    <row r="774" spans="1:5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row>
    <row r="775" spans="1:5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row>
    <row r="776" spans="1:5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row>
    <row r="777" spans="1:5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row>
    <row r="778" spans="1:5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row>
    <row r="779" spans="1:5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row>
    <row r="780" spans="1:5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row>
    <row r="781" spans="1:5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row>
    <row r="782" spans="1:5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row>
    <row r="783" spans="1:5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row>
    <row r="784" spans="1:5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row>
    <row r="785" spans="1:5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row>
    <row r="786" spans="1:5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row>
    <row r="787" spans="1:5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row>
    <row r="788" spans="1:5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row>
    <row r="789" spans="1:5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row>
    <row r="790" spans="1:5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row>
    <row r="791" spans="1:5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row>
    <row r="792" spans="1:5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row>
    <row r="793" spans="1:5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row>
    <row r="794" spans="1:5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row>
    <row r="795" spans="1:5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row>
    <row r="796" spans="1:5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row>
    <row r="797" spans="1:5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row>
    <row r="798" spans="1:5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row>
    <row r="799" spans="1:5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row>
    <row r="800" spans="1:5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row>
    <row r="801" spans="1:5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row>
    <row r="802" spans="1:5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row>
    <row r="803" spans="1:5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row>
    <row r="804" spans="1:5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row>
    <row r="805" spans="1:5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row>
    <row r="806" spans="1:5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row>
    <row r="807" spans="1:5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row>
    <row r="808" spans="1:5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row>
    <row r="809" spans="1:5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row>
    <row r="810" spans="1:5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row>
    <row r="811" spans="1:5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row>
    <row r="812" spans="1:5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row>
    <row r="813" spans="1:5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row>
    <row r="814" spans="1:5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row>
    <row r="815" spans="1:5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row>
    <row r="816" spans="1:5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row>
    <row r="817" spans="1:5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row>
    <row r="818" spans="1:5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row>
    <row r="819" spans="1:5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row>
    <row r="820" spans="1:5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row>
    <row r="821" spans="1:5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row>
    <row r="822" spans="1:5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row>
    <row r="823" spans="1:5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row>
    <row r="824" spans="1:5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row>
    <row r="825" spans="1:5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row>
    <row r="826" spans="1:5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row>
    <row r="827" spans="1:5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row>
    <row r="828" spans="1:5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row>
    <row r="829" spans="1:5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row>
    <row r="830" spans="1:5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row>
    <row r="831" spans="1:5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row>
    <row r="832" spans="1:5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row>
    <row r="833" spans="1:5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row>
    <row r="834" spans="1:5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row>
    <row r="835" spans="1:5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row>
    <row r="836" spans="1:5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row>
    <row r="837" spans="1:5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row>
    <row r="838" spans="1:5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row>
    <row r="839" spans="1:5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row>
    <row r="840" spans="1:5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row>
    <row r="841" spans="1:5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row>
    <row r="842" spans="1:5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row>
    <row r="843" spans="1:5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row>
    <row r="844" spans="1:5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row>
    <row r="845" spans="1:5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row>
    <row r="846" spans="1:5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row>
    <row r="847" spans="1:5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row>
    <row r="848" spans="1:5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row>
    <row r="849" spans="1:5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row>
    <row r="850" spans="1:5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row>
    <row r="851" spans="1:5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row>
    <row r="852" spans="1:5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row>
    <row r="853" spans="1:5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row>
    <row r="854" spans="1:5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row>
    <row r="855" spans="1:5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row>
    <row r="856" spans="1:5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row>
    <row r="857" spans="1:5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row>
    <row r="858" spans="1:5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row>
    <row r="859" spans="1:5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row>
    <row r="860" spans="1:5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row>
    <row r="861" spans="1:5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row>
    <row r="862" spans="1:5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row>
    <row r="863" spans="1:5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row>
    <row r="864" spans="1:5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row>
    <row r="865" spans="1:5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row>
    <row r="866" spans="1:5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row>
    <row r="867" spans="1:5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row>
    <row r="868" spans="1:5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row>
    <row r="869" spans="1:5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row>
    <row r="870" spans="1:5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row>
    <row r="871" spans="1:5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row>
    <row r="872" spans="1:5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row>
    <row r="873" spans="1:5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row>
    <row r="874" spans="1:5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row>
    <row r="875" spans="1:5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row>
    <row r="876" spans="1:5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row>
    <row r="877" spans="1:5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row>
    <row r="878" spans="1:5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row>
    <row r="879" spans="1:5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row>
    <row r="880" spans="1:5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row>
    <row r="881" spans="1:5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row>
    <row r="882" spans="1:5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row>
    <row r="883" spans="1:5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row>
    <row r="884" spans="1:5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row>
    <row r="885" spans="1:5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row>
    <row r="886" spans="1:5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row>
    <row r="887" spans="1:5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row>
    <row r="888" spans="1:5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row>
    <row r="889" spans="1:5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row>
    <row r="890" spans="1:5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row>
    <row r="891" spans="1:5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row>
    <row r="892" spans="1:5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row>
    <row r="893" spans="1:5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row>
    <row r="894" spans="1:5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row>
    <row r="895" spans="1:5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row>
    <row r="896" spans="1:5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row>
    <row r="897" spans="1:5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row>
    <row r="898" spans="1:5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row>
    <row r="899" spans="1:5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row>
    <row r="900" spans="1:5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row>
    <row r="901" spans="1:5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row>
    <row r="902" spans="1:5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row>
    <row r="903" spans="1:5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row>
    <row r="904" spans="1:5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row>
    <row r="905" spans="1:5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row>
    <row r="906" spans="1:5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row>
    <row r="907" spans="1:5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row>
    <row r="908" spans="1:5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row>
    <row r="909" spans="1:5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row>
    <row r="910" spans="1:5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row>
    <row r="911" spans="1:5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row>
    <row r="912" spans="1:5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row>
    <row r="913" spans="1:5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row>
    <row r="914" spans="1:5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row>
    <row r="915" spans="1:5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row>
    <row r="916" spans="1:5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row>
    <row r="917" spans="1:5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row>
    <row r="918" spans="1:5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row>
    <row r="919" spans="1:5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row>
    <row r="920" spans="1:5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row>
    <row r="921" spans="1:5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row>
    <row r="922" spans="1:5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row>
    <row r="923" spans="1:5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row>
    <row r="924" spans="1:5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row>
    <row r="925" spans="1:5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row>
    <row r="926" spans="1:5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row>
    <row r="927" spans="1:5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row>
    <row r="928" spans="1:5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row>
    <row r="929" spans="1:5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row>
    <row r="930" spans="1:5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row>
    <row r="931" spans="1:5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row>
    <row r="932" spans="1:5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row>
    <row r="933" spans="1:5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row>
    <row r="934" spans="1:5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row>
    <row r="935" spans="1:5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row>
    <row r="936" spans="1:5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row>
    <row r="937" spans="1:5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row>
    <row r="938" spans="1:5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row>
    <row r="939" spans="1:5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row>
    <row r="940" spans="1:5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row>
    <row r="941" spans="1:5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row>
    <row r="942" spans="1:5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row>
    <row r="943" spans="1:5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row>
    <row r="944" spans="1:5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row>
    <row r="945" spans="1:5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row>
    <row r="946" spans="1:5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row>
    <row r="947" spans="1:5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row>
    <row r="948" spans="1:5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row>
    <row r="949" spans="1:5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row>
    <row r="950" spans="1:5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row>
    <row r="951" spans="1:5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row>
    <row r="952" spans="1:5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row>
    <row r="953" spans="1:5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row>
    <row r="954" spans="1:5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row>
    <row r="955" spans="1:5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row>
    <row r="956" spans="1:5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row>
    <row r="957" spans="1:5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row>
    <row r="958" spans="1:5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row>
    <row r="959" spans="1:5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row>
    <row r="960" spans="1:5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row>
    <row r="961" spans="1:5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row>
    <row r="962" spans="1:5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row>
    <row r="963" spans="1:5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row>
    <row r="964" spans="1:5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row>
    <row r="965" spans="1:5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row>
    <row r="966" spans="1:5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row>
    <row r="967" spans="1:5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row>
    <row r="968" spans="1:5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row>
    <row r="969" spans="1:5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row>
    <row r="970" spans="1:5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row>
    <row r="971" spans="1:5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row>
    <row r="972" spans="1:5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row>
    <row r="973" spans="1:5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row>
    <row r="974" spans="1:5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row>
    <row r="975" spans="1:5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row>
    <row r="976" spans="1:5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row>
    <row r="977" spans="1:5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row>
    <row r="978" spans="1:5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row>
    <row r="979" spans="1:5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row>
    <row r="980" spans="1:5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row>
    <row r="981" spans="1:5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row>
    <row r="982" spans="1:5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row>
    <row r="983" spans="1:5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row>
    <row r="984" spans="1:5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row>
    <row r="985" spans="1:5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row>
    <row r="986" spans="1:5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row>
    <row r="987" spans="1:5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row>
    <row r="988" spans="1:5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row>
    <row r="989" spans="1:5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row>
    <row r="990" spans="1:5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row>
    <row r="991" spans="1:5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row>
  </sheetData>
  <mergeCells count="1">
    <mergeCell ref="A1:Q6"/>
  </mergeCells>
  <pageMargins left="0.75" right="0.75" top="1" bottom="1" header="0.5" footer="0.5"/>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DEC96-EFAE-40CA-9C23-700BE1CA064F}">
  <sheetPr>
    <tabColor rgb="FF105BD8"/>
  </sheetPr>
  <dimension ref="A1:Y151"/>
  <sheetViews>
    <sheetView showGridLines="0" zoomScale="70" zoomScaleNormal="70" workbookViewId="0">
      <selection activeCell="C14" sqref="C14"/>
    </sheetView>
  </sheetViews>
  <sheetFormatPr defaultColWidth="8.88671875" defaultRowHeight="13.8" x14ac:dyDescent="0.25"/>
  <cols>
    <col min="1" max="1" width="54.33203125" style="201" bestFit="1" customWidth="1"/>
    <col min="2" max="2" width="27.88671875" style="201" customWidth="1"/>
    <col min="3" max="3" width="30.77734375" style="201" bestFit="1" customWidth="1"/>
    <col min="4" max="4" width="24.5546875" style="201" bestFit="1" customWidth="1"/>
    <col min="5" max="5" width="28.88671875" style="201" bestFit="1" customWidth="1"/>
    <col min="6" max="6" width="11" style="201" customWidth="1"/>
    <col min="7" max="7" width="61.109375" style="201" bestFit="1" customWidth="1"/>
    <col min="8" max="8" width="15.6640625" style="201" bestFit="1" customWidth="1"/>
    <col min="9" max="9" width="30.77734375" style="201" bestFit="1" customWidth="1"/>
    <col min="10" max="10" width="17.44140625" style="201" bestFit="1" customWidth="1"/>
    <col min="11" max="11" width="61.109375" style="201" bestFit="1" customWidth="1"/>
    <col min="12" max="12" width="11.21875" style="201" customWidth="1"/>
    <col min="13" max="13" width="18.5546875" style="201" customWidth="1"/>
    <col min="14" max="14" width="23.33203125" style="201" customWidth="1"/>
    <col min="15" max="15" width="23.88671875" style="201" bestFit="1" customWidth="1"/>
    <col min="16" max="16" width="27.33203125" style="201" bestFit="1" customWidth="1"/>
    <col min="17" max="17" width="18.109375" style="201" bestFit="1" customWidth="1"/>
    <col min="18" max="18" width="17.44140625" style="201" bestFit="1" customWidth="1"/>
    <col min="19" max="19" width="27.33203125" style="330" bestFit="1" customWidth="1"/>
    <col min="20" max="20" width="12.33203125" style="201" bestFit="1" customWidth="1"/>
    <col min="21" max="21" width="11.44140625" style="201" bestFit="1" customWidth="1"/>
    <col min="22" max="22" width="10.44140625" style="201" bestFit="1" customWidth="1"/>
    <col min="23" max="23" width="11.21875" style="201" bestFit="1" customWidth="1"/>
    <col min="24" max="24" width="11.44140625" style="201" bestFit="1" customWidth="1"/>
    <col min="25" max="25" width="11.77734375" style="201" bestFit="1" customWidth="1"/>
    <col min="26" max="16384" width="8.88671875" style="201"/>
  </cols>
  <sheetData>
    <row r="1" spans="1:19" s="325" customFormat="1" x14ac:dyDescent="0.25">
      <c r="A1" s="322"/>
      <c r="B1" s="323"/>
      <c r="C1" s="322"/>
      <c r="D1" s="322"/>
      <c r="E1" s="322"/>
      <c r="F1" s="322"/>
      <c r="G1" s="324"/>
      <c r="H1" s="322"/>
      <c r="I1" s="322"/>
      <c r="J1" s="322"/>
      <c r="K1" s="322"/>
      <c r="M1" s="322"/>
      <c r="N1" s="322"/>
      <c r="O1" s="322"/>
      <c r="P1" s="322"/>
      <c r="Q1" s="322"/>
      <c r="R1" s="322"/>
      <c r="S1" s="326"/>
    </row>
    <row r="2" spans="1:19" s="129" customFormat="1" x14ac:dyDescent="0.25">
      <c r="A2" s="461" t="s">
        <v>479</v>
      </c>
      <c r="B2" s="461"/>
      <c r="C2" s="461"/>
      <c r="D2" s="461"/>
      <c r="E2" s="461"/>
      <c r="F2" s="461"/>
      <c r="G2" s="461"/>
      <c r="H2" s="461"/>
      <c r="I2" s="461"/>
      <c r="J2" s="461"/>
      <c r="K2" s="461"/>
      <c r="L2" s="461"/>
      <c r="M2" s="461"/>
      <c r="N2" s="461"/>
      <c r="O2" s="461"/>
      <c r="S2" s="301"/>
    </row>
    <row r="3" spans="1:19" s="129" customFormat="1" x14ac:dyDescent="0.25">
      <c r="A3" s="394" t="s">
        <v>534</v>
      </c>
      <c r="B3" s="394"/>
      <c r="C3" s="394"/>
      <c r="D3" s="394"/>
      <c r="E3" s="394"/>
      <c r="F3" s="394"/>
      <c r="G3" s="394"/>
      <c r="H3" s="394"/>
      <c r="I3" s="394"/>
      <c r="J3" s="394"/>
      <c r="K3" s="394"/>
      <c r="L3" s="394"/>
      <c r="M3" s="394"/>
      <c r="N3" s="394"/>
      <c r="O3" s="394"/>
      <c r="S3" s="301"/>
    </row>
    <row r="5" spans="1:19" ht="14.4" thickBot="1" x14ac:dyDescent="0.3">
      <c r="A5" s="467" t="s">
        <v>473</v>
      </c>
      <c r="B5" s="467"/>
      <c r="C5" s="60"/>
      <c r="D5" s="467" t="s">
        <v>538</v>
      </c>
      <c r="E5" s="467"/>
      <c r="F5" s="60"/>
      <c r="G5" s="466" t="s">
        <v>488</v>
      </c>
      <c r="H5" s="466"/>
    </row>
    <row r="6" spans="1:19" ht="14.4" x14ac:dyDescent="0.3">
      <c r="A6" s="309" t="s">
        <v>455</v>
      </c>
      <c r="B6" s="310" t="s">
        <v>331</v>
      </c>
      <c r="C6" s="145"/>
      <c r="D6" s="309" t="s">
        <v>455</v>
      </c>
      <c r="E6" s="310" t="s">
        <v>331</v>
      </c>
      <c r="F6" s="2"/>
      <c r="G6" s="450" t="s">
        <v>82</v>
      </c>
      <c r="H6" s="464" t="s">
        <v>486</v>
      </c>
    </row>
    <row r="7" spans="1:19" ht="14.4" x14ac:dyDescent="0.3">
      <c r="A7" s="313" t="s">
        <v>329</v>
      </c>
      <c r="B7" s="299" t="s">
        <v>556</v>
      </c>
      <c r="C7" s="145"/>
      <c r="D7" s="313" t="s">
        <v>329</v>
      </c>
      <c r="E7" s="296">
        <v>50</v>
      </c>
      <c r="F7" s="2"/>
      <c r="G7" s="451"/>
      <c r="H7" s="465"/>
    </row>
    <row r="8" spans="1:19" ht="15" thickBot="1" x14ac:dyDescent="0.35">
      <c r="A8" s="302" t="s">
        <v>330</v>
      </c>
      <c r="B8" s="300" t="s">
        <v>565</v>
      </c>
      <c r="C8" s="145"/>
      <c r="D8" s="302" t="s">
        <v>330</v>
      </c>
      <c r="E8" s="297">
        <v>80</v>
      </c>
      <c r="F8" s="2"/>
      <c r="G8" s="358" t="s">
        <v>43</v>
      </c>
      <c r="H8" s="345" t="s">
        <v>485</v>
      </c>
    </row>
    <row r="9" spans="1:19" ht="14.4" x14ac:dyDescent="0.3">
      <c r="A9" s="145"/>
      <c r="B9" s="145"/>
      <c r="C9" s="63"/>
      <c r="D9" s="145"/>
      <c r="E9" s="2"/>
      <c r="F9" s="2"/>
      <c r="G9" s="358" t="s">
        <v>41</v>
      </c>
      <c r="H9" s="345" t="s">
        <v>485</v>
      </c>
    </row>
    <row r="10" spans="1:19" ht="14.4" thickBot="1" x14ac:dyDescent="0.3">
      <c r="A10" s="467" t="s">
        <v>475</v>
      </c>
      <c r="B10" s="467"/>
      <c r="C10" s="63"/>
      <c r="D10" s="467" t="s">
        <v>569</v>
      </c>
      <c r="E10" s="467"/>
      <c r="F10" s="2"/>
      <c r="G10" s="358" t="s">
        <v>40</v>
      </c>
      <c r="H10" s="345" t="s">
        <v>485</v>
      </c>
    </row>
    <row r="11" spans="1:19" x14ac:dyDescent="0.25">
      <c r="A11" s="309" t="s">
        <v>455</v>
      </c>
      <c r="B11" s="310" t="s">
        <v>331</v>
      </c>
      <c r="C11" s="2"/>
      <c r="D11" s="412" t="s">
        <v>455</v>
      </c>
      <c r="E11" s="420" t="s">
        <v>570</v>
      </c>
      <c r="F11" s="2"/>
      <c r="G11" s="358" t="s">
        <v>80</v>
      </c>
      <c r="H11" s="345" t="s">
        <v>485</v>
      </c>
    </row>
    <row r="12" spans="1:19" x14ac:dyDescent="0.25">
      <c r="A12" s="313" t="s">
        <v>329</v>
      </c>
      <c r="B12" s="294">
        <f>IF(B7="User-defined price",E7,IF(B7="19 $/Min (NASA MOCS)",19,IF(B7="DTE S1 (2 Providers)",Scenarios_Future!L7, IF(B7="DTE S2 (3 Providers)",Scenarios_Future!L8,IF(B7="DTE S3 (4 Providers)",Scenarios_Future!L9, IF(B7="DTE S4 (5 Providers)",Scenarios_Future!L10, IF(B7="DTE S5 (6 Providers)",Scenarios_Future!L11, IF(B7="DTE S6 (7 Providers)",Scenarios_Future!L12))))))))</f>
        <v>57.2</v>
      </c>
      <c r="C12" s="2"/>
      <c r="D12" s="416" t="s">
        <v>329</v>
      </c>
      <c r="E12" s="530">
        <v>10</v>
      </c>
      <c r="F12" s="2"/>
      <c r="G12" s="358" t="s">
        <v>44</v>
      </c>
      <c r="H12" s="345" t="s">
        <v>485</v>
      </c>
    </row>
    <row r="13" spans="1:19" ht="14.4" thickBot="1" x14ac:dyDescent="0.3">
      <c r="A13" s="302" t="s">
        <v>330</v>
      </c>
      <c r="B13" s="295">
        <f>IF(B8="User-defined price",E8,IF(B8="91 $/Min (NASA MOCS)",91,IF(B8="SR S1 (2 LEO)",Scenarios_Future!C104, IF(B8="SR S2 (1 LEO, 1 GEO)",Scenarios_Future!C105,IF(B8="SR S3 (2 LEO, 2 GEO)",Scenarios_Future!C106,IF(B8="SR S4 (3 LEO 3 GEO)",Scenarios_Future!C107,IF(B8="SR S5 (4 LEO 2 GEO)",Scenarios_Future!C108,IF(B8="SR S6 (2 LEO 4 GEO)",Scenarios_Future!C109))))))))</f>
        <v>48</v>
      </c>
      <c r="C13" s="2"/>
      <c r="D13" s="302" t="s">
        <v>330</v>
      </c>
      <c r="E13" s="531">
        <v>10</v>
      </c>
      <c r="F13" s="60"/>
      <c r="G13" s="358" t="s">
        <v>81</v>
      </c>
      <c r="H13" s="345" t="s">
        <v>485</v>
      </c>
    </row>
    <row r="14" spans="1:19" ht="14.4" thickBot="1" x14ac:dyDescent="0.3">
      <c r="C14" s="2"/>
      <c r="G14" s="357" t="s">
        <v>45</v>
      </c>
      <c r="H14" s="346" t="s">
        <v>485</v>
      </c>
    </row>
    <row r="15" spans="1:19" x14ac:dyDescent="0.25">
      <c r="C15" s="2"/>
    </row>
    <row r="16" spans="1:19" x14ac:dyDescent="0.25">
      <c r="A16" s="186"/>
      <c r="C16" s="2"/>
    </row>
    <row r="17" spans="1:11" x14ac:dyDescent="0.25">
      <c r="A17" s="186"/>
      <c r="C17" s="2"/>
    </row>
    <row r="19" spans="1:11" ht="17.399999999999999" x14ac:dyDescent="0.3">
      <c r="A19" s="257" t="s">
        <v>460</v>
      </c>
      <c r="B19" s="2"/>
      <c r="C19" s="2"/>
      <c r="D19" s="2"/>
      <c r="E19" s="2"/>
      <c r="F19" s="60"/>
      <c r="G19" s="2"/>
      <c r="H19" s="2"/>
      <c r="I19" s="2"/>
      <c r="J19" s="2"/>
      <c r="K19" s="2"/>
    </row>
    <row r="20" spans="1:11" ht="14.4" thickBot="1" x14ac:dyDescent="0.3">
      <c r="A20" s="2"/>
      <c r="B20" s="2"/>
      <c r="C20" s="2"/>
      <c r="D20" s="2"/>
      <c r="E20" s="2"/>
      <c r="F20" s="60"/>
      <c r="G20" s="2"/>
      <c r="H20" s="2"/>
      <c r="I20" s="2"/>
      <c r="J20" s="2"/>
      <c r="K20" s="2"/>
    </row>
    <row r="21" spans="1:11" ht="14.4" customHeight="1" x14ac:dyDescent="0.3">
      <c r="A21" s="452" t="s">
        <v>308</v>
      </c>
      <c r="B21" s="453"/>
      <c r="C21" s="454"/>
      <c r="D21"/>
      <c r="E21" s="145"/>
      <c r="F21" s="63"/>
      <c r="J21"/>
      <c r="K21"/>
    </row>
    <row r="22" spans="1:11" ht="14.4" x14ac:dyDescent="0.3">
      <c r="A22" s="355" t="s">
        <v>321</v>
      </c>
      <c r="B22" s="356" t="s">
        <v>322</v>
      </c>
      <c r="C22" s="171" t="s">
        <v>484</v>
      </c>
      <c r="D22"/>
      <c r="E22" s="145"/>
      <c r="F22" s="63"/>
      <c r="J22"/>
      <c r="K22"/>
    </row>
    <row r="23" spans="1:11" ht="14.4" x14ac:dyDescent="0.3">
      <c r="A23" s="462" t="s">
        <v>319</v>
      </c>
      <c r="B23" s="353" t="s">
        <v>323</v>
      </c>
      <c r="C23" s="181">
        <f>D61</f>
        <v>634476.7416666667</v>
      </c>
      <c r="D23"/>
      <c r="E23" s="145"/>
      <c r="F23" s="63"/>
      <c r="J23"/>
      <c r="K23"/>
    </row>
    <row r="24" spans="1:11" ht="14.4" x14ac:dyDescent="0.3">
      <c r="A24" s="462"/>
      <c r="B24" s="353" t="s">
        <v>324</v>
      </c>
      <c r="C24" s="181">
        <f>D73</f>
        <v>3581065</v>
      </c>
      <c r="D24"/>
      <c r="E24" s="145"/>
      <c r="F24" s="63"/>
      <c r="J24"/>
      <c r="K24"/>
    </row>
    <row r="25" spans="1:11" ht="14.4" x14ac:dyDescent="0.3">
      <c r="A25" s="462"/>
      <c r="B25" s="353" t="s">
        <v>325</v>
      </c>
      <c r="C25" s="181">
        <f>D80</f>
        <v>1672</v>
      </c>
      <c r="D25"/>
      <c r="E25" s="145"/>
      <c r="F25" s="63"/>
      <c r="J25"/>
      <c r="K25"/>
    </row>
    <row r="26" spans="1:11" ht="14.4" x14ac:dyDescent="0.3">
      <c r="A26" s="462" t="s">
        <v>320</v>
      </c>
      <c r="B26" s="353" t="s">
        <v>326</v>
      </c>
      <c r="C26" s="181">
        <f>D92</f>
        <v>634476.7416666667</v>
      </c>
      <c r="D26"/>
      <c r="E26" s="145"/>
      <c r="F26" s="63"/>
      <c r="J26"/>
      <c r="K26"/>
    </row>
    <row r="27" spans="1:11" ht="15" thickBot="1" x14ac:dyDescent="0.35">
      <c r="A27" s="463"/>
      <c r="B27" s="182" t="s">
        <v>327</v>
      </c>
      <c r="C27" s="395">
        <f>D104</f>
        <v>3581065</v>
      </c>
      <c r="D27"/>
      <c r="E27" s="145"/>
      <c r="F27" s="63"/>
      <c r="J27"/>
      <c r="K27"/>
    </row>
    <row r="28" spans="1:11" ht="15" thickBot="1" x14ac:dyDescent="0.35">
      <c r="A28" s="63"/>
      <c r="B28" s="396" t="s">
        <v>84</v>
      </c>
      <c r="C28" s="185">
        <f>SUM(C23:C27)</f>
        <v>8432755.4833333343</v>
      </c>
      <c r="D28"/>
      <c r="E28" s="145"/>
      <c r="F28" s="63"/>
      <c r="J28"/>
      <c r="K28"/>
    </row>
    <row r="31" spans="1:11" ht="14.4" thickBot="1" x14ac:dyDescent="0.3"/>
    <row r="32" spans="1:11" x14ac:dyDescent="0.25">
      <c r="A32" s="455" t="s">
        <v>309</v>
      </c>
      <c r="B32" s="456"/>
      <c r="C32" s="457"/>
    </row>
    <row r="33" spans="1:3" x14ac:dyDescent="0.25">
      <c r="A33" s="355" t="s">
        <v>321</v>
      </c>
      <c r="B33" s="356" t="s">
        <v>322</v>
      </c>
      <c r="C33" s="171" t="s">
        <v>484</v>
      </c>
    </row>
    <row r="34" spans="1:3" x14ac:dyDescent="0.25">
      <c r="A34" s="462" t="s">
        <v>319</v>
      </c>
      <c r="B34" s="353" t="s">
        <v>323</v>
      </c>
      <c r="C34" s="268">
        <f>E61</f>
        <v>36292069.623333335</v>
      </c>
    </row>
    <row r="35" spans="1:3" x14ac:dyDescent="0.25">
      <c r="A35" s="462"/>
      <c r="B35" s="353" t="s">
        <v>324</v>
      </c>
      <c r="C35" s="268">
        <f>E73</f>
        <v>171891120</v>
      </c>
    </row>
    <row r="36" spans="1:3" x14ac:dyDescent="0.25">
      <c r="A36" s="462"/>
      <c r="B36" s="353" t="s">
        <v>325</v>
      </c>
      <c r="C36" s="268">
        <f>E80</f>
        <v>80256</v>
      </c>
    </row>
    <row r="37" spans="1:3" x14ac:dyDescent="0.25">
      <c r="A37" s="462" t="s">
        <v>320</v>
      </c>
      <c r="B37" s="353" t="s">
        <v>326</v>
      </c>
      <c r="C37" s="268">
        <f>E92</f>
        <v>36292069.623333335</v>
      </c>
    </row>
    <row r="38" spans="1:3" ht="14.4" thickBot="1" x14ac:dyDescent="0.3">
      <c r="A38" s="463"/>
      <c r="B38" s="182" t="s">
        <v>327</v>
      </c>
      <c r="C38" s="399">
        <f>E104</f>
        <v>171891120</v>
      </c>
    </row>
    <row r="39" spans="1:3" ht="15" thickBot="1" x14ac:dyDescent="0.35">
      <c r="A39"/>
      <c r="B39" s="397" t="s">
        <v>84</v>
      </c>
      <c r="C39" s="398">
        <f>SUM(C34:C38)</f>
        <v>416446635.24666667</v>
      </c>
    </row>
    <row r="50" spans="1:23" s="209" customFormat="1" x14ac:dyDescent="0.25">
      <c r="S50" s="343"/>
    </row>
    <row r="51" spans="1:23" ht="16.2" thickBot="1" x14ac:dyDescent="0.35">
      <c r="A51" s="177" t="s">
        <v>313</v>
      </c>
      <c r="N51" s="1"/>
      <c r="O51" s="1"/>
      <c r="P51" s="1"/>
      <c r="Q51" s="1"/>
      <c r="T51" s="1"/>
      <c r="U51" s="1"/>
      <c r="V51" s="1"/>
      <c r="W51" s="1"/>
    </row>
    <row r="52" spans="1:23" ht="14.4" x14ac:dyDescent="0.3">
      <c r="A52" s="450" t="str">
        <f>Current!I1</f>
        <v>Use Case</v>
      </c>
      <c r="B52" s="446" t="str">
        <f>Current!J1</f>
        <v>Count</v>
      </c>
      <c r="C52" s="446" t="s">
        <v>90</v>
      </c>
      <c r="D52" s="440" t="s">
        <v>308</v>
      </c>
      <c r="E52" s="440" t="s">
        <v>309</v>
      </c>
      <c r="F52"/>
      <c r="G52"/>
      <c r="I52"/>
      <c r="J52"/>
      <c r="L52"/>
      <c r="M52" s="1"/>
      <c r="N52" s="1"/>
      <c r="O52" s="1"/>
      <c r="P52" s="1"/>
      <c r="Q52" s="1"/>
      <c r="T52" s="1"/>
      <c r="U52" s="1"/>
      <c r="V52" s="1"/>
      <c r="W52" s="1"/>
    </row>
    <row r="53" spans="1:23" ht="14.4" x14ac:dyDescent="0.3">
      <c r="A53" s="451"/>
      <c r="B53" s="447"/>
      <c r="C53" s="447"/>
      <c r="D53" s="441"/>
      <c r="E53" s="441"/>
      <c r="F53"/>
      <c r="G53"/>
      <c r="I53"/>
      <c r="J53"/>
      <c r="L53"/>
      <c r="M53" s="1"/>
      <c r="N53" s="1"/>
      <c r="O53" s="1"/>
      <c r="P53" s="1"/>
      <c r="Q53" s="1"/>
      <c r="R53" s="1"/>
      <c r="S53" s="337"/>
      <c r="T53" s="1"/>
      <c r="U53" s="1"/>
      <c r="V53" s="1"/>
      <c r="W53" s="1"/>
    </row>
    <row r="54" spans="1:23" ht="14.4" x14ac:dyDescent="0.3">
      <c r="A54" s="311" t="str">
        <f>Current!I2</f>
        <v>Human Space Flight</v>
      </c>
      <c r="B54" s="208">
        <f>Current!J2</f>
        <v>3</v>
      </c>
      <c r="C54" s="202">
        <f t="shared" ref="C54:C60" si="0">B54/$B$61</f>
        <v>5.5555555555555552E-2</v>
      </c>
      <c r="D54" s="338">
        <f>IF(H8="Yes",INDEX(Current!L2:L9,MATCH($A54,Current!I2:I9,0))*$U$128,"-")</f>
        <v>231277.56666666668</v>
      </c>
      <c r="E54" s="338">
        <f>IFERROR(D54*$B$12,"-")</f>
        <v>13229076.813333334</v>
      </c>
      <c r="F54"/>
      <c r="G54"/>
      <c r="I54"/>
      <c r="J54"/>
      <c r="L54"/>
      <c r="M54" s="1"/>
      <c r="N54" s="1"/>
      <c r="O54" s="1"/>
      <c r="P54" s="1"/>
      <c r="Q54" s="1"/>
      <c r="S54" s="339"/>
    </row>
    <row r="55" spans="1:23" ht="14.4" x14ac:dyDescent="0.3">
      <c r="A55" s="311" t="str">
        <f>Current!I3</f>
        <v>Near Earth Robotic - LEO Science</v>
      </c>
      <c r="B55" s="208">
        <f>Current!J3</f>
        <v>34</v>
      </c>
      <c r="C55" s="202">
        <f t="shared" si="0"/>
        <v>0.62962962962962965</v>
      </c>
      <c r="D55" s="338">
        <f>IF(H9="Yes",INDEX(Current!L3:L10,MATCH($A55,Current!I3:I10,0))*$U$128,"-")</f>
        <v>329709.59166666667</v>
      </c>
      <c r="E55" s="338">
        <f t="shared" ref="E55:E60" si="1">IFERROR(D55*$B$12,"-")</f>
        <v>18859388.643333334</v>
      </c>
      <c r="F55"/>
      <c r="G55"/>
      <c r="I55"/>
      <c r="J55"/>
      <c r="L55"/>
      <c r="M55" s="1"/>
      <c r="N55" s="1"/>
      <c r="O55" s="1"/>
      <c r="S55" s="339"/>
    </row>
    <row r="56" spans="1:23" ht="14.4" x14ac:dyDescent="0.3">
      <c r="A56" s="311" t="str">
        <f>Current!I4</f>
        <v>Near Earth Robotic - GEO and Near Earth</v>
      </c>
      <c r="B56" s="208">
        <f>Current!J4</f>
        <v>17</v>
      </c>
      <c r="C56" s="202">
        <f t="shared" si="0"/>
        <v>0.31481481481481483</v>
      </c>
      <c r="D56" s="338">
        <f>IF(H10="Yes",INDEX(Current!L4:L12,MATCH($A56,Current!I4:I12,0))*$U$128,"-")</f>
        <v>73489.583333333343</v>
      </c>
      <c r="E56" s="338">
        <f t="shared" si="1"/>
        <v>4203604.166666667</v>
      </c>
      <c r="F56"/>
      <c r="G56"/>
      <c r="I56"/>
      <c r="J56"/>
      <c r="L56"/>
      <c r="M56" s="1"/>
      <c r="N56" s="1"/>
      <c r="O56" s="1"/>
      <c r="S56" s="339"/>
    </row>
    <row r="57" spans="1:23" ht="14.4" x14ac:dyDescent="0.3">
      <c r="A57" s="311" t="str">
        <f>Current!I5</f>
        <v>Deep Space Robotic</v>
      </c>
      <c r="B57" s="208">
        <f>Current!J5</f>
        <v>0</v>
      </c>
      <c r="C57" s="202">
        <f t="shared" si="0"/>
        <v>0</v>
      </c>
      <c r="D57" s="338">
        <f>IF(H11="Yes",INDEX(Current!L5:L13,MATCH($A57,Current!I5:I13,0))*$U$128,"-")</f>
        <v>0</v>
      </c>
      <c r="E57" s="338">
        <f t="shared" si="1"/>
        <v>0</v>
      </c>
      <c r="F57"/>
      <c r="G57"/>
      <c r="I57"/>
      <c r="J57"/>
      <c r="L57"/>
      <c r="M57" s="1"/>
      <c r="N57" s="1"/>
      <c r="O57" s="1"/>
      <c r="S57" s="339"/>
    </row>
    <row r="58" spans="1:23" ht="14.4" x14ac:dyDescent="0.3">
      <c r="A58" s="311" t="str">
        <f>Current!I6</f>
        <v>Near Earth Robotic - Low Latency &amp; Complex Needs</v>
      </c>
      <c r="B58" s="208">
        <f>Current!J6</f>
        <v>0</v>
      </c>
      <c r="C58" s="202">
        <f t="shared" si="0"/>
        <v>0</v>
      </c>
      <c r="D58" s="338">
        <f>IF(H12="Yes",INDEX(Current!L6:L14,MATCH($A58,Current!I6:I14,0))*$U$128,"-")</f>
        <v>0</v>
      </c>
      <c r="E58" s="338">
        <f t="shared" si="1"/>
        <v>0</v>
      </c>
      <c r="F58"/>
      <c r="G58"/>
      <c r="I58"/>
      <c r="J58"/>
      <c r="L58"/>
      <c r="M58" s="1"/>
      <c r="N58" s="1"/>
      <c r="O58" s="1"/>
      <c r="S58" s="339"/>
    </row>
    <row r="59" spans="1:23" ht="14.4" x14ac:dyDescent="0.3">
      <c r="A59" s="311" t="str">
        <f>Current!I7</f>
        <v>Mission Operations</v>
      </c>
      <c r="B59" s="208">
        <f>Current!J7</f>
        <v>0</v>
      </c>
      <c r="C59" s="202">
        <f t="shared" si="0"/>
        <v>0</v>
      </c>
      <c r="D59" s="338">
        <f>IF(H13="Yes",INDEX(Current!L7:L15,MATCH($A59,Current!I7:I15,0))*$U$128,"-")</f>
        <v>0</v>
      </c>
      <c r="E59" s="338">
        <f t="shared" si="1"/>
        <v>0</v>
      </c>
      <c r="F59"/>
      <c r="G59"/>
      <c r="I59"/>
      <c r="J59"/>
      <c r="L59"/>
      <c r="M59" s="1"/>
      <c r="N59" s="1"/>
      <c r="O59" s="1"/>
      <c r="S59" s="339"/>
    </row>
    <row r="60" spans="1:23" ht="14.4" x14ac:dyDescent="0.3">
      <c r="A60" s="311" t="str">
        <f>Current!I9</f>
        <v>Terrestrial &amp; Aerial</v>
      </c>
      <c r="B60" s="208">
        <f>Current!J9</f>
        <v>0</v>
      </c>
      <c r="C60" s="202">
        <f t="shared" si="0"/>
        <v>0</v>
      </c>
      <c r="D60" s="338">
        <f>IF(H14="Yes",INDEX(Current!L8:L15,MATCH($A60,Current!I8:I15,0))*$U$128,"-")</f>
        <v>0</v>
      </c>
      <c r="E60" s="338">
        <f t="shared" si="1"/>
        <v>0</v>
      </c>
      <c r="F60"/>
      <c r="G60"/>
      <c r="I60"/>
      <c r="J60"/>
      <c r="L60"/>
      <c r="M60" s="1"/>
      <c r="N60" s="1"/>
      <c r="O60" s="1"/>
    </row>
    <row r="61" spans="1:23" ht="14.4" customHeight="1" thickBot="1" x14ac:dyDescent="0.35">
      <c r="A61" s="314" t="s">
        <v>304</v>
      </c>
      <c r="B61" s="206">
        <f>SUM(B54:B59,B60)</f>
        <v>54</v>
      </c>
      <c r="C61" s="306">
        <f t="shared" ref="C61" si="2">SUM(C54:C60)</f>
        <v>1</v>
      </c>
      <c r="D61" s="207">
        <f>SUM(D54:D60)</f>
        <v>634476.7416666667</v>
      </c>
      <c r="E61" s="207">
        <f>SUM(E54:E60)</f>
        <v>36292069.623333335</v>
      </c>
      <c r="F61"/>
      <c r="G61"/>
      <c r="I61"/>
      <c r="J61"/>
      <c r="L61"/>
      <c r="M61" s="1"/>
      <c r="N61" s="1"/>
      <c r="O61" s="1"/>
    </row>
    <row r="63" spans="1:23" ht="14.4" customHeight="1" thickBot="1" x14ac:dyDescent="0.35">
      <c r="A63" s="177" t="s">
        <v>314</v>
      </c>
    </row>
    <row r="64" spans="1:23" ht="14.4" customHeight="1" x14ac:dyDescent="0.3">
      <c r="A64" s="444" t="str">
        <f>Current!V1</f>
        <v>Use Case</v>
      </c>
      <c r="B64" s="448" t="str">
        <f>Current!W1</f>
        <v>Count</v>
      </c>
      <c r="C64" s="446" t="str">
        <f>Current!X1</f>
        <v>Share</v>
      </c>
      <c r="D64" s="440" t="s">
        <v>308</v>
      </c>
      <c r="E64" s="440" t="s">
        <v>310</v>
      </c>
      <c r="F64"/>
      <c r="G64"/>
      <c r="I64"/>
      <c r="J64"/>
      <c r="L64"/>
      <c r="M64" s="1"/>
      <c r="N64" s="1"/>
      <c r="O64" s="1"/>
    </row>
    <row r="65" spans="1:15" ht="14.4" x14ac:dyDescent="0.3">
      <c r="A65" s="445"/>
      <c r="B65" s="449"/>
      <c r="C65" s="447"/>
      <c r="D65" s="441"/>
      <c r="E65" s="441"/>
      <c r="F65"/>
      <c r="G65"/>
      <c r="I65"/>
      <c r="J65"/>
      <c r="L65"/>
      <c r="M65" s="1"/>
      <c r="N65" s="1"/>
      <c r="O65" s="1"/>
    </row>
    <row r="66" spans="1:15" ht="14.4" x14ac:dyDescent="0.3">
      <c r="A66" s="152" t="str">
        <f>Current!V2</f>
        <v>Human Space Flight</v>
      </c>
      <c r="B66" s="208">
        <f>Current!W2</f>
        <v>18</v>
      </c>
      <c r="C66" s="202">
        <f t="shared" ref="C66:C72" si="3">B66/$B$73</f>
        <v>0.27692307692307694</v>
      </c>
      <c r="D66" s="338">
        <f>IF(H8="Yes",INDEX(Current!Y2:Y9,MATCH($A66,Current!V2:V9,0))*$U$128,"-")</f>
        <v>1256859.5</v>
      </c>
      <c r="E66" s="338">
        <f>IFERROR(D66*$B$13,"-")</f>
        <v>60329256</v>
      </c>
      <c r="F66"/>
      <c r="G66"/>
      <c r="I66"/>
      <c r="J66"/>
      <c r="L66"/>
      <c r="M66" s="1"/>
      <c r="N66" s="1"/>
      <c r="O66" s="1"/>
    </row>
    <row r="67" spans="1:15" ht="14.4" x14ac:dyDescent="0.3">
      <c r="A67" s="152" t="str">
        <f>Current!V3</f>
        <v>Near Earth Robotic - LEO Science</v>
      </c>
      <c r="B67" s="208">
        <f>Current!W3</f>
        <v>25</v>
      </c>
      <c r="C67" s="202">
        <f t="shared" si="3"/>
        <v>0.38461538461538464</v>
      </c>
      <c r="D67" s="338">
        <f>IF(H9="Yes",INDEX(Current!Y3:Y10,MATCH($A67,Current!V3:V10,0))*$U$128,"-")</f>
        <v>2189530.5</v>
      </c>
      <c r="E67" s="338">
        <f t="shared" ref="E67:E72" si="4">IFERROR(D67*$B$13,"-")</f>
        <v>105097464</v>
      </c>
      <c r="F67"/>
      <c r="G67"/>
      <c r="I67"/>
      <c r="J67"/>
      <c r="L67"/>
      <c r="M67" s="1"/>
      <c r="N67" s="1"/>
      <c r="O67" s="1"/>
    </row>
    <row r="68" spans="1:15" ht="14.4" x14ac:dyDescent="0.3">
      <c r="A68" s="152" t="str">
        <f>Current!V4</f>
        <v>Near Earth Robotic - GEO and Near Earth</v>
      </c>
      <c r="B68" s="208">
        <f>Current!W4</f>
        <v>4</v>
      </c>
      <c r="C68" s="202">
        <f t="shared" si="3"/>
        <v>6.1538461538461542E-2</v>
      </c>
      <c r="D68" s="338">
        <f>IF(H10="Yes",INDEX(Current!Y4:Y12,MATCH($A68,Current!V4:V12,0))*$U$128,"-")</f>
        <v>218.5</v>
      </c>
      <c r="E68" s="338">
        <f t="shared" si="4"/>
        <v>10488</v>
      </c>
      <c r="F68"/>
      <c r="G68"/>
      <c r="I68"/>
      <c r="J68"/>
      <c r="L68"/>
      <c r="M68" s="1"/>
      <c r="N68" s="1"/>
      <c r="O68" s="1"/>
    </row>
    <row r="69" spans="1:15" ht="14.4" x14ac:dyDescent="0.3">
      <c r="A69" s="152" t="str">
        <f>Current!V5</f>
        <v>Deep Space Robotic</v>
      </c>
      <c r="B69" s="208">
        <f>Current!W5</f>
        <v>1</v>
      </c>
      <c r="C69" s="202">
        <f t="shared" si="3"/>
        <v>1.5384615384615385E-2</v>
      </c>
      <c r="D69" s="338">
        <f>IF(H11="Yes",INDEX(Current!Y5:Y13,MATCH($A69,Current!V5:V13,0))*$U$128,"-")</f>
        <v>286</v>
      </c>
      <c r="E69" s="338">
        <f t="shared" si="4"/>
        <v>13728</v>
      </c>
      <c r="F69"/>
      <c r="G69"/>
      <c r="I69"/>
      <c r="J69"/>
      <c r="L69"/>
      <c r="M69" s="1"/>
      <c r="N69" s="1"/>
      <c r="O69" s="1"/>
    </row>
    <row r="70" spans="1:15" ht="14.4" x14ac:dyDescent="0.3">
      <c r="A70" s="152" t="str">
        <f>Current!V6</f>
        <v>Near Earth Robotic - Low Latency &amp; Complex Needs</v>
      </c>
      <c r="B70" s="208">
        <f>Current!W6</f>
        <v>2</v>
      </c>
      <c r="C70" s="202">
        <f t="shared" si="3"/>
        <v>3.0769230769230771E-2</v>
      </c>
      <c r="D70" s="338">
        <f>IF(H12="Yes",INDEX(Current!Y6:Y14,MATCH($A70,Current!V6:V14,0))*$U$128,"-")</f>
        <v>4094</v>
      </c>
      <c r="E70" s="338">
        <f t="shared" si="4"/>
        <v>196512</v>
      </c>
      <c r="F70"/>
      <c r="G70"/>
      <c r="I70"/>
      <c r="J70"/>
      <c r="L70"/>
      <c r="M70" s="1"/>
      <c r="N70" s="1"/>
      <c r="O70" s="1"/>
    </row>
    <row r="71" spans="1:15" ht="14.4" x14ac:dyDescent="0.3">
      <c r="A71" s="152" t="str">
        <f>Current!V7</f>
        <v>Mission Operations</v>
      </c>
      <c r="B71" s="208">
        <f>Current!W7</f>
        <v>0</v>
      </c>
      <c r="C71" s="202">
        <f t="shared" si="3"/>
        <v>0</v>
      </c>
      <c r="D71" s="338">
        <f>IF(H13="Yes",INDEX(Current!Y7:Y16,MATCH($A71,Current!V7:V16,0))*$U$128,"-")</f>
        <v>0</v>
      </c>
      <c r="E71" s="338">
        <f t="shared" si="4"/>
        <v>0</v>
      </c>
      <c r="F71"/>
      <c r="G71"/>
      <c r="I71"/>
      <c r="J71"/>
      <c r="L71"/>
      <c r="M71" s="1"/>
      <c r="N71" s="1"/>
      <c r="O71" s="1"/>
    </row>
    <row r="72" spans="1:15" ht="14.4" x14ac:dyDescent="0.3">
      <c r="A72" s="152" t="str">
        <f>Current!V9</f>
        <v>Terrestrial &amp; Aerial</v>
      </c>
      <c r="B72" s="208">
        <f>Current!W9</f>
        <v>15</v>
      </c>
      <c r="C72" s="202">
        <f t="shared" si="3"/>
        <v>0.23076923076923078</v>
      </c>
      <c r="D72" s="338">
        <f>IF(H14="Yes",INDEX(Current!Y8:Y15,MATCH($A72,Current!V8:V15,0))*$U$128,"-")</f>
        <v>130076.5</v>
      </c>
      <c r="E72" s="338">
        <f t="shared" si="4"/>
        <v>6243672</v>
      </c>
      <c r="F72"/>
      <c r="G72"/>
      <c r="I72"/>
      <c r="J72"/>
      <c r="L72"/>
      <c r="M72" s="1"/>
      <c r="N72" s="1"/>
      <c r="O72" s="1"/>
    </row>
    <row r="73" spans="1:15" ht="15.6" thickBot="1" x14ac:dyDescent="0.35">
      <c r="A73" s="151" t="s">
        <v>304</v>
      </c>
      <c r="B73" s="206">
        <f>SUM(B66:B71,B72)</f>
        <v>65</v>
      </c>
      <c r="C73" s="306">
        <f t="shared" ref="C73" si="5">SUM(C66:C72)</f>
        <v>1</v>
      </c>
      <c r="D73" s="207">
        <f>SUM(D66:D72)</f>
        <v>3581065</v>
      </c>
      <c r="E73" s="207">
        <f>SUM(E66:E72)</f>
        <v>171891120</v>
      </c>
      <c r="F73"/>
      <c r="G73"/>
      <c r="I73"/>
      <c r="J73"/>
      <c r="L73"/>
      <c r="M73" s="1"/>
      <c r="N73" s="1"/>
      <c r="O73" s="1"/>
    </row>
    <row r="74" spans="1:15" x14ac:dyDescent="0.25">
      <c r="J74" s="336"/>
    </row>
    <row r="75" spans="1:15" ht="16.2" thickBot="1" x14ac:dyDescent="0.35">
      <c r="A75" s="177" t="s">
        <v>315</v>
      </c>
    </row>
    <row r="76" spans="1:15" ht="14.4" x14ac:dyDescent="0.3">
      <c r="A76" s="450" t="s">
        <v>82</v>
      </c>
      <c r="B76" s="448" t="s">
        <v>83</v>
      </c>
      <c r="C76" s="446" t="s">
        <v>90</v>
      </c>
      <c r="D76" s="440" t="s">
        <v>308</v>
      </c>
      <c r="E76" s="440" t="s">
        <v>310</v>
      </c>
      <c r="F76"/>
      <c r="G76"/>
      <c r="I76"/>
      <c r="J76"/>
      <c r="L76"/>
      <c r="M76" s="1"/>
      <c r="N76" s="1"/>
      <c r="O76" s="1"/>
    </row>
    <row r="77" spans="1:15" ht="15" customHeight="1" x14ac:dyDescent="0.3">
      <c r="A77" s="451"/>
      <c r="B77" s="449"/>
      <c r="C77" s="447"/>
      <c r="D77" s="441"/>
      <c r="E77" s="441"/>
      <c r="F77"/>
      <c r="G77"/>
      <c r="I77"/>
      <c r="J77"/>
      <c r="L77"/>
      <c r="M77" s="1"/>
      <c r="N77" s="1"/>
      <c r="O77" s="1"/>
    </row>
    <row r="78" spans="1:15" ht="14.4" x14ac:dyDescent="0.3">
      <c r="A78" s="152" t="s">
        <v>299</v>
      </c>
      <c r="B78" s="208">
        <f>Current!J8</f>
        <v>0</v>
      </c>
      <c r="C78" s="202">
        <f>B78/$B$80</f>
        <v>0</v>
      </c>
      <c r="D78" s="338">
        <f>Current!Y7*U127</f>
        <v>0</v>
      </c>
      <c r="E78" s="338">
        <f>D78*$B$13</f>
        <v>0</v>
      </c>
      <c r="F78"/>
      <c r="G78"/>
      <c r="I78"/>
      <c r="J78"/>
      <c r="L78"/>
      <c r="M78" s="1"/>
      <c r="N78" s="1"/>
      <c r="O78" s="1"/>
    </row>
    <row r="79" spans="1:15" ht="14.4" x14ac:dyDescent="0.3">
      <c r="A79" s="152" t="s">
        <v>300</v>
      </c>
      <c r="B79" s="155">
        <f>Current!W8</f>
        <v>2</v>
      </c>
      <c r="C79" s="202">
        <f>B79/$B$80</f>
        <v>1</v>
      </c>
      <c r="D79" s="338">
        <f>Current!Y8*U128</f>
        <v>1672</v>
      </c>
      <c r="E79" s="338">
        <f>D79*$B$13</f>
        <v>80256</v>
      </c>
      <c r="F79"/>
      <c r="G79"/>
      <c r="I79"/>
      <c r="J79"/>
      <c r="L79"/>
      <c r="M79" s="1"/>
      <c r="N79" s="1"/>
      <c r="O79" s="1"/>
    </row>
    <row r="80" spans="1:15" ht="14.4" customHeight="1" thickBot="1" x14ac:dyDescent="0.35">
      <c r="A80" s="151" t="s">
        <v>84</v>
      </c>
      <c r="B80" s="206">
        <f>SUM(B78:B79)</f>
        <v>2</v>
      </c>
      <c r="C80" s="281">
        <f>SUM(C78:C79)</f>
        <v>1</v>
      </c>
      <c r="D80" s="340">
        <f>SUM(D78:D79)</f>
        <v>1672</v>
      </c>
      <c r="E80" s="340">
        <f>SUM(E78:E79)</f>
        <v>80256</v>
      </c>
      <c r="F80"/>
      <c r="G80"/>
      <c r="I80"/>
      <c r="J80"/>
      <c r="L80"/>
      <c r="M80" s="1"/>
      <c r="N80" s="1"/>
      <c r="O80" s="1"/>
    </row>
    <row r="81" spans="1:15" x14ac:dyDescent="0.25">
      <c r="A81" s="165"/>
      <c r="B81" s="341"/>
      <c r="C81" s="339"/>
      <c r="D81" s="342"/>
      <c r="E81" s="342"/>
      <c r="F81" s="342"/>
    </row>
    <row r="82" spans="1:15" ht="14.4" thickBot="1" x14ac:dyDescent="0.3">
      <c r="A82" s="204" t="s">
        <v>317</v>
      </c>
    </row>
    <row r="83" spans="1:15" ht="14.4" customHeight="1" x14ac:dyDescent="0.3">
      <c r="A83" s="444" t="str">
        <f>Current!I1</f>
        <v>Use Case</v>
      </c>
      <c r="B83" s="442" t="str">
        <f>Current!J1</f>
        <v>Count</v>
      </c>
      <c r="C83" s="442" t="str">
        <f>Current!K1</f>
        <v>Share</v>
      </c>
      <c r="D83" s="440" t="s">
        <v>308</v>
      </c>
      <c r="E83" s="440" t="s">
        <v>310</v>
      </c>
      <c r="F83"/>
      <c r="G83"/>
      <c r="I83"/>
      <c r="J83"/>
      <c r="L83"/>
      <c r="M83" s="1"/>
      <c r="N83" s="1"/>
      <c r="O83" s="1"/>
    </row>
    <row r="84" spans="1:15" ht="14.4" x14ac:dyDescent="0.3">
      <c r="A84" s="445"/>
      <c r="B84" s="443"/>
      <c r="C84" s="443"/>
      <c r="D84" s="441"/>
      <c r="E84" s="441"/>
      <c r="F84"/>
      <c r="G84"/>
      <c r="I84"/>
      <c r="J84"/>
      <c r="L84"/>
      <c r="M84" s="1"/>
      <c r="N84" s="1"/>
      <c r="O84" s="1"/>
    </row>
    <row r="85" spans="1:15" ht="14.4" x14ac:dyDescent="0.3">
      <c r="A85" s="152" t="str">
        <f>Current!I2</f>
        <v>Human Space Flight</v>
      </c>
      <c r="B85" s="155">
        <f>Current!J2</f>
        <v>3</v>
      </c>
      <c r="C85" s="202">
        <f t="shared" ref="C85:C91" si="6">B85/$B$92</f>
        <v>5.5555555555555552E-2</v>
      </c>
      <c r="D85" s="205">
        <f>IF(H8="Yes",INDEX(Current!L2:L9,MATCH($A54,Current!I2:I9,0))*$U$129,"-")</f>
        <v>231277.56666666668</v>
      </c>
      <c r="E85" s="205">
        <f>IFERROR(D85*$B$12,"-")</f>
        <v>13229076.813333334</v>
      </c>
      <c r="F85"/>
      <c r="G85"/>
      <c r="I85"/>
      <c r="J85"/>
      <c r="L85"/>
      <c r="M85" s="1"/>
      <c r="N85" s="1"/>
      <c r="O85" s="1"/>
    </row>
    <row r="86" spans="1:15" ht="14.4" x14ac:dyDescent="0.3">
      <c r="A86" s="152" t="str">
        <f>Current!I3</f>
        <v>Near Earth Robotic - LEO Science</v>
      </c>
      <c r="B86" s="155">
        <f>Current!J3</f>
        <v>34</v>
      </c>
      <c r="C86" s="202">
        <f t="shared" si="6"/>
        <v>0.62962962962962965</v>
      </c>
      <c r="D86" s="205">
        <f>IF(H9="Yes",INDEX(Current!L3:L10,MATCH($A55,Current!I3:I10,0))*$U$129,"-")</f>
        <v>329709.59166666667</v>
      </c>
      <c r="E86" s="205">
        <f t="shared" ref="E86:E91" si="7">IFERROR(D86*$B$12,"-")</f>
        <v>18859388.643333334</v>
      </c>
      <c r="F86"/>
      <c r="G86"/>
      <c r="I86"/>
      <c r="J86"/>
      <c r="L86"/>
      <c r="M86" s="1"/>
      <c r="N86" s="1"/>
      <c r="O86" s="1"/>
    </row>
    <row r="87" spans="1:15" ht="14.4" x14ac:dyDescent="0.3">
      <c r="A87" s="152" t="str">
        <f>Current!I4</f>
        <v>Near Earth Robotic - GEO and Near Earth</v>
      </c>
      <c r="B87" s="155">
        <f>Current!J4</f>
        <v>17</v>
      </c>
      <c r="C87" s="202">
        <f t="shared" si="6"/>
        <v>0.31481481481481483</v>
      </c>
      <c r="D87" s="205">
        <f>IF(H10="Yes",INDEX(Current!L4:L12,MATCH($A56,Current!I4:I12,0))*$U$129,"-")</f>
        <v>73489.583333333343</v>
      </c>
      <c r="E87" s="205">
        <f t="shared" si="7"/>
        <v>4203604.166666667</v>
      </c>
      <c r="F87"/>
      <c r="G87"/>
      <c r="I87"/>
      <c r="J87"/>
      <c r="L87"/>
      <c r="M87" s="1"/>
      <c r="N87" s="1"/>
      <c r="O87" s="1"/>
    </row>
    <row r="88" spans="1:15" ht="14.4" customHeight="1" x14ac:dyDescent="0.3">
      <c r="A88" s="152" t="str">
        <f>Current!I5</f>
        <v>Deep Space Robotic</v>
      </c>
      <c r="B88" s="155">
        <f>Current!J5</f>
        <v>0</v>
      </c>
      <c r="C88" s="202">
        <f t="shared" si="6"/>
        <v>0</v>
      </c>
      <c r="D88" s="205">
        <f>IF(H11="Yes",INDEX(Current!L5:L13,MATCH($A57,Current!I5:I13,0))*$U$129,"-")</f>
        <v>0</v>
      </c>
      <c r="E88" s="205">
        <f t="shared" si="7"/>
        <v>0</v>
      </c>
      <c r="F88"/>
      <c r="G88"/>
      <c r="I88"/>
      <c r="J88"/>
      <c r="L88"/>
      <c r="M88" s="1"/>
      <c r="N88" s="1"/>
      <c r="O88" s="1"/>
    </row>
    <row r="89" spans="1:15" ht="14.4" x14ac:dyDescent="0.3">
      <c r="A89" s="152" t="str">
        <f>Current!I6</f>
        <v>Near Earth Robotic - Low Latency &amp; Complex Needs</v>
      </c>
      <c r="B89" s="155">
        <f>Current!J6</f>
        <v>0</v>
      </c>
      <c r="C89" s="202">
        <f t="shared" si="6"/>
        <v>0</v>
      </c>
      <c r="D89" s="205">
        <f>IF(H12="Yes",INDEX(Current!L6:L14,MATCH($A58,Current!I6:I14,0))*$U$129,"-")</f>
        <v>0</v>
      </c>
      <c r="E89" s="205">
        <f t="shared" si="7"/>
        <v>0</v>
      </c>
      <c r="F89"/>
      <c r="G89"/>
      <c r="I89"/>
      <c r="J89"/>
      <c r="L89"/>
      <c r="M89" s="1"/>
      <c r="N89" s="1"/>
      <c r="O89" s="1"/>
    </row>
    <row r="90" spans="1:15" ht="14.4" x14ac:dyDescent="0.3">
      <c r="A90" s="152" t="str">
        <f>Current!I7</f>
        <v>Mission Operations</v>
      </c>
      <c r="B90" s="155">
        <f>Current!J7</f>
        <v>0</v>
      </c>
      <c r="C90" s="202">
        <f t="shared" si="6"/>
        <v>0</v>
      </c>
      <c r="D90" s="205">
        <f>IF(H13="Yes",INDEX(Current!L7:L15,MATCH($A59,Current!I7:I15,0))*$U$129,"-")</f>
        <v>0</v>
      </c>
      <c r="E90" s="205">
        <f t="shared" si="7"/>
        <v>0</v>
      </c>
      <c r="F90"/>
      <c r="G90"/>
      <c r="I90"/>
      <c r="J90"/>
      <c r="L90"/>
      <c r="M90" s="1"/>
      <c r="N90" s="1"/>
      <c r="O90" s="1"/>
    </row>
    <row r="91" spans="1:15" ht="14.4" x14ac:dyDescent="0.3">
      <c r="A91" s="152" t="str">
        <f>Current!I9</f>
        <v>Terrestrial &amp; Aerial</v>
      </c>
      <c r="B91" s="155">
        <f>Current!J9</f>
        <v>0</v>
      </c>
      <c r="C91" s="202">
        <f t="shared" si="6"/>
        <v>0</v>
      </c>
      <c r="D91" s="205">
        <f>IF(H14="Yes",INDEX(Current!L8:L15,MATCH($A60,Current!I8:I15,0))*$U$129,"-")</f>
        <v>0</v>
      </c>
      <c r="E91" s="205">
        <f t="shared" si="7"/>
        <v>0</v>
      </c>
      <c r="F91"/>
      <c r="G91"/>
      <c r="I91"/>
      <c r="J91"/>
      <c r="L91"/>
      <c r="M91" s="1"/>
      <c r="N91" s="1"/>
      <c r="O91" s="1"/>
    </row>
    <row r="92" spans="1:15" ht="15.6" thickBot="1" x14ac:dyDescent="0.35">
      <c r="A92" s="314" t="s">
        <v>297</v>
      </c>
      <c r="B92" s="206">
        <f>SUM(B85:B90,B91)</f>
        <v>54</v>
      </c>
      <c r="C92" s="306">
        <f t="shared" ref="C92" si="8">SUM(C85:C91)</f>
        <v>1</v>
      </c>
      <c r="D92" s="207">
        <f>SUM(D85:D91)</f>
        <v>634476.7416666667</v>
      </c>
      <c r="E92" s="207">
        <f>SUM(E85:E91)</f>
        <v>36292069.623333335</v>
      </c>
      <c r="F92"/>
      <c r="G92"/>
      <c r="I92"/>
      <c r="J92"/>
      <c r="L92"/>
      <c r="M92" s="1"/>
      <c r="N92" s="1"/>
      <c r="O92" s="1"/>
    </row>
    <row r="94" spans="1:15" ht="14.4" thickBot="1" x14ac:dyDescent="0.3">
      <c r="A94" s="204" t="s">
        <v>318</v>
      </c>
    </row>
    <row r="95" spans="1:15" ht="14.4" x14ac:dyDescent="0.3">
      <c r="A95" s="438" t="str">
        <f>Current!I1</f>
        <v>Use Case</v>
      </c>
      <c r="B95" s="436" t="str">
        <f>Current!J1</f>
        <v>Count</v>
      </c>
      <c r="C95" s="436" t="str">
        <f>Current!K1</f>
        <v>Share</v>
      </c>
      <c r="D95" s="440" t="s">
        <v>308</v>
      </c>
      <c r="E95" s="440" t="s">
        <v>310</v>
      </c>
      <c r="F95"/>
      <c r="G95"/>
      <c r="I95"/>
      <c r="J95"/>
      <c r="L95"/>
      <c r="M95" s="1"/>
      <c r="N95" s="1"/>
      <c r="O95" s="1"/>
    </row>
    <row r="96" spans="1:15" ht="14.4" x14ac:dyDescent="0.3">
      <c r="A96" s="439"/>
      <c r="B96" s="437"/>
      <c r="C96" s="437"/>
      <c r="D96" s="441"/>
      <c r="E96" s="441"/>
      <c r="F96"/>
      <c r="G96"/>
      <c r="I96"/>
      <c r="J96"/>
      <c r="L96"/>
      <c r="M96" s="1"/>
      <c r="N96" s="1"/>
      <c r="O96" s="1"/>
    </row>
    <row r="97" spans="1:15" ht="14.4" x14ac:dyDescent="0.3">
      <c r="A97" s="152" t="str">
        <f>Current!I2</f>
        <v>Human Space Flight</v>
      </c>
      <c r="B97" s="208">
        <f>Current!W2</f>
        <v>18</v>
      </c>
      <c r="C97" s="202">
        <f t="shared" ref="C97:C103" si="9">B97/$B$73</f>
        <v>0.27692307692307694</v>
      </c>
      <c r="D97" s="205">
        <f>IF(H8="Yes",INDEX(Current!Y2:Y9,MATCH($A66,Current!V2:V9,0))*$U$129,"-")</f>
        <v>1256859.5</v>
      </c>
      <c r="E97" s="205">
        <f>IFERROR(D97*$B$13,"-")</f>
        <v>60329256</v>
      </c>
      <c r="F97"/>
      <c r="G97"/>
      <c r="I97"/>
      <c r="J97"/>
      <c r="L97"/>
      <c r="M97" s="1"/>
      <c r="N97" s="1"/>
      <c r="O97" s="1"/>
    </row>
    <row r="98" spans="1:15" ht="14.4" x14ac:dyDescent="0.3">
      <c r="A98" s="152" t="str">
        <f>Current!I3</f>
        <v>Near Earth Robotic - LEO Science</v>
      </c>
      <c r="B98" s="208">
        <f>Current!W3</f>
        <v>25</v>
      </c>
      <c r="C98" s="202">
        <f t="shared" si="9"/>
        <v>0.38461538461538464</v>
      </c>
      <c r="D98" s="205">
        <f>IF(H9="Yes",INDEX(Current!Y3:Y10,MATCH($A67,Current!V3:V10,0))*$U$129,"-")</f>
        <v>2189530.5</v>
      </c>
      <c r="E98" s="205">
        <f t="shared" ref="E98:E103" si="10">IFERROR(D98*$B$13,"-")</f>
        <v>105097464</v>
      </c>
      <c r="F98"/>
      <c r="G98"/>
      <c r="I98"/>
      <c r="J98"/>
      <c r="L98"/>
      <c r="M98" s="1"/>
      <c r="N98" s="1"/>
      <c r="O98" s="1"/>
    </row>
    <row r="99" spans="1:15" ht="14.4" x14ac:dyDescent="0.3">
      <c r="A99" s="152" t="str">
        <f>Current!I4</f>
        <v>Near Earth Robotic - GEO and Near Earth</v>
      </c>
      <c r="B99" s="208">
        <f>Current!W4</f>
        <v>4</v>
      </c>
      <c r="C99" s="202">
        <f t="shared" si="9"/>
        <v>6.1538461538461542E-2</v>
      </c>
      <c r="D99" s="205">
        <f>IF(H10="Yes",INDEX(Current!Y4:Y12,MATCH($A68,Current!V4:V12,0))*$U$129,"-")</f>
        <v>218.5</v>
      </c>
      <c r="E99" s="205">
        <f t="shared" si="10"/>
        <v>10488</v>
      </c>
      <c r="F99"/>
      <c r="G99"/>
      <c r="I99"/>
      <c r="J99"/>
      <c r="L99"/>
      <c r="M99" s="1"/>
      <c r="N99" s="1"/>
      <c r="O99" s="1"/>
    </row>
    <row r="100" spans="1:15" ht="14.4" x14ac:dyDescent="0.3">
      <c r="A100" s="152" t="str">
        <f>Current!I5</f>
        <v>Deep Space Robotic</v>
      </c>
      <c r="B100" s="208">
        <f>Current!W5</f>
        <v>1</v>
      </c>
      <c r="C100" s="202">
        <f t="shared" si="9"/>
        <v>1.5384615384615385E-2</v>
      </c>
      <c r="D100" s="205">
        <f>IF(H11="Yes",INDEX(Current!Y5:Y13,MATCH($A69,Current!V5:V13,0))*$U$129,"-")</f>
        <v>286</v>
      </c>
      <c r="E100" s="205">
        <f t="shared" si="10"/>
        <v>13728</v>
      </c>
      <c r="F100"/>
      <c r="G100"/>
      <c r="I100"/>
      <c r="J100"/>
      <c r="L100"/>
      <c r="M100" s="1"/>
      <c r="N100" s="1"/>
      <c r="O100" s="1"/>
    </row>
    <row r="101" spans="1:15" ht="14.4" x14ac:dyDescent="0.3">
      <c r="A101" s="152" t="str">
        <f>Current!I6</f>
        <v>Near Earth Robotic - Low Latency &amp; Complex Needs</v>
      </c>
      <c r="B101" s="208">
        <f>Current!W6</f>
        <v>2</v>
      </c>
      <c r="C101" s="202">
        <f t="shared" si="9"/>
        <v>3.0769230769230771E-2</v>
      </c>
      <c r="D101" s="205">
        <f>IF(H12="Yes",INDEX(Current!Y6:Y14,MATCH($A70,Current!V6:V14,0))*$U$129,"-")</f>
        <v>4094</v>
      </c>
      <c r="E101" s="205">
        <f t="shared" si="10"/>
        <v>196512</v>
      </c>
      <c r="F101"/>
      <c r="G101"/>
      <c r="I101"/>
      <c r="J101"/>
      <c r="L101"/>
      <c r="M101" s="1"/>
      <c r="N101" s="1"/>
      <c r="O101" s="1"/>
    </row>
    <row r="102" spans="1:15" ht="14.4" x14ac:dyDescent="0.3">
      <c r="A102" s="152" t="str">
        <f>Current!I7</f>
        <v>Mission Operations</v>
      </c>
      <c r="B102" s="208">
        <f>Current!W7</f>
        <v>0</v>
      </c>
      <c r="C102" s="202">
        <f t="shared" si="9"/>
        <v>0</v>
      </c>
      <c r="D102" s="205">
        <f>IF(H13="Yes",INDEX(Current!Y7:Y16,MATCH($A71,Current!V7:V16,0))*$U$129,"-")</f>
        <v>0</v>
      </c>
      <c r="E102" s="205">
        <f t="shared" si="10"/>
        <v>0</v>
      </c>
      <c r="F102"/>
      <c r="G102"/>
      <c r="I102"/>
      <c r="J102"/>
      <c r="L102"/>
      <c r="M102" s="1"/>
      <c r="N102" s="1"/>
      <c r="O102" s="1"/>
    </row>
    <row r="103" spans="1:15" ht="14.4" x14ac:dyDescent="0.3">
      <c r="A103" s="152" t="str">
        <f>Current!I9</f>
        <v>Terrestrial &amp; Aerial</v>
      </c>
      <c r="B103" s="208">
        <f>Current!W9</f>
        <v>15</v>
      </c>
      <c r="C103" s="202">
        <f t="shared" si="9"/>
        <v>0.23076923076923078</v>
      </c>
      <c r="D103" s="205">
        <f>IF(H14="Yes",INDEX(Current!Y8:Y15,MATCH($A72,Current!V8:V15,0))*$U$129,"-")</f>
        <v>130076.5</v>
      </c>
      <c r="E103" s="205">
        <f t="shared" si="10"/>
        <v>6243672</v>
      </c>
      <c r="F103"/>
      <c r="G103"/>
      <c r="I103"/>
      <c r="J103"/>
      <c r="L103"/>
      <c r="M103" s="1"/>
      <c r="N103" s="1"/>
      <c r="O103" s="1"/>
    </row>
    <row r="104" spans="1:15" ht="15.6" thickBot="1" x14ac:dyDescent="0.35">
      <c r="A104" s="151" t="s">
        <v>297</v>
      </c>
      <c r="B104" s="206">
        <f>SUM(B97:B102,B103)</f>
        <v>65</v>
      </c>
      <c r="C104" s="306">
        <f t="shared" ref="C104" si="11">SUM(C97:C103)</f>
        <v>1</v>
      </c>
      <c r="D104" s="207">
        <f>SUM(D97:D103)</f>
        <v>3581065</v>
      </c>
      <c r="E104" s="207">
        <f>SUM(E97:E103)</f>
        <v>171891120</v>
      </c>
      <c r="F104"/>
      <c r="G104"/>
      <c r="I104"/>
      <c r="J104"/>
      <c r="L104"/>
      <c r="M104" s="1"/>
      <c r="N104" s="1"/>
      <c r="O104" s="1"/>
    </row>
    <row r="121" spans="1:25" s="129" customFormat="1" x14ac:dyDescent="0.25">
      <c r="B121" s="327"/>
      <c r="C121" s="328"/>
      <c r="G121" s="329"/>
      <c r="S121" s="301"/>
    </row>
    <row r="122" spans="1:25" ht="14.4" x14ac:dyDescent="0.3">
      <c r="A122"/>
      <c r="B122"/>
      <c r="C122"/>
      <c r="D122"/>
      <c r="E122"/>
      <c r="F122"/>
      <c r="G122"/>
      <c r="H122"/>
      <c r="I122"/>
      <c r="J122"/>
      <c r="K122"/>
      <c r="N122"/>
      <c r="O122"/>
      <c r="P122" s="1"/>
      <c r="Q122" s="1"/>
    </row>
    <row r="123" spans="1:25" s="129" customFormat="1" ht="14.4" customHeight="1" x14ac:dyDescent="0.3">
      <c r="A123"/>
      <c r="B123"/>
      <c r="C123"/>
      <c r="D123"/>
      <c r="E123"/>
      <c r="F123"/>
      <c r="G123"/>
      <c r="H123"/>
      <c r="I123"/>
      <c r="J123"/>
      <c r="K123"/>
      <c r="L123" s="1"/>
      <c r="M123" s="1"/>
      <c r="N123"/>
      <c r="O123"/>
      <c r="P123" s="1"/>
      <c r="Q123" s="1"/>
      <c r="S123" s="458" t="s">
        <v>306</v>
      </c>
      <c r="T123" s="459"/>
      <c r="U123" s="459"/>
      <c r="V123" s="459"/>
      <c r="W123" s="459"/>
      <c r="X123" s="459"/>
      <c r="Y123" s="460"/>
    </row>
    <row r="124" spans="1:25" s="129" customFormat="1" ht="14.4" x14ac:dyDescent="0.3">
      <c r="A124"/>
      <c r="B124"/>
      <c r="C124"/>
      <c r="D124"/>
      <c r="E124"/>
      <c r="F124"/>
      <c r="G124"/>
      <c r="H124"/>
      <c r="I124"/>
      <c r="J124"/>
      <c r="K124"/>
      <c r="L124" s="1"/>
      <c r="M124" s="1"/>
      <c r="N124"/>
      <c r="O124"/>
      <c r="P124" s="1"/>
      <c r="Q124" s="1"/>
      <c r="S124" s="315" t="s">
        <v>359</v>
      </c>
      <c r="T124" s="312" t="s">
        <v>72</v>
      </c>
      <c r="U124" s="312"/>
      <c r="V124" s="312"/>
      <c r="W124" s="312" t="s">
        <v>73</v>
      </c>
      <c r="X124" s="312"/>
      <c r="Y124" s="312"/>
    </row>
    <row r="125" spans="1:25" ht="14.4" x14ac:dyDescent="0.3">
      <c r="A125"/>
      <c r="B125"/>
      <c r="C125"/>
      <c r="D125"/>
      <c r="E125"/>
      <c r="F125"/>
      <c r="G125"/>
      <c r="H125"/>
      <c r="I125"/>
      <c r="J125"/>
      <c r="K125"/>
      <c r="L125" s="1"/>
      <c r="M125" s="1"/>
      <c r="N125"/>
      <c r="O125"/>
      <c r="P125" s="1"/>
      <c r="Q125" s="1"/>
      <c r="S125" s="316"/>
      <c r="T125" s="312" t="s">
        <v>7</v>
      </c>
      <c r="U125" s="312" t="s">
        <v>76</v>
      </c>
      <c r="V125" s="312" t="s">
        <v>6</v>
      </c>
      <c r="W125" s="312" t="s">
        <v>7</v>
      </c>
      <c r="X125" s="312" t="s">
        <v>76</v>
      </c>
      <c r="Y125" s="312" t="s">
        <v>6</v>
      </c>
    </row>
    <row r="126" spans="1:25" ht="14.4" x14ac:dyDescent="0.3">
      <c r="A126"/>
      <c r="B126"/>
      <c r="C126"/>
      <c r="D126"/>
      <c r="E126"/>
      <c r="F126"/>
      <c r="G126"/>
      <c r="H126"/>
      <c r="I126"/>
      <c r="J126"/>
      <c r="K126"/>
      <c r="L126" s="1"/>
      <c r="M126" s="1"/>
      <c r="N126" s="1"/>
      <c r="O126" s="1"/>
      <c r="P126" s="1"/>
      <c r="Q126" s="1"/>
      <c r="S126" s="331" t="s">
        <v>360</v>
      </c>
      <c r="T126" s="203">
        <v>702</v>
      </c>
      <c r="U126" s="203">
        <v>250000</v>
      </c>
      <c r="V126" s="203">
        <v>525600</v>
      </c>
      <c r="W126" s="203">
        <v>525600</v>
      </c>
      <c r="X126" s="203">
        <v>750000</v>
      </c>
      <c r="Y126" s="203">
        <v>1000000</v>
      </c>
    </row>
    <row r="127" spans="1:25" ht="14.4" x14ac:dyDescent="0.3">
      <c r="A127"/>
      <c r="B127"/>
      <c r="C127"/>
      <c r="D127"/>
      <c r="E127"/>
      <c r="F127"/>
      <c r="G127"/>
      <c r="H127"/>
      <c r="I127"/>
      <c r="J127"/>
      <c r="K127"/>
      <c r="L127" s="1"/>
      <c r="M127" s="1"/>
      <c r="N127" s="1"/>
      <c r="O127" s="1"/>
      <c r="P127" s="1"/>
      <c r="Q127" s="1"/>
      <c r="S127" s="331" t="s">
        <v>361</v>
      </c>
      <c r="T127" s="332">
        <v>89840</v>
      </c>
      <c r="U127" s="332">
        <v>250000</v>
      </c>
      <c r="V127" s="332">
        <v>525600</v>
      </c>
      <c r="W127" s="332">
        <v>525600</v>
      </c>
      <c r="X127" s="332">
        <v>750000</v>
      </c>
      <c r="Y127" s="332">
        <v>1000000</v>
      </c>
    </row>
    <row r="128" spans="1:25" ht="14.4" x14ac:dyDescent="0.3">
      <c r="A128"/>
      <c r="B128"/>
      <c r="C128"/>
      <c r="D128"/>
      <c r="E128"/>
      <c r="F128"/>
      <c r="G128"/>
      <c r="H128"/>
      <c r="I128"/>
      <c r="J128"/>
      <c r="K128"/>
      <c r="L128" s="1"/>
      <c r="M128" s="1"/>
      <c r="N128" s="1"/>
      <c r="O128" s="1"/>
      <c r="P128" s="1"/>
      <c r="Q128" s="1"/>
      <c r="S128" s="331" t="s">
        <v>357</v>
      </c>
      <c r="T128" s="333">
        <v>7.7533078571270795E-3</v>
      </c>
      <c r="U128" s="333">
        <v>0.5</v>
      </c>
      <c r="V128" s="333">
        <v>0.5</v>
      </c>
      <c r="W128" s="333">
        <v>0.5</v>
      </c>
      <c r="X128" s="333">
        <v>0.5</v>
      </c>
      <c r="Y128" s="333">
        <v>0.5</v>
      </c>
    </row>
    <row r="129" spans="1:25" ht="14.4" x14ac:dyDescent="0.3">
      <c r="A129"/>
      <c r="B129"/>
      <c r="C129"/>
      <c r="D129"/>
      <c r="E129"/>
      <c r="F129"/>
      <c r="G129"/>
      <c r="H129"/>
      <c r="I129"/>
      <c r="J129"/>
      <c r="K129"/>
      <c r="L129" s="1"/>
      <c r="M129" s="1"/>
      <c r="N129" s="1"/>
      <c r="O129" s="1"/>
      <c r="P129" s="1"/>
      <c r="Q129" s="1"/>
      <c r="S129" s="331" t="s">
        <v>358</v>
      </c>
      <c r="T129" s="333">
        <v>0.99224669214287287</v>
      </c>
      <c r="U129" s="333">
        <v>0.5</v>
      </c>
      <c r="V129" s="333">
        <v>0.5</v>
      </c>
      <c r="W129" s="333">
        <v>0.5</v>
      </c>
      <c r="X129" s="333">
        <v>0.5</v>
      </c>
      <c r="Y129" s="333">
        <v>0.5</v>
      </c>
    </row>
    <row r="130" spans="1:25" ht="14.4" x14ac:dyDescent="0.3">
      <c r="A130"/>
      <c r="B130"/>
      <c r="C130"/>
      <c r="D130"/>
      <c r="E130"/>
      <c r="F130"/>
      <c r="G130"/>
      <c r="H130"/>
      <c r="I130"/>
      <c r="J130"/>
      <c r="K130"/>
      <c r="L130" s="1"/>
      <c r="M130" s="1"/>
      <c r="N130" s="1"/>
      <c r="O130" s="1"/>
      <c r="P130" s="1"/>
      <c r="Q130" s="1"/>
    </row>
    <row r="131" spans="1:25" ht="14.4" x14ac:dyDescent="0.3">
      <c r="A131"/>
      <c r="B131"/>
      <c r="C131"/>
      <c r="D131"/>
      <c r="E131"/>
      <c r="F131"/>
      <c r="G131"/>
      <c r="H131"/>
      <c r="I131"/>
      <c r="J131"/>
      <c r="K131"/>
      <c r="L131" s="1"/>
      <c r="M131" s="1"/>
      <c r="N131" s="1"/>
      <c r="O131" s="1"/>
      <c r="P131" s="1"/>
      <c r="Q131" s="1"/>
    </row>
    <row r="132" spans="1:25" x14ac:dyDescent="0.25">
      <c r="A132" s="334"/>
      <c r="B132" s="334"/>
      <c r="C132" s="335"/>
      <c r="D132" s="335"/>
      <c r="E132" s="335"/>
      <c r="F132" s="335"/>
      <c r="G132" s="335"/>
      <c r="H132" s="335"/>
      <c r="I132" s="335"/>
      <c r="J132" s="335"/>
      <c r="K132" s="335"/>
      <c r="L132" s="1"/>
      <c r="M132" s="1"/>
      <c r="N132" s="1"/>
      <c r="O132" s="1"/>
      <c r="P132" s="1"/>
      <c r="Q132" s="1"/>
    </row>
    <row r="134" spans="1:25" ht="14.4" customHeight="1" x14ac:dyDescent="0.25"/>
    <row r="135" spans="1:25" customFormat="1" ht="14.4" x14ac:dyDescent="0.3"/>
    <row r="136" spans="1:25" customFormat="1" ht="14.4" x14ac:dyDescent="0.3"/>
    <row r="137" spans="1:25" customFormat="1" ht="14.4" x14ac:dyDescent="0.3"/>
    <row r="138" spans="1:25" customFormat="1" ht="14.4" x14ac:dyDescent="0.3"/>
    <row r="139" spans="1:25" customFormat="1" ht="14.4" x14ac:dyDescent="0.3"/>
    <row r="140" spans="1:25" customFormat="1" ht="14.4" x14ac:dyDescent="0.3"/>
    <row r="141" spans="1:25" customFormat="1" ht="14.4" x14ac:dyDescent="0.3"/>
    <row r="142" spans="1:25" customFormat="1" ht="14.4" x14ac:dyDescent="0.3"/>
    <row r="143" spans="1:25" customFormat="1" ht="14.4" x14ac:dyDescent="0.3"/>
    <row r="144" spans="1:25" customFormat="1" ht="14.4" x14ac:dyDescent="0.3"/>
    <row r="145" customFormat="1" ht="14.4" x14ac:dyDescent="0.3"/>
    <row r="146" customFormat="1" ht="14.4" x14ac:dyDescent="0.3"/>
    <row r="147" customFormat="1" ht="14.4" x14ac:dyDescent="0.3"/>
    <row r="148" customFormat="1" ht="14.4" x14ac:dyDescent="0.3"/>
    <row r="149" customFormat="1" ht="14.4" x14ac:dyDescent="0.3"/>
    <row r="150" customFormat="1" ht="14.4" x14ac:dyDescent="0.3"/>
    <row r="151" customFormat="1" ht="14.4" x14ac:dyDescent="0.3"/>
  </sheetData>
  <mergeCells count="40">
    <mergeCell ref="D10:E10"/>
    <mergeCell ref="S123:Y123"/>
    <mergeCell ref="A2:O2"/>
    <mergeCell ref="A23:A25"/>
    <mergeCell ref="A34:A36"/>
    <mergeCell ref="A26:A27"/>
    <mergeCell ref="A37:A38"/>
    <mergeCell ref="G6:G7"/>
    <mergeCell ref="H6:H7"/>
    <mergeCell ref="G5:H5"/>
    <mergeCell ref="A5:B5"/>
    <mergeCell ref="D5:E5"/>
    <mergeCell ref="A10:B10"/>
    <mergeCell ref="B52:B53"/>
    <mergeCell ref="C52:C53"/>
    <mergeCell ref="A52:A53"/>
    <mergeCell ref="D52:D53"/>
    <mergeCell ref="E52:E53"/>
    <mergeCell ref="A21:C21"/>
    <mergeCell ref="A32:C32"/>
    <mergeCell ref="B64:B65"/>
    <mergeCell ref="A64:A65"/>
    <mergeCell ref="C64:C65"/>
    <mergeCell ref="D64:D65"/>
    <mergeCell ref="E64:E65"/>
    <mergeCell ref="C76:C77"/>
    <mergeCell ref="B76:B77"/>
    <mergeCell ref="A76:A77"/>
    <mergeCell ref="D76:D77"/>
    <mergeCell ref="E76:E77"/>
    <mergeCell ref="C83:C84"/>
    <mergeCell ref="B83:B84"/>
    <mergeCell ref="A83:A84"/>
    <mergeCell ref="D83:D84"/>
    <mergeCell ref="E83:E84"/>
    <mergeCell ref="B95:B96"/>
    <mergeCell ref="C95:C96"/>
    <mergeCell ref="A95:A96"/>
    <mergeCell ref="D95:D96"/>
    <mergeCell ref="E95:E96"/>
  </mergeCells>
  <conditionalFormatting sqref="C23:C27">
    <cfRule type="dataBar" priority="2">
      <dataBar>
        <cfvo type="min"/>
        <cfvo type="max"/>
        <color rgb="FF638EC6"/>
      </dataBar>
      <extLst>
        <ext xmlns:x14="http://schemas.microsoft.com/office/spreadsheetml/2009/9/main" uri="{B025F937-C7B1-47D3-B67F-A62EFF666E3E}">
          <x14:id>{C8CB2326-1880-4FD7-8227-8936F2CC9225}</x14:id>
        </ext>
      </extLst>
    </cfRule>
  </conditionalFormatting>
  <conditionalFormatting sqref="C34:C38">
    <cfRule type="dataBar" priority="1">
      <dataBar>
        <cfvo type="min"/>
        <cfvo type="max"/>
        <color rgb="FF63C384"/>
      </dataBar>
      <extLst>
        <ext xmlns:x14="http://schemas.microsoft.com/office/spreadsheetml/2009/9/main" uri="{B025F937-C7B1-47D3-B67F-A62EFF666E3E}">
          <x14:id>{4B3489AB-872B-41D6-92A0-739DCAEDE5EA}</x14:id>
        </ext>
      </extLst>
    </cfRule>
  </conditionalFormatting>
  <pageMargins left="0.75" right="0.75" top="1" bottom="1" header="0.5" footer="0.5"/>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C8CB2326-1880-4FD7-8227-8936F2CC9225}">
            <x14:dataBar minLength="0" maxLength="100" border="1" negativeBarBorderColorSameAsPositive="0">
              <x14:cfvo type="autoMin"/>
              <x14:cfvo type="autoMax"/>
              <x14:borderColor rgb="FF638EC6"/>
              <x14:negativeFillColor rgb="FFFF0000"/>
              <x14:negativeBorderColor rgb="FFFF0000"/>
              <x14:axisColor rgb="FF000000"/>
            </x14:dataBar>
          </x14:cfRule>
          <xm:sqref>C23:C27</xm:sqref>
        </x14:conditionalFormatting>
        <x14:conditionalFormatting xmlns:xm="http://schemas.microsoft.com/office/excel/2006/main">
          <x14:cfRule type="dataBar" id="{4B3489AB-872B-41D6-92A0-739DCAEDE5EA}">
            <x14:dataBar minLength="0" maxLength="100" border="1" negativeBarBorderColorSameAsPositive="0">
              <x14:cfvo type="autoMin"/>
              <x14:cfvo type="autoMax"/>
              <x14:borderColor rgb="FF63C384"/>
              <x14:negativeFillColor rgb="FFFF0000"/>
              <x14:negativeBorderColor rgb="FFFF0000"/>
              <x14:axisColor rgb="FF000000"/>
            </x14:dataBar>
          </x14:cfRule>
          <xm:sqref>C34:C38</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BDF4B1F-476C-4891-9CC0-45215FD48C6E}">
          <x14:formula1>
            <xm:f>List_Options!$C$1:$C$2</xm:f>
          </x14:formula1>
          <xm:sqref>H8:H14</xm:sqref>
        </x14:dataValidation>
        <x14:dataValidation type="list" allowBlank="1" showInputMessage="1" showErrorMessage="1" xr:uid="{239B3451-8023-459C-8C21-AC1C739AB495}">
          <x14:formula1>
            <xm:f>List_Options!$B$2:$B$10</xm:f>
          </x14:formula1>
          <xm:sqref>B8</xm:sqref>
        </x14:dataValidation>
        <x14:dataValidation type="list" allowBlank="1" showInputMessage="1" showErrorMessage="1" xr:uid="{0B3BFD6A-D975-4538-AD92-012F5C69C3F0}">
          <x14:formula1>
            <xm:f>List_Options!$A$2:$A$9</xm:f>
          </x14:formula1>
          <xm:sqref>B7</xm:sqref>
        </x14:dataValidation>
        <x14:dataValidation type="list" allowBlank="1" showInputMessage="1" showErrorMessage="1" xr:uid="{2F69F4F7-D44E-4F14-9B3F-57B0787BAF9F}">
          <x14:formula1>
            <xm:f>List_Options!$E$1:$E$19</xm:f>
          </x14:formula1>
          <xm:sqref>E12:E13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59E05-3526-46B0-8EDF-9AE249AF531D}">
  <sheetPr>
    <tabColor rgb="FF105BD8"/>
  </sheetPr>
  <dimension ref="A1:W186"/>
  <sheetViews>
    <sheetView showGridLines="0" zoomScale="70" zoomScaleNormal="70" workbookViewId="0">
      <selection activeCell="A23" sqref="A23:E30"/>
    </sheetView>
  </sheetViews>
  <sheetFormatPr defaultColWidth="8.88671875" defaultRowHeight="13.8" x14ac:dyDescent="0.25"/>
  <cols>
    <col min="1" max="1" width="54.33203125" style="130" bestFit="1" customWidth="1"/>
    <col min="2" max="2" width="23.21875" style="130" bestFit="1" customWidth="1"/>
    <col min="3" max="3" width="23.44140625" style="130" bestFit="1" customWidth="1"/>
    <col min="4" max="4" width="16.88671875" style="130" bestFit="1" customWidth="1"/>
    <col min="5" max="5" width="23.88671875" style="130" customWidth="1"/>
    <col min="6" max="8" width="20.21875" style="130" customWidth="1"/>
    <col min="9" max="9" width="24.109375" style="130" customWidth="1"/>
    <col min="10" max="10" width="22.109375" style="130" customWidth="1"/>
    <col min="11" max="11" width="24" style="130" customWidth="1"/>
    <col min="12" max="12" width="20.21875" style="130" customWidth="1"/>
    <col min="13" max="13" width="14.33203125" style="130" customWidth="1"/>
    <col min="14" max="14" width="21.21875" style="130" customWidth="1"/>
    <col min="15" max="15" width="24.44140625" style="130" customWidth="1"/>
    <col min="16" max="16" width="21.6640625" style="130" customWidth="1"/>
    <col min="17" max="17" width="22.88671875" style="130" customWidth="1"/>
    <col min="18" max="18" width="13.21875" style="130" customWidth="1"/>
    <col min="19" max="19" width="9.5546875" style="130" bestFit="1" customWidth="1"/>
    <col min="20" max="20" width="31.33203125" style="130" customWidth="1"/>
    <col min="21" max="21" width="22.33203125" style="130" customWidth="1"/>
    <col min="22" max="22" width="20.88671875" style="130" bestFit="1" customWidth="1"/>
    <col min="23" max="23" width="11.21875" style="130" bestFit="1" customWidth="1"/>
    <col min="24" max="16384" width="8.88671875" style="130"/>
  </cols>
  <sheetData>
    <row r="1" spans="1:22" s="127" customFormat="1" x14ac:dyDescent="0.25">
      <c r="A1" s="133"/>
      <c r="B1" s="13"/>
      <c r="C1" s="133"/>
      <c r="D1" s="133"/>
      <c r="E1" s="133"/>
      <c r="F1" s="133"/>
      <c r="G1" s="134"/>
      <c r="H1" s="133"/>
      <c r="I1" s="133"/>
      <c r="J1" s="133"/>
      <c r="K1" s="133"/>
      <c r="M1" s="133"/>
      <c r="N1" s="133"/>
      <c r="O1" s="133"/>
      <c r="P1" s="133"/>
      <c r="Q1" s="133"/>
      <c r="R1" s="133"/>
    </row>
    <row r="2" spans="1:22" s="128" customFormat="1" x14ac:dyDescent="0.25">
      <c r="A2" s="461" t="s">
        <v>480</v>
      </c>
      <c r="B2" s="461"/>
      <c r="C2" s="461"/>
      <c r="D2" s="461"/>
      <c r="E2" s="461"/>
      <c r="F2" s="461"/>
      <c r="G2" s="461"/>
      <c r="H2" s="461"/>
      <c r="I2" s="461"/>
      <c r="J2" s="461"/>
      <c r="K2" s="461"/>
      <c r="L2" s="461"/>
      <c r="M2" s="461"/>
      <c r="N2" s="461"/>
      <c r="O2" s="461"/>
    </row>
    <row r="4" spans="1:22" s="201" customFormat="1" ht="15" customHeight="1" thickBot="1" x14ac:dyDescent="0.3">
      <c r="A4" s="467" t="s">
        <v>473</v>
      </c>
      <c r="B4" s="467"/>
      <c r="C4" s="60"/>
      <c r="D4" s="467" t="s">
        <v>472</v>
      </c>
      <c r="E4" s="467"/>
      <c r="F4" s="60"/>
      <c r="G4" s="298"/>
      <c r="J4" s="466" t="s">
        <v>488</v>
      </c>
      <c r="K4" s="466"/>
      <c r="L4" s="466"/>
      <c r="N4" s="492" t="s">
        <v>499</v>
      </c>
      <c r="O4" s="492"/>
      <c r="P4" s="492"/>
      <c r="Q4" s="492"/>
      <c r="S4" s="492" t="s">
        <v>500</v>
      </c>
      <c r="T4" s="492"/>
      <c r="U4" s="492"/>
      <c r="V4" s="492"/>
    </row>
    <row r="5" spans="1:22" s="201" customFormat="1" ht="14.4" x14ac:dyDescent="0.3">
      <c r="A5" s="317" t="s">
        <v>455</v>
      </c>
      <c r="B5" s="319" t="s">
        <v>331</v>
      </c>
      <c r="C5" s="145"/>
      <c r="D5" s="317" t="s">
        <v>455</v>
      </c>
      <c r="E5" s="319" t="s">
        <v>331</v>
      </c>
      <c r="F5" s="2"/>
      <c r="G5" s="303" t="s">
        <v>474</v>
      </c>
      <c r="J5" s="487" t="s">
        <v>82</v>
      </c>
      <c r="K5" s="488"/>
      <c r="L5" s="490" t="s">
        <v>486</v>
      </c>
      <c r="N5" s="487" t="str">
        <f>Current!I1</f>
        <v>Use Case</v>
      </c>
      <c r="O5" s="488"/>
      <c r="P5" s="488" t="s">
        <v>495</v>
      </c>
      <c r="Q5" s="490" t="s">
        <v>496</v>
      </c>
      <c r="S5" s="487" t="str">
        <f>Current!N1</f>
        <v>Code</v>
      </c>
      <c r="T5" s="488"/>
      <c r="U5" s="488" t="s">
        <v>497</v>
      </c>
      <c r="V5" s="490" t="s">
        <v>498</v>
      </c>
    </row>
    <row r="6" spans="1:22" s="201" customFormat="1" ht="14.4" x14ac:dyDescent="0.3">
      <c r="A6" s="313" t="s">
        <v>329</v>
      </c>
      <c r="B6" s="299" t="s">
        <v>552</v>
      </c>
      <c r="C6" s="145"/>
      <c r="D6" s="313" t="s">
        <v>329</v>
      </c>
      <c r="E6" s="296">
        <v>50</v>
      </c>
      <c r="F6" s="2"/>
      <c r="G6" s="303" t="s">
        <v>470</v>
      </c>
      <c r="J6" s="489"/>
      <c r="K6" s="481"/>
      <c r="L6" s="491"/>
      <c r="N6" s="489"/>
      <c r="O6" s="481"/>
      <c r="P6" s="481"/>
      <c r="Q6" s="491"/>
      <c r="S6" s="489"/>
      <c r="T6" s="481"/>
      <c r="U6" s="481"/>
      <c r="V6" s="491"/>
    </row>
    <row r="7" spans="1:22" s="201" customFormat="1" ht="15" thickBot="1" x14ac:dyDescent="0.35">
      <c r="A7" s="302" t="s">
        <v>330</v>
      </c>
      <c r="B7" s="300" t="s">
        <v>468</v>
      </c>
      <c r="C7" s="145"/>
      <c r="D7" s="302" t="s">
        <v>330</v>
      </c>
      <c r="E7" s="297">
        <v>80</v>
      </c>
      <c r="F7" s="2"/>
      <c r="G7" s="303" t="s">
        <v>471</v>
      </c>
      <c r="J7" s="486" t="s">
        <v>43</v>
      </c>
      <c r="K7" s="482"/>
      <c r="L7" s="345" t="s">
        <v>485</v>
      </c>
      <c r="N7" s="486" t="s">
        <v>43</v>
      </c>
      <c r="O7" s="482"/>
      <c r="P7" s="203">
        <f>Current!L2</f>
        <v>462555.13333333336</v>
      </c>
      <c r="Q7" s="348">
        <f>P7</f>
        <v>462555.13333333336</v>
      </c>
      <c r="S7" s="486" t="s">
        <v>43</v>
      </c>
      <c r="T7" s="482"/>
      <c r="U7" s="203">
        <f>Current!Y2</f>
        <v>2513719</v>
      </c>
      <c r="V7" s="348">
        <f>U7</f>
        <v>2513719</v>
      </c>
    </row>
    <row r="8" spans="1:22" s="201" customFormat="1" ht="14.4" x14ac:dyDescent="0.3">
      <c r="A8" s="145"/>
      <c r="B8" s="145"/>
      <c r="C8" s="63"/>
      <c r="D8" s="145"/>
      <c r="E8" s="2"/>
      <c r="F8" s="2"/>
      <c r="G8" s="2"/>
      <c r="J8" s="486" t="s">
        <v>41</v>
      </c>
      <c r="K8" s="482"/>
      <c r="L8" s="345" t="s">
        <v>485</v>
      </c>
      <c r="N8" s="486" t="s">
        <v>41</v>
      </c>
      <c r="O8" s="482"/>
      <c r="P8" s="203">
        <f>Current!L3</f>
        <v>659419.18333333335</v>
      </c>
      <c r="Q8" s="348">
        <f t="shared" ref="Q8:Q13" si="0">P8</f>
        <v>659419.18333333335</v>
      </c>
      <c r="S8" s="486" t="s">
        <v>41</v>
      </c>
      <c r="T8" s="482"/>
      <c r="U8" s="203">
        <f>Current!Y3</f>
        <v>4379061</v>
      </c>
      <c r="V8" s="348">
        <f t="shared" ref="V8:V13" si="1">U8</f>
        <v>4379061</v>
      </c>
    </row>
    <row r="9" spans="1:22" s="201" customFormat="1" ht="15" thickBot="1" x14ac:dyDescent="0.35">
      <c r="A9" s="467" t="s">
        <v>475</v>
      </c>
      <c r="B9" s="467"/>
      <c r="C9" s="63"/>
      <c r="D9" s="145"/>
      <c r="E9" s="2"/>
      <c r="F9" s="2"/>
      <c r="G9" s="2"/>
      <c r="J9" s="486" t="s">
        <v>40</v>
      </c>
      <c r="K9" s="482"/>
      <c r="L9" s="345" t="s">
        <v>485</v>
      </c>
      <c r="N9" s="486" t="s">
        <v>40</v>
      </c>
      <c r="O9" s="482"/>
      <c r="P9" s="203">
        <f>Current!L4</f>
        <v>146979.16666666669</v>
      </c>
      <c r="Q9" s="348">
        <f t="shared" si="0"/>
        <v>146979.16666666669</v>
      </c>
      <c r="S9" s="486" t="s">
        <v>40</v>
      </c>
      <c r="T9" s="482"/>
      <c r="U9" s="203">
        <f>Current!Y4</f>
        <v>437</v>
      </c>
      <c r="V9" s="348">
        <f t="shared" si="1"/>
        <v>437</v>
      </c>
    </row>
    <row r="10" spans="1:22" s="201" customFormat="1" ht="14.4" x14ac:dyDescent="0.3">
      <c r="A10" s="317" t="s">
        <v>455</v>
      </c>
      <c r="B10" s="319" t="s">
        <v>331</v>
      </c>
      <c r="C10" s="63"/>
      <c r="D10" s="145"/>
      <c r="E10" s="2"/>
      <c r="F10" s="2"/>
      <c r="G10" s="2"/>
      <c r="J10" s="486" t="s">
        <v>80</v>
      </c>
      <c r="K10" s="482"/>
      <c r="L10" s="345" t="s">
        <v>485</v>
      </c>
      <c r="N10" s="486" t="s">
        <v>80</v>
      </c>
      <c r="O10" s="482"/>
      <c r="P10" s="203">
        <f>Current!L5</f>
        <v>0</v>
      </c>
      <c r="Q10" s="348">
        <f t="shared" si="0"/>
        <v>0</v>
      </c>
      <c r="S10" s="486" t="s">
        <v>80</v>
      </c>
      <c r="T10" s="482"/>
      <c r="U10" s="203">
        <f>Current!Y5</f>
        <v>572</v>
      </c>
      <c r="V10" s="348">
        <f t="shared" si="1"/>
        <v>572</v>
      </c>
    </row>
    <row r="11" spans="1:22" s="201" customFormat="1" ht="14.4" x14ac:dyDescent="0.3">
      <c r="A11" s="313" t="s">
        <v>329</v>
      </c>
      <c r="B11" s="286" t="b">
        <f>IF(B6="User-defined price",E6,IF(B6="19 $/Min (NASA MOCS)",19,IF(B6="Scenario 1 - 2 suppliers",50, IF(B6="Scenario 2 - 4 suppliers",75,IF(B6="Scenario 3 - 6 suppliers",100)))))</f>
        <v>0</v>
      </c>
      <c r="C11" s="63"/>
      <c r="D11" s="145"/>
      <c r="E11" s="2"/>
      <c r="F11" s="2"/>
      <c r="G11" s="2"/>
      <c r="J11" s="486" t="s">
        <v>44</v>
      </c>
      <c r="K11" s="482"/>
      <c r="L11" s="345" t="s">
        <v>485</v>
      </c>
      <c r="N11" s="486" t="s">
        <v>44</v>
      </c>
      <c r="O11" s="482"/>
      <c r="P11" s="203">
        <f>Current!L6</f>
        <v>0</v>
      </c>
      <c r="Q11" s="348">
        <f t="shared" si="0"/>
        <v>0</v>
      </c>
      <c r="S11" s="486" t="s">
        <v>44</v>
      </c>
      <c r="T11" s="482"/>
      <c r="U11" s="203">
        <f>Current!Y6</f>
        <v>8188</v>
      </c>
      <c r="V11" s="348">
        <f t="shared" si="1"/>
        <v>8188</v>
      </c>
    </row>
    <row r="12" spans="1:22" s="201" customFormat="1" ht="15" thickBot="1" x14ac:dyDescent="0.35">
      <c r="A12" s="302" t="s">
        <v>330</v>
      </c>
      <c r="B12" s="304">
        <f>IF(B7="User-defined price",E7,IF(B7="91 $/Min (NASA MOCS)",91,IF(B7="Scenario 1 - 2 suppliers",100, IF(B7="Scenario 2 - 4 suppliers",150,IF(B7="Scenario 3 - 6 suppliers",200)))))</f>
        <v>91</v>
      </c>
      <c r="C12" s="60"/>
      <c r="D12" s="145"/>
      <c r="E12" s="60"/>
      <c r="F12" s="60"/>
      <c r="G12" s="60"/>
      <c r="J12" s="486" t="s">
        <v>81</v>
      </c>
      <c r="K12" s="482"/>
      <c r="L12" s="345" t="s">
        <v>485</v>
      </c>
      <c r="N12" s="486" t="s">
        <v>81</v>
      </c>
      <c r="O12" s="482"/>
      <c r="P12" s="203">
        <f>Current!L7</f>
        <v>0</v>
      </c>
      <c r="Q12" s="348">
        <f t="shared" si="0"/>
        <v>0</v>
      </c>
      <c r="S12" s="486" t="s">
        <v>81</v>
      </c>
      <c r="T12" s="482"/>
      <c r="U12" s="203">
        <f>Current!Y7</f>
        <v>0</v>
      </c>
      <c r="V12" s="348">
        <f t="shared" si="1"/>
        <v>0</v>
      </c>
    </row>
    <row r="13" spans="1:22" s="201" customFormat="1" ht="14.4" customHeight="1" thickBot="1" x14ac:dyDescent="0.3">
      <c r="J13" s="484" t="s">
        <v>45</v>
      </c>
      <c r="K13" s="485"/>
      <c r="L13" s="346" t="s">
        <v>485</v>
      </c>
      <c r="N13" s="484" t="s">
        <v>45</v>
      </c>
      <c r="O13" s="485"/>
      <c r="P13" s="347">
        <f>Current!L8</f>
        <v>0</v>
      </c>
      <c r="Q13" s="348">
        <f t="shared" si="0"/>
        <v>0</v>
      </c>
      <c r="S13" s="484" t="s">
        <v>45</v>
      </c>
      <c r="T13" s="485"/>
      <c r="U13" s="347">
        <f>Current!Y8</f>
        <v>3344</v>
      </c>
      <c r="V13" s="348">
        <f t="shared" si="1"/>
        <v>3344</v>
      </c>
    </row>
    <row r="15" spans="1:22" ht="16.2" customHeight="1" x14ac:dyDescent="0.3">
      <c r="A15" s="177" t="s">
        <v>312</v>
      </c>
      <c r="D15" s="483" t="s">
        <v>494</v>
      </c>
      <c r="E15" s="483"/>
      <c r="F15" s="483"/>
    </row>
    <row r="16" spans="1:22" s="129" customFormat="1" ht="14.4" customHeight="1" x14ac:dyDescent="0.3">
      <c r="A16" s="482" t="s">
        <v>301</v>
      </c>
      <c r="B16" s="482"/>
      <c r="C16" s="481" t="s">
        <v>489</v>
      </c>
      <c r="D16" s="481" t="s">
        <v>490</v>
      </c>
      <c r="E16" s="481"/>
      <c r="F16" s="481"/>
      <c r="G16" s="481" t="s">
        <v>490</v>
      </c>
      <c r="H16" s="481"/>
      <c r="I16" s="481"/>
      <c r="M16" s="2"/>
      <c r="N16"/>
      <c r="O16"/>
      <c r="P16" s="2"/>
      <c r="Q16" s="2"/>
      <c r="S16" s="175"/>
    </row>
    <row r="17" spans="1:19" s="128" customFormat="1" ht="14.4" x14ac:dyDescent="0.3">
      <c r="A17" s="482"/>
      <c r="B17" s="482"/>
      <c r="C17" s="481"/>
      <c r="D17" s="321" t="s">
        <v>7</v>
      </c>
      <c r="E17" s="321" t="s">
        <v>76</v>
      </c>
      <c r="F17" s="321" t="s">
        <v>6</v>
      </c>
      <c r="G17" s="321" t="s">
        <v>491</v>
      </c>
      <c r="H17" s="321" t="s">
        <v>492</v>
      </c>
      <c r="I17" s="321" t="s">
        <v>493</v>
      </c>
      <c r="M17" s="2"/>
      <c r="N17"/>
      <c r="O17"/>
      <c r="P17" s="2"/>
      <c r="Q17" s="2"/>
      <c r="S17" s="175"/>
    </row>
    <row r="18" spans="1:19" ht="14.4" x14ac:dyDescent="0.3">
      <c r="A18" s="47" t="s">
        <v>74</v>
      </c>
      <c r="B18" s="320" t="s">
        <v>75</v>
      </c>
      <c r="C18" s="149">
        <f>Current!J12</f>
        <v>66</v>
      </c>
      <c r="D18" s="344">
        <v>49</v>
      </c>
      <c r="E18" s="344">
        <v>67</v>
      </c>
      <c r="F18" s="344">
        <v>85</v>
      </c>
      <c r="G18" s="135">
        <f>(D18-$B$63)/$B$63</f>
        <v>-9.2592592592592587E-2</v>
      </c>
      <c r="H18" s="135">
        <f>(E18-$B$63)/$B$63</f>
        <v>0.24074074074074073</v>
      </c>
      <c r="I18" s="135">
        <f>(F18-$B$63)/$B$63</f>
        <v>0.57407407407407407</v>
      </c>
      <c r="M18" s="2"/>
      <c r="N18"/>
      <c r="O18"/>
      <c r="P18" s="2"/>
      <c r="Q18" s="2"/>
      <c r="S18" s="175"/>
    </row>
    <row r="19" spans="1:19" x14ac:dyDescent="0.25">
      <c r="A19" s="47"/>
      <c r="B19" s="320" t="s">
        <v>77</v>
      </c>
      <c r="C19" s="149">
        <f>Current!W12-Current!W8</f>
        <v>65</v>
      </c>
      <c r="D19" s="344">
        <v>49</v>
      </c>
      <c r="E19" s="344">
        <v>67</v>
      </c>
      <c r="F19" s="344">
        <v>85</v>
      </c>
      <c r="G19" s="135">
        <f>(D19-$B$75)/$B$75</f>
        <v>-0.24615384615384617</v>
      </c>
      <c r="H19" s="135">
        <f>(E19-$B$75)/$B$75</f>
        <v>3.0769230769230771E-2</v>
      </c>
      <c r="I19" s="135">
        <f>(F19-$B$75)/$B$75</f>
        <v>0.30769230769230771</v>
      </c>
      <c r="M19" s="2"/>
      <c r="N19" s="2"/>
      <c r="O19" s="2"/>
      <c r="P19" s="2"/>
      <c r="Q19" s="2"/>
      <c r="S19" s="175"/>
    </row>
    <row r="20" spans="1:19" x14ac:dyDescent="0.25">
      <c r="A20" s="47"/>
      <c r="B20" s="320" t="s">
        <v>303</v>
      </c>
      <c r="C20" s="149">
        <f>Current!W8</f>
        <v>2</v>
      </c>
      <c r="D20" s="344">
        <v>20</v>
      </c>
      <c r="E20" s="344">
        <v>32</v>
      </c>
      <c r="F20" s="344">
        <v>45</v>
      </c>
      <c r="G20" s="135">
        <f>(D20-($B$82))/($B$82)</f>
        <v>9</v>
      </c>
      <c r="H20" s="135">
        <f>(E20-($B$82))/($B$82)</f>
        <v>15</v>
      </c>
      <c r="I20" s="135">
        <f>(F20-($B$82))/($B$82)</f>
        <v>21.5</v>
      </c>
      <c r="M20" s="2"/>
      <c r="N20" s="2"/>
      <c r="O20" s="2"/>
      <c r="P20" s="2"/>
      <c r="Q20" s="2"/>
      <c r="S20" s="175"/>
    </row>
    <row r="21" spans="1:19" customFormat="1" ht="14.4" x14ac:dyDescent="0.3"/>
    <row r="22" spans="1:19" customFormat="1" ht="15" thickBot="1" x14ac:dyDescent="0.35"/>
    <row r="23" spans="1:19" ht="14.4" customHeight="1" x14ac:dyDescent="0.3">
      <c r="A23" s="452" t="s">
        <v>308</v>
      </c>
      <c r="B23" s="453"/>
      <c r="C23" s="453"/>
      <c r="D23" s="453"/>
      <c r="E23" s="454"/>
      <c r="G23" s="452" t="s">
        <v>309</v>
      </c>
      <c r="H23" s="453"/>
      <c r="I23" s="453"/>
      <c r="J23" s="453"/>
      <c r="K23" s="454"/>
      <c r="M23"/>
      <c r="N23"/>
      <c r="O23"/>
      <c r="P23"/>
      <c r="Q23"/>
    </row>
    <row r="24" spans="1:19" ht="13.8" customHeight="1" x14ac:dyDescent="0.3">
      <c r="A24" s="265" t="s">
        <v>321</v>
      </c>
      <c r="B24" s="266" t="s">
        <v>322</v>
      </c>
      <c r="C24" s="261" t="s">
        <v>7</v>
      </c>
      <c r="D24" s="261" t="s">
        <v>76</v>
      </c>
      <c r="E24" s="171" t="s">
        <v>6</v>
      </c>
      <c r="G24" s="265" t="s">
        <v>321</v>
      </c>
      <c r="H24" s="266" t="s">
        <v>322</v>
      </c>
      <c r="I24" s="261" t="s">
        <v>7</v>
      </c>
      <c r="J24" s="261" t="s">
        <v>76</v>
      </c>
      <c r="K24" s="171" t="s">
        <v>6</v>
      </c>
      <c r="M24"/>
      <c r="N24"/>
      <c r="O24"/>
      <c r="P24"/>
      <c r="Q24"/>
    </row>
    <row r="25" spans="1:19" ht="27.6" x14ac:dyDescent="0.3">
      <c r="A25" s="462" t="s">
        <v>319</v>
      </c>
      <c r="B25" s="262" t="s">
        <v>323</v>
      </c>
      <c r="C25" s="180">
        <f>G63</f>
        <v>24034347.583333332</v>
      </c>
      <c r="D25" s="180">
        <f>H63</f>
        <v>32632388.733333334</v>
      </c>
      <c r="E25" s="180">
        <f>I63</f>
        <v>41889849.066666663</v>
      </c>
      <c r="G25" s="462" t="s">
        <v>319</v>
      </c>
      <c r="H25" s="262" t="s">
        <v>323</v>
      </c>
      <c r="I25" s="180">
        <f>J63</f>
        <v>0</v>
      </c>
      <c r="J25" s="180">
        <f>K63</f>
        <v>0</v>
      </c>
      <c r="K25" s="180">
        <f>L63</f>
        <v>0</v>
      </c>
      <c r="M25"/>
      <c r="N25"/>
      <c r="O25"/>
      <c r="P25"/>
      <c r="Q25"/>
    </row>
    <row r="26" spans="1:19" ht="27.6" x14ac:dyDescent="0.3">
      <c r="A26" s="462"/>
      <c r="B26" s="262" t="s">
        <v>324</v>
      </c>
      <c r="C26" s="180">
        <f>G75</f>
        <v>118449268</v>
      </c>
      <c r="D26" s="180">
        <f>H75</f>
        <v>161685103</v>
      </c>
      <c r="E26" s="180">
        <f>I75</f>
        <v>204932470</v>
      </c>
      <c r="G26" s="462"/>
      <c r="H26" s="262" t="s">
        <v>324</v>
      </c>
      <c r="I26" s="180">
        <f>J75</f>
        <v>10778883388</v>
      </c>
      <c r="J26" s="180">
        <f>K75</f>
        <v>14713344373</v>
      </c>
      <c r="K26" s="180">
        <f>L75</f>
        <v>18648854770</v>
      </c>
      <c r="M26"/>
      <c r="N26"/>
      <c r="O26"/>
      <c r="P26"/>
      <c r="Q26"/>
    </row>
    <row r="27" spans="1:19" ht="27.6" customHeight="1" x14ac:dyDescent="0.3">
      <c r="A27" s="462"/>
      <c r="B27" s="262" t="s">
        <v>325</v>
      </c>
      <c r="C27" s="180">
        <f>G82</f>
        <v>2138947.4626865671</v>
      </c>
      <c r="D27" s="180">
        <f>H82</f>
        <v>3422315.9402985075</v>
      </c>
      <c r="E27" s="180">
        <f>I82</f>
        <v>4812631.7910447763</v>
      </c>
      <c r="G27" s="462"/>
      <c r="H27" s="262" t="s">
        <v>325</v>
      </c>
      <c r="I27" s="180">
        <f>J82</f>
        <v>194644219.10447761</v>
      </c>
      <c r="J27" s="180">
        <f>K82</f>
        <v>311430750.56716418</v>
      </c>
      <c r="K27" s="180">
        <f>L82</f>
        <v>437949492.98507464</v>
      </c>
      <c r="M27"/>
      <c r="N27"/>
      <c r="O27"/>
      <c r="P27"/>
      <c r="Q27"/>
    </row>
    <row r="28" spans="1:19" ht="27.6" x14ac:dyDescent="0.3">
      <c r="A28" s="462" t="s">
        <v>320</v>
      </c>
      <c r="B28" s="262" t="s">
        <v>326</v>
      </c>
      <c r="C28" s="180">
        <f>G106</f>
        <v>939965.54320987663</v>
      </c>
      <c r="D28" s="180">
        <f>H106</f>
        <v>1362950.0376543212</v>
      </c>
      <c r="E28" s="180">
        <f>I106</f>
        <v>1785934.5320987657</v>
      </c>
      <c r="G28" s="462" t="s">
        <v>320</v>
      </c>
      <c r="H28" s="262" t="s">
        <v>326</v>
      </c>
      <c r="I28" s="180">
        <f>J106</f>
        <v>0</v>
      </c>
      <c r="J28" s="180">
        <f>K106</f>
        <v>0</v>
      </c>
      <c r="K28" s="180">
        <f>L106</f>
        <v>0</v>
      </c>
      <c r="M28"/>
      <c r="N28"/>
      <c r="O28"/>
      <c r="P28"/>
      <c r="Q28"/>
    </row>
    <row r="29" spans="1:19" ht="28.2" thickBot="1" x14ac:dyDescent="0.35">
      <c r="A29" s="463"/>
      <c r="B29" s="182" t="s">
        <v>327</v>
      </c>
      <c r="C29" s="183">
        <f>G118</f>
        <v>1127958.651851852</v>
      </c>
      <c r="D29" s="183">
        <f>H118</f>
        <v>1621440.562037037</v>
      </c>
      <c r="E29" s="183">
        <f>I118</f>
        <v>2138421.6108024688</v>
      </c>
      <c r="G29" s="463"/>
      <c r="H29" s="182" t="s">
        <v>327</v>
      </c>
      <c r="I29" s="183">
        <f>J118</f>
        <v>102644237.31851853</v>
      </c>
      <c r="J29" s="183">
        <f>K118</f>
        <v>147551091.14537036</v>
      </c>
      <c r="K29" s="183">
        <f>L118</f>
        <v>194596366.58302474</v>
      </c>
      <c r="M29"/>
      <c r="N29"/>
      <c r="O29"/>
      <c r="P29"/>
      <c r="Q29"/>
    </row>
    <row r="30" spans="1:19" ht="15" thickBot="1" x14ac:dyDescent="0.35">
      <c r="B30" s="182" t="s">
        <v>84</v>
      </c>
      <c r="C30" s="184">
        <f>SUM(C25:C29)</f>
        <v>146690487.24108166</v>
      </c>
      <c r="D30" s="184">
        <f>SUM(D25:D29)</f>
        <v>200724198.27332321</v>
      </c>
      <c r="E30" s="185">
        <f>SUM(E25:E29)</f>
        <v>255559307.00061268</v>
      </c>
      <c r="H30" s="182" t="s">
        <v>84</v>
      </c>
      <c r="I30" s="184">
        <f>SUM(I25:I29)</f>
        <v>11076171844.422995</v>
      </c>
      <c r="J30" s="184">
        <f>SUM(J25:J29)</f>
        <v>15172326214.712534</v>
      </c>
      <c r="K30" s="185">
        <f>SUM(K25:K29)</f>
        <v>19281400629.568096</v>
      </c>
      <c r="M30" s="145"/>
      <c r="N30" s="145"/>
      <c r="O30" s="145"/>
      <c r="P30" s="145"/>
      <c r="Q30" s="145"/>
    </row>
    <row r="31" spans="1:19" customFormat="1" ht="14.4" x14ac:dyDescent="0.3"/>
    <row r="32" spans="1:19" s="145" customFormat="1" ht="14.4" x14ac:dyDescent="0.3"/>
    <row r="33" spans="1:11" ht="14.4" x14ac:dyDescent="0.3">
      <c r="A33" s="145"/>
      <c r="B33" s="145"/>
      <c r="C33" s="145"/>
      <c r="D33" s="145"/>
      <c r="E33" s="145"/>
      <c r="F33" s="145"/>
      <c r="G33" s="145"/>
      <c r="H33" s="145"/>
    </row>
    <row r="34" spans="1:11" ht="14.4" x14ac:dyDescent="0.3">
      <c r="A34" s="145"/>
      <c r="B34" s="145"/>
      <c r="C34" s="145"/>
      <c r="D34" s="145"/>
      <c r="E34" s="145"/>
      <c r="F34" s="145"/>
      <c r="G34" s="145"/>
      <c r="H34" s="145"/>
    </row>
    <row r="35" spans="1:11" ht="14.4" x14ac:dyDescent="0.3">
      <c r="A35" s="145"/>
      <c r="B35" s="145"/>
      <c r="C35" s="145"/>
      <c r="D35" s="145"/>
      <c r="E35" s="145"/>
      <c r="F35" s="145"/>
      <c r="G35" s="145"/>
      <c r="H35" s="145"/>
    </row>
    <row r="36" spans="1:11" ht="14.4" x14ac:dyDescent="0.3">
      <c r="A36" s="145"/>
      <c r="B36" s="145"/>
      <c r="C36" s="145"/>
      <c r="D36" s="145"/>
      <c r="E36" s="145"/>
      <c r="F36" s="145"/>
      <c r="G36" s="145"/>
      <c r="H36" s="145"/>
    </row>
    <row r="37" spans="1:11" ht="14.4" x14ac:dyDescent="0.3">
      <c r="A37" s="145"/>
      <c r="B37" s="145"/>
      <c r="C37" s="145"/>
      <c r="D37" s="145"/>
      <c r="E37" s="145"/>
      <c r="F37" s="145"/>
      <c r="G37" s="145"/>
      <c r="H37" s="145"/>
    </row>
    <row r="38" spans="1:11" ht="14.4" x14ac:dyDescent="0.3">
      <c r="A38" s="145"/>
      <c r="B38" s="145"/>
      <c r="C38" s="145"/>
      <c r="D38" s="145"/>
      <c r="E38" s="145"/>
      <c r="F38" s="145"/>
      <c r="G38" s="145"/>
      <c r="H38" s="145"/>
    </row>
    <row r="39" spans="1:11" ht="14.4" x14ac:dyDescent="0.3">
      <c r="A39" s="145"/>
      <c r="B39" s="145"/>
      <c r="C39" s="145"/>
      <c r="D39" s="145"/>
      <c r="E39" s="145"/>
      <c r="F39" s="145"/>
      <c r="G39" s="145"/>
      <c r="H39" s="145"/>
    </row>
    <row r="40" spans="1:11" ht="14.4" x14ac:dyDescent="0.3">
      <c r="A40" s="145"/>
      <c r="B40" s="145"/>
      <c r="C40" s="145"/>
      <c r="D40" s="145"/>
      <c r="E40" s="145"/>
      <c r="F40" s="145"/>
      <c r="G40" s="145"/>
      <c r="H40" s="145"/>
      <c r="J40" s="2"/>
      <c r="K40" s="2"/>
    </row>
    <row r="41" spans="1:11" ht="14.4" x14ac:dyDescent="0.3">
      <c r="A41" s="145"/>
      <c r="B41" s="145"/>
      <c r="C41" s="145"/>
      <c r="D41" s="145"/>
      <c r="E41" s="145"/>
      <c r="F41" s="145"/>
      <c r="G41" s="145"/>
      <c r="H41" s="145"/>
      <c r="J41" s="2"/>
      <c r="K41" s="2"/>
    </row>
    <row r="42" spans="1:11" ht="14.4" x14ac:dyDescent="0.3">
      <c r="A42" s="145"/>
      <c r="B42" s="145"/>
      <c r="C42" s="145"/>
      <c r="D42" s="145"/>
      <c r="E42" s="145"/>
      <c r="F42" s="145"/>
      <c r="G42" s="145"/>
      <c r="H42" s="145"/>
    </row>
    <row r="46" spans="1:11" ht="14.4" x14ac:dyDescent="0.3">
      <c r="B46" s="145"/>
      <c r="C46" s="145"/>
      <c r="D46" s="145"/>
      <c r="E46" s="145"/>
    </row>
    <row r="47" spans="1:11" ht="14.4" x14ac:dyDescent="0.3">
      <c r="B47" s="145"/>
      <c r="C47" s="145"/>
      <c r="D47" s="145"/>
      <c r="E47" s="145"/>
    </row>
    <row r="48" spans="1:11" ht="14.4" x14ac:dyDescent="0.3">
      <c r="B48" s="145"/>
      <c r="C48" s="145"/>
      <c r="D48" s="145"/>
      <c r="E48" s="145"/>
    </row>
    <row r="49" spans="1:23" ht="14.4" x14ac:dyDescent="0.3">
      <c r="B49" s="145"/>
      <c r="C49" s="145"/>
      <c r="D49" s="145"/>
      <c r="E49" s="145"/>
    </row>
    <row r="50" spans="1:23" ht="14.4" x14ac:dyDescent="0.3">
      <c r="B50" s="145"/>
      <c r="C50" s="145"/>
      <c r="D50" s="145"/>
      <c r="E50" s="145"/>
    </row>
    <row r="51" spans="1:23" ht="14.4" x14ac:dyDescent="0.3">
      <c r="B51" s="145"/>
      <c r="C51" s="145"/>
      <c r="D51" s="145"/>
      <c r="E51" s="145"/>
    </row>
    <row r="52" spans="1:23" ht="14.4" x14ac:dyDescent="0.3">
      <c r="B52" s="145"/>
      <c r="C52" s="145"/>
      <c r="D52" s="145"/>
      <c r="E52" s="145"/>
    </row>
    <row r="53" spans="1:23" ht="16.2" thickBot="1" x14ac:dyDescent="0.35">
      <c r="A53" s="177" t="s">
        <v>313</v>
      </c>
      <c r="Q53" s="2"/>
      <c r="R53" s="2"/>
      <c r="S53" s="2"/>
      <c r="T53" s="2"/>
      <c r="U53" s="2"/>
      <c r="V53" s="2"/>
      <c r="W53" s="2"/>
    </row>
    <row r="54" spans="1:23" ht="14.4" x14ac:dyDescent="0.3">
      <c r="A54" s="259" t="s">
        <v>89</v>
      </c>
      <c r="B54" s="468" t="s">
        <v>91</v>
      </c>
      <c r="C54" s="468"/>
      <c r="D54" s="468"/>
      <c r="E54" s="468"/>
      <c r="F54" s="468"/>
      <c r="G54" s="469" t="s">
        <v>308</v>
      </c>
      <c r="H54" s="469"/>
      <c r="I54" s="469"/>
      <c r="J54" s="469" t="s">
        <v>309</v>
      </c>
      <c r="K54" s="469"/>
      <c r="L54" s="469"/>
      <c r="M54"/>
      <c r="N54"/>
      <c r="O54"/>
      <c r="Q54" s="2"/>
      <c r="R54" s="2"/>
      <c r="S54" s="2"/>
      <c r="T54" s="2"/>
      <c r="U54" s="2"/>
      <c r="V54" s="2"/>
      <c r="W54" s="2"/>
    </row>
    <row r="55" spans="1:23" ht="14.4" x14ac:dyDescent="0.3">
      <c r="A55" s="260" t="str">
        <f>Current!I1</f>
        <v>Use Case</v>
      </c>
      <c r="B55" s="261" t="str">
        <f>Current!J1</f>
        <v>Count</v>
      </c>
      <c r="C55" s="261" t="s">
        <v>90</v>
      </c>
      <c r="D55" s="261" t="s">
        <v>7</v>
      </c>
      <c r="E55" s="261" t="s">
        <v>76</v>
      </c>
      <c r="F55" s="261" t="s">
        <v>6</v>
      </c>
      <c r="G55" s="261" t="s">
        <v>7</v>
      </c>
      <c r="H55" s="261" t="s">
        <v>76</v>
      </c>
      <c r="I55" s="261" t="s">
        <v>6</v>
      </c>
      <c r="J55" s="261" t="s">
        <v>7</v>
      </c>
      <c r="K55" s="261" t="s">
        <v>76</v>
      </c>
      <c r="L55" s="261" t="s">
        <v>6</v>
      </c>
      <c r="M55"/>
      <c r="N55"/>
      <c r="O55"/>
      <c r="Q55" s="2"/>
      <c r="R55" s="2"/>
      <c r="S55" s="2"/>
      <c r="T55" s="2"/>
      <c r="U55" s="2"/>
      <c r="V55" s="2"/>
      <c r="W55" s="2"/>
    </row>
    <row r="56" spans="1:23" ht="14.4" x14ac:dyDescent="0.3">
      <c r="A56" s="260" t="str">
        <f>Current!I2</f>
        <v>Human Space Flight</v>
      </c>
      <c r="B56" s="149">
        <f>Current!J2</f>
        <v>3</v>
      </c>
      <c r="C56" s="135">
        <f t="shared" ref="C56:C62" si="2">B56/$B$63</f>
        <v>5.5555555555555552E-2</v>
      </c>
      <c r="D56" s="158">
        <f t="shared" ref="D56:F59" si="3">ROUND($B56*(1+G$18),0)</f>
        <v>3</v>
      </c>
      <c r="E56" s="158">
        <f t="shared" si="3"/>
        <v>4</v>
      </c>
      <c r="F56" s="158">
        <f t="shared" si="3"/>
        <v>5</v>
      </c>
      <c r="G56" s="168">
        <f t="shared" ref="G56:G62" si="4">IF(L7="Yes",D56*Q7,"-")</f>
        <v>1387665.4000000001</v>
      </c>
      <c r="H56" s="168">
        <f t="shared" ref="H56:H62" si="5">IF(L7="Yes",E56*Q7,"-")</f>
        <v>1850220.5333333334</v>
      </c>
      <c r="I56" s="168">
        <f t="shared" ref="I56:I62" si="6">IF(L7="Yes",F56*Q7,"-")</f>
        <v>2312775.666666667</v>
      </c>
      <c r="J56" s="168">
        <f>IFERROR(G56*$B$11,"-")</f>
        <v>0</v>
      </c>
      <c r="K56" s="168">
        <f t="shared" ref="K56:L62" si="7">IFERROR(H56*$B$11,"-")</f>
        <v>0</v>
      </c>
      <c r="L56" s="168">
        <f t="shared" si="7"/>
        <v>0</v>
      </c>
      <c r="M56"/>
      <c r="N56"/>
      <c r="O56"/>
      <c r="S56" s="131"/>
    </row>
    <row r="57" spans="1:23" ht="14.4" x14ac:dyDescent="0.3">
      <c r="A57" s="260" t="str">
        <f>Current!I3</f>
        <v>Near Earth Robotic - LEO Science</v>
      </c>
      <c r="B57" s="149">
        <f>Current!J3</f>
        <v>34</v>
      </c>
      <c r="C57" s="135">
        <f t="shared" si="2"/>
        <v>0.62962962962962965</v>
      </c>
      <c r="D57" s="158">
        <f t="shared" si="3"/>
        <v>31</v>
      </c>
      <c r="E57" s="158">
        <f t="shared" si="3"/>
        <v>42</v>
      </c>
      <c r="F57" s="158">
        <f t="shared" si="3"/>
        <v>54</v>
      </c>
      <c r="G57" s="168">
        <f t="shared" si="4"/>
        <v>20441994.683333334</v>
      </c>
      <c r="H57" s="168">
        <f t="shared" si="5"/>
        <v>27695605.699999999</v>
      </c>
      <c r="I57" s="168">
        <f t="shared" si="6"/>
        <v>35608635.899999999</v>
      </c>
      <c r="J57" s="168">
        <f t="shared" ref="J57:J62" si="8">IFERROR(G57*$B$11,"-")</f>
        <v>0</v>
      </c>
      <c r="K57" s="168">
        <f t="shared" si="7"/>
        <v>0</v>
      </c>
      <c r="L57" s="168">
        <f>IFERROR(I57*$B$11,"-")</f>
        <v>0</v>
      </c>
      <c r="M57"/>
      <c r="N57"/>
      <c r="O57"/>
      <c r="S57" s="131"/>
    </row>
    <row r="58" spans="1:23" ht="14.4" x14ac:dyDescent="0.3">
      <c r="A58" s="260" t="str">
        <f>Current!I4</f>
        <v>Near Earth Robotic - GEO and Near Earth</v>
      </c>
      <c r="B58" s="149">
        <f>Current!J4</f>
        <v>17</v>
      </c>
      <c r="C58" s="135">
        <f t="shared" si="2"/>
        <v>0.31481481481481483</v>
      </c>
      <c r="D58" s="158">
        <f t="shared" si="3"/>
        <v>15</v>
      </c>
      <c r="E58" s="158">
        <f t="shared" si="3"/>
        <v>21</v>
      </c>
      <c r="F58" s="158">
        <f t="shared" si="3"/>
        <v>27</v>
      </c>
      <c r="G58" s="168">
        <f t="shared" si="4"/>
        <v>2204687.5000000005</v>
      </c>
      <c r="H58" s="168">
        <f t="shared" si="5"/>
        <v>3086562.5000000005</v>
      </c>
      <c r="I58" s="168">
        <f t="shared" si="6"/>
        <v>3968437.5000000005</v>
      </c>
      <c r="J58" s="168">
        <f t="shared" si="8"/>
        <v>0</v>
      </c>
      <c r="K58" s="168">
        <f t="shared" si="7"/>
        <v>0</v>
      </c>
      <c r="L58" s="168">
        <f t="shared" si="7"/>
        <v>0</v>
      </c>
      <c r="M58"/>
      <c r="N58"/>
      <c r="O58"/>
      <c r="S58" s="131"/>
    </row>
    <row r="59" spans="1:23" ht="14.4" x14ac:dyDescent="0.3">
      <c r="A59" s="260" t="str">
        <f>Current!I5</f>
        <v>Deep Space Robotic</v>
      </c>
      <c r="B59" s="149">
        <f>Current!J5</f>
        <v>0</v>
      </c>
      <c r="C59" s="135">
        <f t="shared" si="2"/>
        <v>0</v>
      </c>
      <c r="D59" s="158">
        <f t="shared" si="3"/>
        <v>0</v>
      </c>
      <c r="E59" s="158">
        <f t="shared" si="3"/>
        <v>0</v>
      </c>
      <c r="F59" s="158">
        <f t="shared" si="3"/>
        <v>0</v>
      </c>
      <c r="G59" s="168">
        <f t="shared" si="4"/>
        <v>0</v>
      </c>
      <c r="H59" s="168">
        <f t="shared" si="5"/>
        <v>0</v>
      </c>
      <c r="I59" s="168">
        <f t="shared" si="6"/>
        <v>0</v>
      </c>
      <c r="J59" s="168">
        <f t="shared" si="8"/>
        <v>0</v>
      </c>
      <c r="K59" s="168">
        <f t="shared" si="7"/>
        <v>0</v>
      </c>
      <c r="L59" s="168">
        <f t="shared" si="7"/>
        <v>0</v>
      </c>
      <c r="M59"/>
      <c r="N59"/>
      <c r="O59"/>
      <c r="S59" s="131"/>
    </row>
    <row r="60" spans="1:23" ht="14.4" x14ac:dyDescent="0.3">
      <c r="A60" s="260" t="str">
        <f>Current!I6</f>
        <v>Near Earth Robotic - Low Latency &amp; Complex Needs</v>
      </c>
      <c r="B60" s="149">
        <f>Current!J6</f>
        <v>0</v>
      </c>
      <c r="C60" s="135">
        <f t="shared" si="2"/>
        <v>0</v>
      </c>
      <c r="D60" s="158">
        <f t="shared" ref="D60:E62" si="9">ROUND($B60*(1+G$18),0)</f>
        <v>0</v>
      </c>
      <c r="E60" s="158">
        <f t="shared" si="9"/>
        <v>0</v>
      </c>
      <c r="F60" s="158">
        <f>ROUNDUP($B60*(1+I$18),0)</f>
        <v>0</v>
      </c>
      <c r="G60" s="168">
        <f t="shared" si="4"/>
        <v>0</v>
      </c>
      <c r="H60" s="168">
        <f t="shared" si="5"/>
        <v>0</v>
      </c>
      <c r="I60" s="168">
        <f t="shared" si="6"/>
        <v>0</v>
      </c>
      <c r="J60" s="168">
        <f t="shared" si="8"/>
        <v>0</v>
      </c>
      <c r="K60" s="168">
        <f t="shared" si="7"/>
        <v>0</v>
      </c>
      <c r="L60" s="168">
        <f t="shared" si="7"/>
        <v>0</v>
      </c>
      <c r="M60"/>
      <c r="N60"/>
      <c r="O60"/>
      <c r="S60" s="131"/>
    </row>
    <row r="61" spans="1:23" ht="14.4" x14ac:dyDescent="0.3">
      <c r="A61" s="260" t="str">
        <f>Current!I7</f>
        <v>Mission Operations</v>
      </c>
      <c r="B61" s="149">
        <f>Current!J7</f>
        <v>0</v>
      </c>
      <c r="C61" s="135">
        <f t="shared" si="2"/>
        <v>0</v>
      </c>
      <c r="D61" s="158">
        <f t="shared" si="9"/>
        <v>0</v>
      </c>
      <c r="E61" s="158">
        <f t="shared" si="9"/>
        <v>0</v>
      </c>
      <c r="F61" s="158">
        <f>ROUND($B61*(1+I$18),0)</f>
        <v>0</v>
      </c>
      <c r="G61" s="168">
        <f t="shared" si="4"/>
        <v>0</v>
      </c>
      <c r="H61" s="168">
        <f t="shared" si="5"/>
        <v>0</v>
      </c>
      <c r="I61" s="168">
        <f t="shared" si="6"/>
        <v>0</v>
      </c>
      <c r="J61" s="168">
        <f t="shared" si="8"/>
        <v>0</v>
      </c>
      <c r="K61" s="168">
        <f t="shared" si="7"/>
        <v>0</v>
      </c>
      <c r="L61" s="168">
        <f t="shared" si="7"/>
        <v>0</v>
      </c>
      <c r="M61"/>
      <c r="N61"/>
      <c r="O61"/>
      <c r="S61" s="131"/>
    </row>
    <row r="62" spans="1:23" ht="14.4" x14ac:dyDescent="0.3">
      <c r="A62" s="260" t="str">
        <f>Current!I9</f>
        <v>Terrestrial &amp; Aerial</v>
      </c>
      <c r="B62" s="149">
        <f>Current!J9</f>
        <v>0</v>
      </c>
      <c r="C62" s="135">
        <f t="shared" si="2"/>
        <v>0</v>
      </c>
      <c r="D62" s="158">
        <f t="shared" si="9"/>
        <v>0</v>
      </c>
      <c r="E62" s="158">
        <f t="shared" si="9"/>
        <v>0</v>
      </c>
      <c r="F62" s="158">
        <f>ROUND($B62*(1+I$18),0)</f>
        <v>0</v>
      </c>
      <c r="G62" s="168">
        <f t="shared" si="4"/>
        <v>0</v>
      </c>
      <c r="H62" s="168">
        <f t="shared" si="5"/>
        <v>0</v>
      </c>
      <c r="I62" s="168">
        <f t="shared" si="6"/>
        <v>0</v>
      </c>
      <c r="J62" s="168">
        <f t="shared" si="8"/>
        <v>0</v>
      </c>
      <c r="K62" s="168">
        <f t="shared" si="7"/>
        <v>0</v>
      </c>
      <c r="L62" s="168">
        <f t="shared" si="7"/>
        <v>0</v>
      </c>
      <c r="M62"/>
      <c r="N62"/>
      <c r="O62"/>
    </row>
    <row r="63" spans="1:23" ht="14.4" customHeight="1" thickBot="1" x14ac:dyDescent="0.35">
      <c r="A63" s="267" t="s">
        <v>304</v>
      </c>
      <c r="B63" s="147">
        <f>SUM(B56:B61,B62)</f>
        <v>54</v>
      </c>
      <c r="C63" s="305">
        <f t="shared" ref="C63:L63" si="10">SUM(C56:C62)</f>
        <v>1</v>
      </c>
      <c r="D63" s="159">
        <f t="shared" si="10"/>
        <v>49</v>
      </c>
      <c r="E63" s="159">
        <f t="shared" si="10"/>
        <v>67</v>
      </c>
      <c r="F63" s="159">
        <f t="shared" si="10"/>
        <v>86</v>
      </c>
      <c r="G63" s="159">
        <f t="shared" si="10"/>
        <v>24034347.583333332</v>
      </c>
      <c r="H63" s="159">
        <f t="shared" si="10"/>
        <v>32632388.733333334</v>
      </c>
      <c r="I63" s="159">
        <f t="shared" si="10"/>
        <v>41889849.066666663</v>
      </c>
      <c r="J63" s="159">
        <f t="shared" si="10"/>
        <v>0</v>
      </c>
      <c r="K63" s="159">
        <f t="shared" si="10"/>
        <v>0</v>
      </c>
      <c r="L63" s="159">
        <f t="shared" si="10"/>
        <v>0</v>
      </c>
      <c r="M63"/>
      <c r="N63"/>
      <c r="O63"/>
    </row>
    <row r="65" spans="1:15" ht="14.4" customHeight="1" thickBot="1" x14ac:dyDescent="0.35">
      <c r="A65" s="177" t="s">
        <v>314</v>
      </c>
    </row>
    <row r="66" spans="1:15" ht="14.4" x14ac:dyDescent="0.3">
      <c r="A66" s="259" t="s">
        <v>89</v>
      </c>
      <c r="B66" s="468" t="s">
        <v>298</v>
      </c>
      <c r="C66" s="468"/>
      <c r="D66" s="468"/>
      <c r="E66" s="468"/>
      <c r="F66" s="468"/>
      <c r="G66" s="469" t="s">
        <v>308</v>
      </c>
      <c r="H66" s="469"/>
      <c r="I66" s="469"/>
      <c r="J66" s="469" t="s">
        <v>310</v>
      </c>
      <c r="K66" s="469"/>
      <c r="L66" s="469"/>
      <c r="M66"/>
      <c r="N66"/>
      <c r="O66"/>
    </row>
    <row r="67" spans="1:15" ht="14.4" x14ac:dyDescent="0.3">
      <c r="A67" s="152" t="str">
        <f>Current!V1</f>
        <v>Use Case</v>
      </c>
      <c r="B67" s="261" t="str">
        <f>Current!W1</f>
        <v>Count</v>
      </c>
      <c r="C67" s="261" t="str">
        <f>Current!X1</f>
        <v>Share</v>
      </c>
      <c r="D67" s="261" t="s">
        <v>7</v>
      </c>
      <c r="E67" s="261" t="s">
        <v>76</v>
      </c>
      <c r="F67" s="261" t="s">
        <v>6</v>
      </c>
      <c r="G67" s="261" t="s">
        <v>7</v>
      </c>
      <c r="H67" s="261" t="s">
        <v>76</v>
      </c>
      <c r="I67" s="261" t="s">
        <v>6</v>
      </c>
      <c r="J67" s="261" t="s">
        <v>7</v>
      </c>
      <c r="K67" s="261" t="s">
        <v>76</v>
      </c>
      <c r="L67" s="261" t="s">
        <v>6</v>
      </c>
      <c r="M67"/>
      <c r="N67"/>
      <c r="O67"/>
    </row>
    <row r="68" spans="1:15" ht="14.4" x14ac:dyDescent="0.3">
      <c r="A68" s="152" t="str">
        <f>Current!V2</f>
        <v>Human Space Flight</v>
      </c>
      <c r="B68" s="149">
        <f>Current!W2</f>
        <v>18</v>
      </c>
      <c r="C68" s="135">
        <f t="shared" ref="C68:C74" si="11">B68/$B$75</f>
        <v>0.27692307692307694</v>
      </c>
      <c r="D68" s="158">
        <f t="shared" ref="D68:F74" si="12">ROUND($B68*(1+G$19),0)</f>
        <v>14</v>
      </c>
      <c r="E68" s="158">
        <f t="shared" si="12"/>
        <v>19</v>
      </c>
      <c r="F68" s="158">
        <f t="shared" si="12"/>
        <v>24</v>
      </c>
      <c r="G68" s="168">
        <f t="shared" ref="G68:G74" si="13">IF(L7="YES",D68*V7,"-")</f>
        <v>35192066</v>
      </c>
      <c r="H68" s="168">
        <f t="shared" ref="H68:H74" si="14">IF(L7="YES",E68*V7,"-")</f>
        <v>47760661</v>
      </c>
      <c r="I68" s="168">
        <f t="shared" ref="I68:I74" si="15">IF(L7="YES",F68*V7,"-")</f>
        <v>60329256</v>
      </c>
      <c r="J68" s="168">
        <f>IFERROR(G68*$B$12,"-")</f>
        <v>3202478006</v>
      </c>
      <c r="K68" s="168">
        <f t="shared" ref="K68:L68" si="16">IFERROR(H68*$B$12,"-")</f>
        <v>4346220151</v>
      </c>
      <c r="L68" s="168">
        <f t="shared" si="16"/>
        <v>5489962296</v>
      </c>
      <c r="M68"/>
      <c r="N68"/>
      <c r="O68"/>
    </row>
    <row r="69" spans="1:15" ht="14.4" x14ac:dyDescent="0.3">
      <c r="A69" s="152" t="str">
        <f>Current!V3</f>
        <v>Near Earth Robotic - LEO Science</v>
      </c>
      <c r="B69" s="149">
        <f>Current!W3</f>
        <v>25</v>
      </c>
      <c r="C69" s="135">
        <f t="shared" si="11"/>
        <v>0.38461538461538464</v>
      </c>
      <c r="D69" s="158">
        <f t="shared" si="12"/>
        <v>19</v>
      </c>
      <c r="E69" s="158">
        <f t="shared" si="12"/>
        <v>26</v>
      </c>
      <c r="F69" s="158">
        <f t="shared" si="12"/>
        <v>33</v>
      </c>
      <c r="G69" s="168">
        <f t="shared" si="13"/>
        <v>83202159</v>
      </c>
      <c r="H69" s="168">
        <f t="shared" si="14"/>
        <v>113855586</v>
      </c>
      <c r="I69" s="168">
        <f t="shared" si="15"/>
        <v>144509013</v>
      </c>
      <c r="J69" s="168">
        <f t="shared" ref="J69:J74" si="17">IFERROR(G69*$B$12,"-")</f>
        <v>7571396469</v>
      </c>
      <c r="K69" s="168">
        <f t="shared" ref="K69:K74" si="18">IFERROR(H69*$B$12,"-")</f>
        <v>10360858326</v>
      </c>
      <c r="L69" s="168">
        <f t="shared" ref="L69:L74" si="19">IFERROR(I69*$B$12,"-")</f>
        <v>13150320183</v>
      </c>
      <c r="M69"/>
      <c r="N69"/>
      <c r="O69"/>
    </row>
    <row r="70" spans="1:15" ht="14.4" x14ac:dyDescent="0.3">
      <c r="A70" s="152" t="str">
        <f>Current!V4</f>
        <v>Near Earth Robotic - GEO and Near Earth</v>
      </c>
      <c r="B70" s="149">
        <f>Current!W4</f>
        <v>4</v>
      </c>
      <c r="C70" s="135">
        <f t="shared" si="11"/>
        <v>6.1538461538461542E-2</v>
      </c>
      <c r="D70" s="158">
        <f t="shared" si="12"/>
        <v>3</v>
      </c>
      <c r="E70" s="158">
        <f t="shared" si="12"/>
        <v>4</v>
      </c>
      <c r="F70" s="158">
        <f t="shared" si="12"/>
        <v>5</v>
      </c>
      <c r="G70" s="168">
        <f t="shared" si="13"/>
        <v>1311</v>
      </c>
      <c r="H70" s="168">
        <f t="shared" si="14"/>
        <v>1748</v>
      </c>
      <c r="I70" s="168">
        <f t="shared" si="15"/>
        <v>2185</v>
      </c>
      <c r="J70" s="168">
        <f t="shared" si="17"/>
        <v>119301</v>
      </c>
      <c r="K70" s="168">
        <f t="shared" si="18"/>
        <v>159068</v>
      </c>
      <c r="L70" s="168">
        <f t="shared" si="19"/>
        <v>198835</v>
      </c>
      <c r="M70"/>
      <c r="N70"/>
      <c r="O70"/>
    </row>
    <row r="71" spans="1:15" ht="14.4" x14ac:dyDescent="0.3">
      <c r="A71" s="152" t="str">
        <f>Current!V5</f>
        <v>Deep Space Robotic</v>
      </c>
      <c r="B71" s="149">
        <f>Current!W5</f>
        <v>1</v>
      </c>
      <c r="C71" s="135">
        <f t="shared" si="11"/>
        <v>1.5384615384615385E-2</v>
      </c>
      <c r="D71" s="158">
        <f t="shared" si="12"/>
        <v>1</v>
      </c>
      <c r="E71" s="158">
        <f t="shared" si="12"/>
        <v>1</v>
      </c>
      <c r="F71" s="158">
        <f t="shared" si="12"/>
        <v>1</v>
      </c>
      <c r="G71" s="168">
        <f t="shared" si="13"/>
        <v>572</v>
      </c>
      <c r="H71" s="168">
        <f t="shared" si="14"/>
        <v>572</v>
      </c>
      <c r="I71" s="168">
        <f t="shared" si="15"/>
        <v>572</v>
      </c>
      <c r="J71" s="168">
        <f t="shared" si="17"/>
        <v>52052</v>
      </c>
      <c r="K71" s="168">
        <f t="shared" si="18"/>
        <v>52052</v>
      </c>
      <c r="L71" s="168">
        <f t="shared" si="19"/>
        <v>52052</v>
      </c>
      <c r="M71"/>
      <c r="N71"/>
      <c r="O71"/>
    </row>
    <row r="72" spans="1:15" ht="14.4" x14ac:dyDescent="0.3">
      <c r="A72" s="152" t="str">
        <f>Current!V6</f>
        <v>Near Earth Robotic - Low Latency &amp; Complex Needs</v>
      </c>
      <c r="B72" s="149">
        <f>Current!W6</f>
        <v>2</v>
      </c>
      <c r="C72" s="135">
        <f t="shared" si="11"/>
        <v>3.0769230769230771E-2</v>
      </c>
      <c r="D72" s="158">
        <f t="shared" si="12"/>
        <v>2</v>
      </c>
      <c r="E72" s="158">
        <f t="shared" si="12"/>
        <v>2</v>
      </c>
      <c r="F72" s="158">
        <f t="shared" si="12"/>
        <v>3</v>
      </c>
      <c r="G72" s="168">
        <f t="shared" si="13"/>
        <v>16376</v>
      </c>
      <c r="H72" s="168">
        <f t="shared" si="14"/>
        <v>16376</v>
      </c>
      <c r="I72" s="168">
        <f t="shared" si="15"/>
        <v>24564</v>
      </c>
      <c r="J72" s="168">
        <f t="shared" si="17"/>
        <v>1490216</v>
      </c>
      <c r="K72" s="168">
        <f t="shared" si="18"/>
        <v>1490216</v>
      </c>
      <c r="L72" s="168">
        <f t="shared" si="19"/>
        <v>2235324</v>
      </c>
      <c r="M72"/>
      <c r="N72"/>
      <c r="O72"/>
    </row>
    <row r="73" spans="1:15" ht="14.4" x14ac:dyDescent="0.3">
      <c r="A73" s="152" t="str">
        <f>Current!V7</f>
        <v>Mission Operations</v>
      </c>
      <c r="B73" s="149">
        <f>Current!W7</f>
        <v>0</v>
      </c>
      <c r="C73" s="135">
        <f t="shared" si="11"/>
        <v>0</v>
      </c>
      <c r="D73" s="158">
        <f t="shared" si="12"/>
        <v>0</v>
      </c>
      <c r="E73" s="158">
        <f t="shared" si="12"/>
        <v>0</v>
      </c>
      <c r="F73" s="158">
        <f t="shared" si="12"/>
        <v>0</v>
      </c>
      <c r="G73" s="168">
        <f t="shared" si="13"/>
        <v>0</v>
      </c>
      <c r="H73" s="168">
        <f t="shared" si="14"/>
        <v>0</v>
      </c>
      <c r="I73" s="168">
        <f t="shared" si="15"/>
        <v>0</v>
      </c>
      <c r="J73" s="168">
        <f t="shared" si="17"/>
        <v>0</v>
      </c>
      <c r="K73" s="168">
        <f t="shared" si="18"/>
        <v>0</v>
      </c>
      <c r="L73" s="168">
        <f t="shared" si="19"/>
        <v>0</v>
      </c>
      <c r="M73"/>
      <c r="N73"/>
      <c r="O73"/>
    </row>
    <row r="74" spans="1:15" ht="14.4" x14ac:dyDescent="0.3">
      <c r="A74" s="152" t="str">
        <f>Current!V9</f>
        <v>Terrestrial &amp; Aerial</v>
      </c>
      <c r="B74" s="149">
        <f>Current!W9</f>
        <v>15</v>
      </c>
      <c r="C74" s="135">
        <f t="shared" si="11"/>
        <v>0.23076923076923078</v>
      </c>
      <c r="D74" s="158">
        <f t="shared" si="12"/>
        <v>11</v>
      </c>
      <c r="E74" s="158">
        <f t="shared" si="12"/>
        <v>15</v>
      </c>
      <c r="F74" s="158">
        <f t="shared" si="12"/>
        <v>20</v>
      </c>
      <c r="G74" s="168">
        <f t="shared" si="13"/>
        <v>36784</v>
      </c>
      <c r="H74" s="168">
        <f t="shared" si="14"/>
        <v>50160</v>
      </c>
      <c r="I74" s="168">
        <f t="shared" si="15"/>
        <v>66880</v>
      </c>
      <c r="J74" s="168">
        <f t="shared" si="17"/>
        <v>3347344</v>
      </c>
      <c r="K74" s="168">
        <f t="shared" si="18"/>
        <v>4564560</v>
      </c>
      <c r="L74" s="168">
        <f t="shared" si="19"/>
        <v>6086080</v>
      </c>
      <c r="M74"/>
      <c r="N74"/>
      <c r="O74"/>
    </row>
    <row r="75" spans="1:15" ht="15.6" thickBot="1" x14ac:dyDescent="0.35">
      <c r="A75" s="151" t="s">
        <v>304</v>
      </c>
      <c r="B75" s="147">
        <f>SUM(B68:B73,B74)</f>
        <v>65</v>
      </c>
      <c r="C75" s="305">
        <f t="shared" ref="C75:I75" si="20">SUM(C68:C74)</f>
        <v>1</v>
      </c>
      <c r="D75" s="159">
        <f t="shared" si="20"/>
        <v>50</v>
      </c>
      <c r="E75" s="159">
        <f t="shared" si="20"/>
        <v>67</v>
      </c>
      <c r="F75" s="159">
        <f t="shared" si="20"/>
        <v>86</v>
      </c>
      <c r="G75" s="159">
        <f t="shared" si="20"/>
        <v>118449268</v>
      </c>
      <c r="H75" s="159">
        <f t="shared" si="20"/>
        <v>161685103</v>
      </c>
      <c r="I75" s="159">
        <f t="shared" si="20"/>
        <v>204932470</v>
      </c>
      <c r="J75" s="159">
        <f t="shared" ref="J75:L75" si="21">SUM(J68:J74)</f>
        <v>10778883388</v>
      </c>
      <c r="K75" s="159">
        <f t="shared" si="21"/>
        <v>14713344373</v>
      </c>
      <c r="L75" s="159">
        <f t="shared" si="21"/>
        <v>18648854770</v>
      </c>
      <c r="M75"/>
      <c r="N75"/>
      <c r="O75"/>
    </row>
    <row r="76" spans="1:15" x14ac:dyDescent="0.25">
      <c r="J76" s="166"/>
    </row>
    <row r="77" spans="1:15" ht="16.2" thickBot="1" x14ac:dyDescent="0.35">
      <c r="A77" s="177" t="s">
        <v>315</v>
      </c>
    </row>
    <row r="78" spans="1:15" ht="14.4" x14ac:dyDescent="0.3">
      <c r="A78" s="259" t="s">
        <v>89</v>
      </c>
      <c r="B78" s="468" t="s">
        <v>305</v>
      </c>
      <c r="C78" s="468"/>
      <c r="D78" s="468"/>
      <c r="E78" s="468"/>
      <c r="F78" s="468"/>
      <c r="G78" s="469" t="s">
        <v>308</v>
      </c>
      <c r="H78" s="469"/>
      <c r="I78" s="469"/>
      <c r="J78" s="469" t="s">
        <v>310</v>
      </c>
      <c r="K78" s="469"/>
      <c r="L78" s="469"/>
      <c r="M78"/>
      <c r="N78"/>
      <c r="O78"/>
    </row>
    <row r="79" spans="1:15" ht="15" customHeight="1" x14ac:dyDescent="0.3">
      <c r="A79" s="260" t="s">
        <v>82</v>
      </c>
      <c r="B79" s="261" t="s">
        <v>83</v>
      </c>
      <c r="C79" s="261" t="s">
        <v>90</v>
      </c>
      <c r="D79" s="261" t="s">
        <v>7</v>
      </c>
      <c r="E79" s="261" t="s">
        <v>76</v>
      </c>
      <c r="F79" s="261" t="s">
        <v>6</v>
      </c>
      <c r="G79" s="261" t="s">
        <v>7</v>
      </c>
      <c r="H79" s="261" t="s">
        <v>76</v>
      </c>
      <c r="I79" s="261" t="s">
        <v>6</v>
      </c>
      <c r="J79" s="261" t="s">
        <v>7</v>
      </c>
      <c r="K79" s="261" t="s">
        <v>76</v>
      </c>
      <c r="L79" s="261" t="s">
        <v>6</v>
      </c>
      <c r="M79"/>
      <c r="N79"/>
      <c r="O79"/>
    </row>
    <row r="80" spans="1:15" ht="14.4" x14ac:dyDescent="0.3">
      <c r="A80" s="152" t="s">
        <v>299</v>
      </c>
      <c r="B80" s="149">
        <f>Current!J8</f>
        <v>0</v>
      </c>
      <c r="C80" s="135">
        <f>B80/$B$82</f>
        <v>0</v>
      </c>
      <c r="D80" s="154">
        <f t="shared" ref="D80:F81" si="22">ROUND($B80*(1+G$20),0)</f>
        <v>0</v>
      </c>
      <c r="E80" s="154">
        <f t="shared" si="22"/>
        <v>0</v>
      </c>
      <c r="F80" s="154">
        <f t="shared" si="22"/>
        <v>0</v>
      </c>
      <c r="G80" s="168">
        <f>D80*Current!$L$14</f>
        <v>0</v>
      </c>
      <c r="H80" s="168">
        <f>E80*Current!$L$14</f>
        <v>0</v>
      </c>
      <c r="I80" s="168">
        <f>F80*Current!$L$14</f>
        <v>0</v>
      </c>
      <c r="J80" s="168">
        <f>IFERROR(G80*$B$12,"-")</f>
        <v>0</v>
      </c>
      <c r="K80" s="168">
        <f t="shared" ref="K80:L80" si="23">IFERROR(H80*$B$12,"-")</f>
        <v>0</v>
      </c>
      <c r="L80" s="168">
        <f t="shared" si="23"/>
        <v>0</v>
      </c>
      <c r="M80"/>
      <c r="N80"/>
      <c r="O80"/>
    </row>
    <row r="81" spans="1:15" ht="14.4" x14ac:dyDescent="0.3">
      <c r="A81" s="152" t="s">
        <v>300</v>
      </c>
      <c r="B81" s="155">
        <f>Current!W8</f>
        <v>2</v>
      </c>
      <c r="C81" s="135">
        <f>B81/$B$82</f>
        <v>1</v>
      </c>
      <c r="D81" s="154">
        <f t="shared" si="22"/>
        <v>20</v>
      </c>
      <c r="E81" s="154">
        <f t="shared" si="22"/>
        <v>32</v>
      </c>
      <c r="F81" s="154">
        <f t="shared" si="22"/>
        <v>45</v>
      </c>
      <c r="G81" s="168">
        <f>D81*Current!$Y$14</f>
        <v>2138947.4626865671</v>
      </c>
      <c r="H81" s="168">
        <f>E81*Current!$Y$14</f>
        <v>3422315.9402985075</v>
      </c>
      <c r="I81" s="168">
        <f>F81*Current!$Y$14</f>
        <v>4812631.7910447763</v>
      </c>
      <c r="J81" s="168">
        <f>IFERROR(G81*$B$12,"-")</f>
        <v>194644219.10447761</v>
      </c>
      <c r="K81" s="168">
        <f t="shared" ref="K81" si="24">IFERROR(H81*$B$12,"-")</f>
        <v>311430750.56716418</v>
      </c>
      <c r="L81" s="168">
        <f t="shared" ref="L81" si="25">IFERROR(I81*$B$12,"-")</f>
        <v>437949492.98507464</v>
      </c>
      <c r="M81"/>
      <c r="N81"/>
      <c r="O81"/>
    </row>
    <row r="82" spans="1:15" ht="14.4" customHeight="1" thickBot="1" x14ac:dyDescent="0.35">
      <c r="A82" s="151" t="s">
        <v>84</v>
      </c>
      <c r="B82" s="147">
        <f t="shared" ref="B82:L82" si="26">SUM(B80:B81)</f>
        <v>2</v>
      </c>
      <c r="C82" s="156">
        <f t="shared" si="26"/>
        <v>1</v>
      </c>
      <c r="D82" s="157">
        <f t="shared" si="26"/>
        <v>20</v>
      </c>
      <c r="E82" s="157">
        <f t="shared" si="26"/>
        <v>32</v>
      </c>
      <c r="F82" s="157">
        <f t="shared" si="26"/>
        <v>45</v>
      </c>
      <c r="G82" s="157">
        <f t="shared" si="26"/>
        <v>2138947.4626865671</v>
      </c>
      <c r="H82" s="157">
        <f t="shared" si="26"/>
        <v>3422315.9402985075</v>
      </c>
      <c r="I82" s="157">
        <f t="shared" si="26"/>
        <v>4812631.7910447763</v>
      </c>
      <c r="J82" s="157">
        <f t="shared" si="26"/>
        <v>194644219.10447761</v>
      </c>
      <c r="K82" s="157">
        <f t="shared" si="26"/>
        <v>311430750.56716418</v>
      </c>
      <c r="L82" s="157">
        <f t="shared" si="26"/>
        <v>437949492.98507464</v>
      </c>
      <c r="M82"/>
      <c r="N82"/>
      <c r="O82"/>
    </row>
    <row r="83" spans="1:15" x14ac:dyDescent="0.25">
      <c r="A83" s="165"/>
      <c r="B83" s="162"/>
      <c r="C83" s="163"/>
      <c r="D83" s="164"/>
      <c r="E83" s="164"/>
      <c r="F83" s="164"/>
    </row>
    <row r="84" spans="1:15" x14ac:dyDescent="0.25">
      <c r="A84" s="165"/>
      <c r="B84" s="162"/>
      <c r="C84" s="163"/>
      <c r="D84" s="164"/>
      <c r="E84" s="164"/>
      <c r="F84" s="164"/>
    </row>
    <row r="85" spans="1:15" s="176" customFormat="1" x14ac:dyDescent="0.25"/>
    <row r="86" spans="1:15" ht="16.2" thickBot="1" x14ac:dyDescent="0.35">
      <c r="A86" s="177" t="s">
        <v>316</v>
      </c>
    </row>
    <row r="87" spans="1:15" ht="14.4" customHeight="1" x14ac:dyDescent="0.25">
      <c r="A87" s="455" t="s">
        <v>302</v>
      </c>
      <c r="B87" s="456"/>
      <c r="C87" s="453" t="s">
        <v>72</v>
      </c>
      <c r="D87" s="453"/>
      <c r="E87" s="453"/>
      <c r="F87" s="453" t="s">
        <v>73</v>
      </c>
      <c r="G87" s="453"/>
      <c r="H87" s="453"/>
      <c r="I87" s="468" t="s">
        <v>73</v>
      </c>
      <c r="J87" s="468"/>
      <c r="K87" s="474"/>
    </row>
    <row r="88" spans="1:15" x14ac:dyDescent="0.25">
      <c r="A88" s="462"/>
      <c r="B88" s="473"/>
      <c r="C88" s="266" t="s">
        <v>7</v>
      </c>
      <c r="D88" s="266" t="s">
        <v>76</v>
      </c>
      <c r="E88" s="266" t="s">
        <v>6</v>
      </c>
      <c r="F88" s="266" t="s">
        <v>7</v>
      </c>
      <c r="G88" s="266" t="s">
        <v>76</v>
      </c>
      <c r="H88" s="266" t="s">
        <v>6</v>
      </c>
      <c r="I88" s="266" t="s">
        <v>7</v>
      </c>
      <c r="J88" s="266" t="s">
        <v>76</v>
      </c>
      <c r="K88" s="137" t="s">
        <v>6</v>
      </c>
    </row>
    <row r="89" spans="1:15" x14ac:dyDescent="0.25">
      <c r="A89" s="258" t="s">
        <v>74</v>
      </c>
      <c r="B89" s="266" t="s">
        <v>75</v>
      </c>
      <c r="C89" s="15">
        <v>20</v>
      </c>
      <c r="D89" s="15">
        <v>22</v>
      </c>
      <c r="E89" s="15">
        <v>24</v>
      </c>
      <c r="F89" s="15">
        <v>40</v>
      </c>
      <c r="G89" s="15">
        <v>58</v>
      </c>
      <c r="H89" s="15">
        <v>76</v>
      </c>
      <c r="I89" s="135">
        <f t="shared" ref="I89:K90" si="27">(F89-$B$106)/$B$63</f>
        <v>-0.25925925925925924</v>
      </c>
      <c r="J89" s="135">
        <f t="shared" si="27"/>
        <v>7.407407407407407E-2</v>
      </c>
      <c r="K89" s="44">
        <f t="shared" si="27"/>
        <v>0.40740740740740738</v>
      </c>
    </row>
    <row r="90" spans="1:15" x14ac:dyDescent="0.25">
      <c r="A90" s="258"/>
      <c r="B90" s="264" t="s">
        <v>77</v>
      </c>
      <c r="C90" s="14">
        <v>12</v>
      </c>
      <c r="D90" s="14">
        <v>14</v>
      </c>
      <c r="E90" s="14">
        <v>16</v>
      </c>
      <c r="F90" s="15">
        <v>40</v>
      </c>
      <c r="G90" s="15">
        <v>58</v>
      </c>
      <c r="H90" s="15">
        <v>76</v>
      </c>
      <c r="I90" s="135">
        <f t="shared" si="27"/>
        <v>-0.25925925925925924</v>
      </c>
      <c r="J90" s="135">
        <f t="shared" si="27"/>
        <v>7.407407407407407E-2</v>
      </c>
      <c r="K90" s="44">
        <f t="shared" si="27"/>
        <v>0.40740740740740738</v>
      </c>
    </row>
    <row r="91" spans="1:15" ht="14.4" customHeight="1" x14ac:dyDescent="0.25">
      <c r="A91" s="263" t="s">
        <v>78</v>
      </c>
      <c r="B91" s="264"/>
      <c r="C91" s="14">
        <v>1</v>
      </c>
      <c r="D91" s="14">
        <v>12</v>
      </c>
      <c r="E91" s="14">
        <v>25</v>
      </c>
      <c r="F91" s="14">
        <v>1</v>
      </c>
      <c r="G91" s="14">
        <v>12</v>
      </c>
      <c r="H91" s="14">
        <v>25</v>
      </c>
      <c r="I91" s="161" t="s">
        <v>10</v>
      </c>
      <c r="J91" s="161" t="s">
        <v>10</v>
      </c>
      <c r="K91" s="172" t="s">
        <v>10</v>
      </c>
    </row>
    <row r="92" spans="1:15" x14ac:dyDescent="0.25">
      <c r="A92" s="475" t="s">
        <v>79</v>
      </c>
      <c r="B92" s="476"/>
      <c r="C92" s="170">
        <v>89840</v>
      </c>
      <c r="D92" s="170">
        <v>250000</v>
      </c>
      <c r="E92" s="170">
        <v>525600</v>
      </c>
      <c r="F92" s="170">
        <v>525600</v>
      </c>
      <c r="G92" s="170">
        <v>750000</v>
      </c>
      <c r="H92" s="170">
        <v>1000000</v>
      </c>
      <c r="I92" s="161" t="s">
        <v>10</v>
      </c>
      <c r="J92" s="161" t="s">
        <v>10</v>
      </c>
      <c r="K92" s="172" t="s">
        <v>10</v>
      </c>
    </row>
    <row r="93" spans="1:15" x14ac:dyDescent="0.25">
      <c r="A93" s="477" t="s">
        <v>306</v>
      </c>
      <c r="B93" s="478"/>
      <c r="C93" s="167">
        <f t="shared" ref="C93:H93" si="28">C92/SUM(C89:C90)</f>
        <v>2807.5</v>
      </c>
      <c r="D93" s="167">
        <f t="shared" si="28"/>
        <v>6944.4444444444443</v>
      </c>
      <c r="E93" s="167">
        <f t="shared" si="28"/>
        <v>13140</v>
      </c>
      <c r="F93" s="167">
        <f t="shared" si="28"/>
        <v>6570</v>
      </c>
      <c r="G93" s="167">
        <f t="shared" si="28"/>
        <v>6465.5172413793107</v>
      </c>
      <c r="H93" s="167">
        <f t="shared" si="28"/>
        <v>6578.9473684210525</v>
      </c>
      <c r="I93" s="161" t="s">
        <v>10</v>
      </c>
      <c r="J93" s="161" t="s">
        <v>10</v>
      </c>
      <c r="K93" s="172" t="s">
        <v>10</v>
      </c>
    </row>
    <row r="94" spans="1:15" ht="14.4" thickBot="1" x14ac:dyDescent="0.3">
      <c r="A94" s="479" t="s">
        <v>307</v>
      </c>
      <c r="B94" s="480"/>
      <c r="C94" s="136">
        <f>C92/(SUM(C88:C90)*C91)</f>
        <v>2807.5</v>
      </c>
      <c r="D94" s="136">
        <f>D92/(SUM(D88:D90)*D91)</f>
        <v>578.7037037037037</v>
      </c>
      <c r="E94" s="136">
        <f>E92/(SUM(E88:E90)*E91)</f>
        <v>525.6</v>
      </c>
      <c r="F94" s="136">
        <f>F92/(SUM(F89:F90)*F91)</f>
        <v>6570</v>
      </c>
      <c r="G94" s="136">
        <f>G92/(SUM(G89:G90)*G91)</f>
        <v>538.79310344827582</v>
      </c>
      <c r="H94" s="136">
        <f>H92/(SUM(H89:H90)*H91)</f>
        <v>263.15789473684208</v>
      </c>
      <c r="I94" s="173" t="s">
        <v>10</v>
      </c>
      <c r="J94" s="173" t="s">
        <v>10</v>
      </c>
      <c r="K94" s="174" t="s">
        <v>10</v>
      </c>
    </row>
    <row r="96" spans="1:15" ht="14.4" thickBot="1" x14ac:dyDescent="0.3">
      <c r="A96" s="132" t="s">
        <v>317</v>
      </c>
    </row>
    <row r="97" spans="1:15" x14ac:dyDescent="0.25">
      <c r="A97" s="259" t="s">
        <v>89</v>
      </c>
      <c r="B97" s="468" t="s">
        <v>91</v>
      </c>
      <c r="C97" s="468"/>
      <c r="D97" s="468"/>
      <c r="E97" s="468"/>
      <c r="F97" s="468"/>
      <c r="G97" s="469" t="s">
        <v>308</v>
      </c>
      <c r="H97" s="469"/>
      <c r="I97" s="469"/>
      <c r="J97" s="469" t="s">
        <v>310</v>
      </c>
      <c r="K97" s="469"/>
      <c r="L97" s="469"/>
      <c r="M97" s="470" t="s">
        <v>311</v>
      </c>
      <c r="N97" s="471"/>
      <c r="O97" s="472"/>
    </row>
    <row r="98" spans="1:15" x14ac:dyDescent="0.25">
      <c r="A98" s="152" t="str">
        <f>Current!I1</f>
        <v>Use Case</v>
      </c>
      <c r="B98" s="153" t="str">
        <f>Current!J1</f>
        <v>Count</v>
      </c>
      <c r="C98" s="153" t="str">
        <f>Current!K1</f>
        <v>Share</v>
      </c>
      <c r="D98" s="261" t="s">
        <v>7</v>
      </c>
      <c r="E98" s="261" t="s">
        <v>76</v>
      </c>
      <c r="F98" s="261" t="s">
        <v>6</v>
      </c>
      <c r="G98" s="261" t="s">
        <v>7</v>
      </c>
      <c r="H98" s="261" t="s">
        <v>76</v>
      </c>
      <c r="I98" s="261" t="s">
        <v>6</v>
      </c>
      <c r="J98" s="261" t="s">
        <v>7</v>
      </c>
      <c r="K98" s="261" t="s">
        <v>76</v>
      </c>
      <c r="L98" s="261" t="s">
        <v>6</v>
      </c>
      <c r="M98" s="318" t="s">
        <v>7</v>
      </c>
      <c r="N98" s="318" t="s">
        <v>76</v>
      </c>
      <c r="O98" s="171" t="s">
        <v>6</v>
      </c>
    </row>
    <row r="99" spans="1:15" x14ac:dyDescent="0.25">
      <c r="A99" s="152" t="str">
        <f>Current!I2</f>
        <v>Human Space Flight</v>
      </c>
      <c r="B99" s="155">
        <f>Current!J2</f>
        <v>3</v>
      </c>
      <c r="C99" s="135">
        <f t="shared" ref="C99:C105" si="29">B99/$B$106</f>
        <v>5.5555555555555552E-2</v>
      </c>
      <c r="D99" s="158">
        <f t="shared" ref="D99:F105" si="30">ROUND($B99*(1+I$89),0)</f>
        <v>2</v>
      </c>
      <c r="E99" s="158">
        <f t="shared" si="30"/>
        <v>3</v>
      </c>
      <c r="F99" s="158">
        <f t="shared" si="30"/>
        <v>4</v>
      </c>
      <c r="G99" s="168">
        <f>D99*Current!$L$14</f>
        <v>46998.277160493832</v>
      </c>
      <c r="H99" s="168">
        <f>E99*Current!$L$14</f>
        <v>70497.415740740747</v>
      </c>
      <c r="I99" s="168">
        <f>F99*Current!$L$14</f>
        <v>93996.554320987663</v>
      </c>
      <c r="J99" s="168">
        <f>G99*$B$11</f>
        <v>0</v>
      </c>
      <c r="K99" s="168">
        <f t="shared" ref="K99:L105" si="31">H99*$B$11</f>
        <v>0</v>
      </c>
      <c r="L99" s="168">
        <f t="shared" si="31"/>
        <v>0</v>
      </c>
      <c r="M99" s="168">
        <f>J99+(J99/POWER(1+(Future_Cost!$B$133/100),1))+(J99/POWER(1+(Future_Cost!$B$133/100),2))+(J99/POWER(1+(Future_Cost!$B$133/100),3))+(J99/POWER(1+(Future_Cost!$B$133/100),4))</f>
        <v>0</v>
      </c>
      <c r="N99" s="168">
        <f>K99+(K99/POWER(1+(Future_Cost!$B$133/100),1))+(K99/POWER(1+(Future_Cost!$B$133/100),2))+(K99/POWER(1+(Future_Cost!$B$133/100),3))+(K99/POWER(1+(Future_Cost!$B$133/100),4))</f>
        <v>0</v>
      </c>
      <c r="O99" s="169">
        <f>L99+(L99/POWER(1+(Future_Cost!$B$133/100),1))+(L99/POWER(1+(Future_Cost!$B$133/100),2))+(L99/POWER(1+(Future_Cost!$B$133/100),3))+(L99/POWER(1+(Future_Cost!$B$133/100),4))</f>
        <v>0</v>
      </c>
    </row>
    <row r="100" spans="1:15" x14ac:dyDescent="0.25">
      <c r="A100" s="152" t="str">
        <f>Current!I3</f>
        <v>Near Earth Robotic - LEO Science</v>
      </c>
      <c r="B100" s="155">
        <f>Current!J3</f>
        <v>34</v>
      </c>
      <c r="C100" s="135">
        <f t="shared" si="29"/>
        <v>0.62962962962962965</v>
      </c>
      <c r="D100" s="158">
        <f t="shared" si="30"/>
        <v>25</v>
      </c>
      <c r="E100" s="158">
        <f t="shared" si="30"/>
        <v>37</v>
      </c>
      <c r="F100" s="158">
        <f t="shared" si="30"/>
        <v>48</v>
      </c>
      <c r="G100" s="168">
        <f>D100*Current!$L$14</f>
        <v>587478.46450617292</v>
      </c>
      <c r="H100" s="168">
        <f>E100*Current!$L$14</f>
        <v>869468.12746913591</v>
      </c>
      <c r="I100" s="168">
        <f>F100*Current!$L$14</f>
        <v>1127958.651851852</v>
      </c>
      <c r="J100" s="168">
        <f t="shared" ref="J100:J105" si="32">G100*$B$11</f>
        <v>0</v>
      </c>
      <c r="K100" s="168">
        <f>H100*$B$11</f>
        <v>0</v>
      </c>
      <c r="L100" s="168">
        <f t="shared" si="31"/>
        <v>0</v>
      </c>
      <c r="M100" s="168">
        <f>J100+(J100/POWER(1+(Future_Cost!$B$133/100),1))+(J100/POWER(1+(Future_Cost!$B$133/100),2))+(J100/POWER(1+(Future_Cost!$B$133/100),3))+(J100/POWER(1+(Future_Cost!$B$133/100),4))</f>
        <v>0</v>
      </c>
      <c r="N100" s="168">
        <f>K100+(K100/POWER(1+(Future_Cost!$B$133/100),1))+(K100/POWER(1+(Future_Cost!$B$133/100),2))+(K100/POWER(1+(Future_Cost!$B$133/100),3))+(K100/POWER(1+(Future_Cost!$B$133/100),4))</f>
        <v>0</v>
      </c>
      <c r="O100" s="169">
        <f>L100+(L100/POWER(1+(Future_Cost!$B$133/100),1))+(L100/POWER(1+(Future_Cost!$B$133/100),2))+(L100/POWER(1+(Future_Cost!$B$133/100),3))+(L100/POWER(1+(Future_Cost!$B$133/100),4))</f>
        <v>0</v>
      </c>
    </row>
    <row r="101" spans="1:15" x14ac:dyDescent="0.25">
      <c r="A101" s="152" t="str">
        <f>Current!I4</f>
        <v>Near Earth Robotic - GEO and Near Earth</v>
      </c>
      <c r="B101" s="155">
        <f>Current!J4</f>
        <v>17</v>
      </c>
      <c r="C101" s="135">
        <f t="shared" si="29"/>
        <v>0.31481481481481483</v>
      </c>
      <c r="D101" s="158">
        <f t="shared" si="30"/>
        <v>13</v>
      </c>
      <c r="E101" s="158">
        <f t="shared" si="30"/>
        <v>18</v>
      </c>
      <c r="F101" s="158">
        <f t="shared" si="30"/>
        <v>24</v>
      </c>
      <c r="G101" s="168">
        <f>D101*Current!$L$14</f>
        <v>305488.80154320993</v>
      </c>
      <c r="H101" s="168">
        <f>E101*Current!$L$14</f>
        <v>422984.49444444448</v>
      </c>
      <c r="I101" s="168">
        <f>F101*Current!$L$14</f>
        <v>563979.32592592598</v>
      </c>
      <c r="J101" s="168">
        <f t="shared" si="32"/>
        <v>0</v>
      </c>
      <c r="K101" s="168">
        <f t="shared" si="31"/>
        <v>0</v>
      </c>
      <c r="L101" s="168">
        <f t="shared" si="31"/>
        <v>0</v>
      </c>
      <c r="M101" s="168">
        <f>J101+(J101/POWER(1+(Future_Cost!$B$133/100),1))+(J101/POWER(1+(Future_Cost!$B$133/100),2))+(J101/POWER(1+(Future_Cost!$B$133/100),3))+(J101/POWER(1+(Future_Cost!$B$133/100),4))</f>
        <v>0</v>
      </c>
      <c r="N101" s="168">
        <f>K101+(K101/POWER(1+(Future_Cost!$B$133/100),1))+(K101/POWER(1+(Future_Cost!$B$133/100),2))+(K101/POWER(1+(Future_Cost!$B$133/100),3))+(K101/POWER(1+(Future_Cost!$B$133/100),4))</f>
        <v>0</v>
      </c>
      <c r="O101" s="169">
        <f>L101+(L101/POWER(1+(Future_Cost!$B$133/100),1))+(L101/POWER(1+(Future_Cost!$B$133/100),2))+(L101/POWER(1+(Future_Cost!$B$133/100),3))+(L101/POWER(1+(Future_Cost!$B$133/100),4))</f>
        <v>0</v>
      </c>
    </row>
    <row r="102" spans="1:15" ht="14.4" customHeight="1" x14ac:dyDescent="0.25">
      <c r="A102" s="152" t="str">
        <f>Current!I5</f>
        <v>Deep Space Robotic</v>
      </c>
      <c r="B102" s="155">
        <f>Current!J5</f>
        <v>0</v>
      </c>
      <c r="C102" s="135">
        <f t="shared" si="29"/>
        <v>0</v>
      </c>
      <c r="D102" s="158">
        <f t="shared" si="30"/>
        <v>0</v>
      </c>
      <c r="E102" s="158">
        <f t="shared" si="30"/>
        <v>0</v>
      </c>
      <c r="F102" s="158">
        <f t="shared" si="30"/>
        <v>0</v>
      </c>
      <c r="G102" s="168">
        <f>D102*Current!$L$14</f>
        <v>0</v>
      </c>
      <c r="H102" s="168">
        <f>E102*Current!$L$14</f>
        <v>0</v>
      </c>
      <c r="I102" s="168">
        <f>F102*Current!$L$14</f>
        <v>0</v>
      </c>
      <c r="J102" s="168">
        <f t="shared" si="32"/>
        <v>0</v>
      </c>
      <c r="K102" s="168">
        <f t="shared" si="31"/>
        <v>0</v>
      </c>
      <c r="L102" s="168">
        <f t="shared" si="31"/>
        <v>0</v>
      </c>
      <c r="M102" s="168">
        <f>J102+(J102/POWER(1+(Future_Cost!$B$133/100),1))+(J102/POWER(1+(Future_Cost!$B$133/100),2))+(J102/POWER(1+(Future_Cost!$B$133/100),3))+(J102/POWER(1+(Future_Cost!$B$133/100),4))</f>
        <v>0</v>
      </c>
      <c r="N102" s="168">
        <f>K102+(K102/POWER(1+(Future_Cost!$B$133/100),1))+(K102/POWER(1+(Future_Cost!$B$133/100),2))+(K102/POWER(1+(Future_Cost!$B$133/100),3))+(K102/POWER(1+(Future_Cost!$B$133/100),4))</f>
        <v>0</v>
      </c>
      <c r="O102" s="169">
        <f>L102+(L102/POWER(1+(Future_Cost!$B$133/100),1))+(L102/POWER(1+(Future_Cost!$B$133/100),2))+(L102/POWER(1+(Future_Cost!$B$133/100),3))+(L102/POWER(1+(Future_Cost!$B$133/100),4))</f>
        <v>0</v>
      </c>
    </row>
    <row r="103" spans="1:15" x14ac:dyDescent="0.25">
      <c r="A103" s="152" t="str">
        <f>Current!I6</f>
        <v>Near Earth Robotic - Low Latency &amp; Complex Needs</v>
      </c>
      <c r="B103" s="155">
        <f>Current!J6</f>
        <v>0</v>
      </c>
      <c r="C103" s="135">
        <f t="shared" si="29"/>
        <v>0</v>
      </c>
      <c r="D103" s="158">
        <f t="shared" si="30"/>
        <v>0</v>
      </c>
      <c r="E103" s="158">
        <f t="shared" si="30"/>
        <v>0</v>
      </c>
      <c r="F103" s="158">
        <f t="shared" si="30"/>
        <v>0</v>
      </c>
      <c r="G103" s="168">
        <f>D103*Current!$L$14</f>
        <v>0</v>
      </c>
      <c r="H103" s="168">
        <f>E103*Current!$L$14</f>
        <v>0</v>
      </c>
      <c r="I103" s="168">
        <f>F103*Current!$L$14</f>
        <v>0</v>
      </c>
      <c r="J103" s="168">
        <f t="shared" si="32"/>
        <v>0</v>
      </c>
      <c r="K103" s="168">
        <f t="shared" si="31"/>
        <v>0</v>
      </c>
      <c r="L103" s="168">
        <f t="shared" si="31"/>
        <v>0</v>
      </c>
      <c r="M103" s="168">
        <f>J103+(J103/POWER(1+(Future_Cost!$B$133/100),1))+(J103/POWER(1+(Future_Cost!$B$133/100),2))+(J103/POWER(1+(Future_Cost!$B$133/100),3))+(J103/POWER(1+(Future_Cost!$B$133/100),4))</f>
        <v>0</v>
      </c>
      <c r="N103" s="168">
        <f>K103+(K103/POWER(1+(Future_Cost!$B$133/100),1))+(K103/POWER(1+(Future_Cost!$B$133/100),2))+(K103/POWER(1+(Future_Cost!$B$133/100),3))+(K103/POWER(1+(Future_Cost!$B$133/100),4))</f>
        <v>0</v>
      </c>
      <c r="O103" s="169">
        <f>L103+(L103/POWER(1+(Future_Cost!$B$133/100),1))+(L103/POWER(1+(Future_Cost!$B$133/100),2))+(L103/POWER(1+(Future_Cost!$B$133/100),3))+(L103/POWER(1+(Future_Cost!$B$133/100),4))</f>
        <v>0</v>
      </c>
    </row>
    <row r="104" spans="1:15" x14ac:dyDescent="0.25">
      <c r="A104" s="152" t="str">
        <f>Current!I7</f>
        <v>Mission Operations</v>
      </c>
      <c r="B104" s="155">
        <f>Current!J7</f>
        <v>0</v>
      </c>
      <c r="C104" s="135">
        <f t="shared" si="29"/>
        <v>0</v>
      </c>
      <c r="D104" s="158">
        <f t="shared" si="30"/>
        <v>0</v>
      </c>
      <c r="E104" s="158">
        <f t="shared" si="30"/>
        <v>0</v>
      </c>
      <c r="F104" s="158">
        <f t="shared" si="30"/>
        <v>0</v>
      </c>
      <c r="G104" s="168">
        <f>D104*Current!$L$14</f>
        <v>0</v>
      </c>
      <c r="H104" s="168">
        <f>E104*Current!$L$14</f>
        <v>0</v>
      </c>
      <c r="I104" s="168">
        <f>F104*Current!$L$14</f>
        <v>0</v>
      </c>
      <c r="J104" s="168">
        <f t="shared" si="32"/>
        <v>0</v>
      </c>
      <c r="K104" s="168">
        <f t="shared" si="31"/>
        <v>0</v>
      </c>
      <c r="L104" s="168">
        <f t="shared" si="31"/>
        <v>0</v>
      </c>
      <c r="M104" s="168">
        <f>J104+(J104/POWER(1+(Future_Cost!$B$133/100),1))+(J104/POWER(1+(Future_Cost!$B$133/100),2))+(J104/POWER(1+(Future_Cost!$B$133/100),3))+(J104/POWER(1+(Future_Cost!$B$133/100),4))</f>
        <v>0</v>
      </c>
      <c r="N104" s="168">
        <f>K104+(K104/POWER(1+(Future_Cost!$B$133/100),1))+(K104/POWER(1+(Future_Cost!$B$133/100),2))+(K104/POWER(1+(Future_Cost!$B$133/100),3))+(K104/POWER(1+(Future_Cost!$B$133/100),4))</f>
        <v>0</v>
      </c>
      <c r="O104" s="169">
        <f>L104+(L104/POWER(1+(Future_Cost!$B$133/100),1))+(L104/POWER(1+(Future_Cost!$B$133/100),2))+(L104/POWER(1+(Future_Cost!$B$133/100),3))+(L104/POWER(1+(Future_Cost!$B$133/100),4))</f>
        <v>0</v>
      </c>
    </row>
    <row r="105" spans="1:15" x14ac:dyDescent="0.25">
      <c r="A105" s="152" t="str">
        <f>Current!I9</f>
        <v>Terrestrial &amp; Aerial</v>
      </c>
      <c r="B105" s="155">
        <f>Current!J9</f>
        <v>0</v>
      </c>
      <c r="C105" s="135">
        <f t="shared" si="29"/>
        <v>0</v>
      </c>
      <c r="D105" s="158">
        <f t="shared" si="30"/>
        <v>0</v>
      </c>
      <c r="E105" s="158">
        <f t="shared" si="30"/>
        <v>0</v>
      </c>
      <c r="F105" s="158">
        <f t="shared" si="30"/>
        <v>0</v>
      </c>
      <c r="G105" s="168">
        <f>D105*Current!$L$14</f>
        <v>0</v>
      </c>
      <c r="H105" s="168">
        <f>E105*Current!$L$14</f>
        <v>0</v>
      </c>
      <c r="I105" s="168">
        <f>F105*Current!$L$14</f>
        <v>0</v>
      </c>
      <c r="J105" s="168">
        <f t="shared" si="32"/>
        <v>0</v>
      </c>
      <c r="K105" s="168">
        <f t="shared" si="31"/>
        <v>0</v>
      </c>
      <c r="L105" s="168">
        <f t="shared" si="31"/>
        <v>0</v>
      </c>
      <c r="M105" s="168">
        <f>J105+(J105/POWER(1+(Future_Cost!$B$133/100),1))+(J105/POWER(1+(Future_Cost!$B$133/100),2))+(J105/POWER(1+(Future_Cost!$B$133/100),3))+(J105/POWER(1+(Future_Cost!$B$133/100),4))</f>
        <v>0</v>
      </c>
      <c r="N105" s="168">
        <f>K105+(K105/POWER(1+(Future_Cost!$B$133/100),1))+(K105/POWER(1+(Future_Cost!$B$133/100),2))+(K105/POWER(1+(Future_Cost!$B$133/100),3))+(K105/POWER(1+(Future_Cost!$B$133/100),4))</f>
        <v>0</v>
      </c>
      <c r="O105" s="169">
        <f>L105+(L105/POWER(1+(Future_Cost!$B$133/100),1))+(L105/POWER(1+(Future_Cost!$B$133/100),2))+(L105/POWER(1+(Future_Cost!$B$133/100),3))+(L105/POWER(1+(Future_Cost!$B$133/100),4))</f>
        <v>0</v>
      </c>
    </row>
    <row r="106" spans="1:15" ht="15.6" thickBot="1" x14ac:dyDescent="0.3">
      <c r="A106" s="267" t="s">
        <v>297</v>
      </c>
      <c r="B106" s="147">
        <f>SUM(B99:B104,B105)</f>
        <v>54</v>
      </c>
      <c r="C106" s="305">
        <f t="shared" ref="C106:O106" si="33">SUM(C99:C105)</f>
        <v>1</v>
      </c>
      <c r="D106" s="159">
        <f t="shared" si="33"/>
        <v>40</v>
      </c>
      <c r="E106" s="159">
        <f t="shared" si="33"/>
        <v>58</v>
      </c>
      <c r="F106" s="159">
        <f t="shared" si="33"/>
        <v>76</v>
      </c>
      <c r="G106" s="159">
        <f t="shared" si="33"/>
        <v>939965.54320987663</v>
      </c>
      <c r="H106" s="159">
        <f t="shared" si="33"/>
        <v>1362950.0376543212</v>
      </c>
      <c r="I106" s="159">
        <f t="shared" si="33"/>
        <v>1785934.5320987657</v>
      </c>
      <c r="J106" s="159">
        <f t="shared" si="33"/>
        <v>0</v>
      </c>
      <c r="K106" s="159">
        <f t="shared" si="33"/>
        <v>0</v>
      </c>
      <c r="L106" s="159">
        <f t="shared" si="33"/>
        <v>0</v>
      </c>
      <c r="M106" s="159">
        <f t="shared" si="33"/>
        <v>0</v>
      </c>
      <c r="N106" s="159">
        <f t="shared" si="33"/>
        <v>0</v>
      </c>
      <c r="O106" s="160">
        <f t="shared" si="33"/>
        <v>0</v>
      </c>
    </row>
    <row r="108" spans="1:15" ht="14.4" thickBot="1" x14ac:dyDescent="0.3">
      <c r="A108" s="132" t="s">
        <v>318</v>
      </c>
    </row>
    <row r="109" spans="1:15" x14ac:dyDescent="0.25">
      <c r="A109" s="259" t="s">
        <v>89</v>
      </c>
      <c r="B109" s="468" t="s">
        <v>298</v>
      </c>
      <c r="C109" s="468"/>
      <c r="D109" s="468"/>
      <c r="E109" s="468"/>
      <c r="F109" s="468"/>
      <c r="G109" s="469" t="s">
        <v>308</v>
      </c>
      <c r="H109" s="469"/>
      <c r="I109" s="469"/>
      <c r="J109" s="469" t="s">
        <v>310</v>
      </c>
      <c r="K109" s="469"/>
      <c r="L109" s="469"/>
      <c r="M109" s="470" t="s">
        <v>311</v>
      </c>
      <c r="N109" s="471"/>
      <c r="O109" s="472"/>
    </row>
    <row r="110" spans="1:15" x14ac:dyDescent="0.25">
      <c r="A110" s="152" t="str">
        <f>Current!I1</f>
        <v>Use Case</v>
      </c>
      <c r="B110" s="153" t="str">
        <f>Current!J1</f>
        <v>Count</v>
      </c>
      <c r="C110" s="153" t="str">
        <f>Current!K1</f>
        <v>Share</v>
      </c>
      <c r="D110" s="261" t="s">
        <v>7</v>
      </c>
      <c r="E110" s="261" t="s">
        <v>76</v>
      </c>
      <c r="F110" s="261" t="s">
        <v>6</v>
      </c>
      <c r="G110" s="261" t="s">
        <v>7</v>
      </c>
      <c r="H110" s="261" t="s">
        <v>76</v>
      </c>
      <c r="I110" s="261" t="s">
        <v>6</v>
      </c>
      <c r="J110" s="261" t="s">
        <v>7</v>
      </c>
      <c r="K110" s="261" t="s">
        <v>76</v>
      </c>
      <c r="L110" s="261" t="s">
        <v>6</v>
      </c>
      <c r="M110" s="318" t="s">
        <v>7</v>
      </c>
      <c r="N110" s="318" t="s">
        <v>76</v>
      </c>
      <c r="O110" s="171" t="s">
        <v>6</v>
      </c>
    </row>
    <row r="111" spans="1:15" x14ac:dyDescent="0.25">
      <c r="A111" s="152" t="str">
        <f>Current!I2</f>
        <v>Human Space Flight</v>
      </c>
      <c r="B111" s="149">
        <f>Current!W2</f>
        <v>18</v>
      </c>
      <c r="C111" s="135">
        <f t="shared" ref="C111:C116" si="34">B111/$B$75</f>
        <v>0.27692307692307694</v>
      </c>
      <c r="D111" s="158">
        <f t="shared" ref="D111:F117" si="35">ROUND($B111*(1+I$90),0)</f>
        <v>13</v>
      </c>
      <c r="E111" s="158">
        <f t="shared" si="35"/>
        <v>19</v>
      </c>
      <c r="F111" s="158">
        <f t="shared" si="35"/>
        <v>25</v>
      </c>
      <c r="G111" s="168">
        <f>D111*Current!$L$14</f>
        <v>305488.80154320993</v>
      </c>
      <c r="H111" s="168">
        <f>E111*Current!$L$14</f>
        <v>446483.63302469137</v>
      </c>
      <c r="I111" s="168">
        <f>F111*Current!$L$14</f>
        <v>587478.46450617292</v>
      </c>
      <c r="J111" s="168">
        <f>G111*$B$12</f>
        <v>27799480.940432105</v>
      </c>
      <c r="K111" s="168">
        <f t="shared" ref="K111:L117" si="36">H111*$B$12</f>
        <v>40630010.605246916</v>
      </c>
      <c r="L111" s="168">
        <f t="shared" si="36"/>
        <v>53460540.270061739</v>
      </c>
      <c r="M111" s="168">
        <f>J111+(J111/POWER(1+(Future_Cost!$B$133/100),1))+(J111/POWER(1+(Future_Cost!$B$133/100),2))+(J111/POWER(1+(Future_Cost!$B$133/100),3))+(J111/POWER(1+(Future_Cost!$B$133/100),4))</f>
        <v>138997404.70216054</v>
      </c>
      <c r="N111" s="168">
        <f>K111+(K111/POWER(1+(Future_Cost!$B$133/100),1))+(K111/POWER(1+(Future_Cost!$B$133/100),2))+(K111/POWER(1+(Future_Cost!$B$133/100),3))+(K111/POWER(1+(Future_Cost!$B$133/100),4))</f>
        <v>203150053.02623457</v>
      </c>
      <c r="O111" s="169">
        <f>L111+(L111/POWER(1+(Future_Cost!$B$133/100),1))+(L111/POWER(1+(Future_Cost!$B$133/100),2))+(L111/POWER(1+(Future_Cost!$B$133/100),3))+(L111/POWER(1+(Future_Cost!$B$133/100),4))</f>
        <v>267302701.35030869</v>
      </c>
    </row>
    <row r="112" spans="1:15" x14ac:dyDescent="0.25">
      <c r="A112" s="152" t="str">
        <f>Current!I3</f>
        <v>Near Earth Robotic - LEO Science</v>
      </c>
      <c r="B112" s="149">
        <f>Current!W3</f>
        <v>25</v>
      </c>
      <c r="C112" s="135">
        <f t="shared" si="34"/>
        <v>0.38461538461538464</v>
      </c>
      <c r="D112" s="158">
        <f t="shared" si="35"/>
        <v>19</v>
      </c>
      <c r="E112" s="158">
        <f t="shared" si="35"/>
        <v>27</v>
      </c>
      <c r="F112" s="158">
        <f t="shared" si="35"/>
        <v>35</v>
      </c>
      <c r="G112" s="168">
        <f>D112*Current!$L$14</f>
        <v>446483.63302469137</v>
      </c>
      <c r="H112" s="168">
        <f>E112*Current!$L$14</f>
        <v>634476.7416666667</v>
      </c>
      <c r="I112" s="168">
        <f>F112*Current!$L$14</f>
        <v>822469.85030864202</v>
      </c>
      <c r="J112" s="168">
        <f t="shared" ref="J112:J117" si="37">G112*$B$12</f>
        <v>40630010.605246916</v>
      </c>
      <c r="K112" s="168">
        <f t="shared" si="36"/>
        <v>57737383.491666667</v>
      </c>
      <c r="L112" s="168">
        <f t="shared" si="36"/>
        <v>74844756.378086418</v>
      </c>
      <c r="M112" s="168">
        <f>J112+(J112/POWER(1+(Future_Cost!$B$133/100),1))+(J112/POWER(1+(Future_Cost!$B$133/100),2))+(J112/POWER(1+(Future_Cost!$B$133/100),3))+(J112/POWER(1+(Future_Cost!$B$133/100),4))</f>
        <v>203150053.02623457</v>
      </c>
      <c r="N112" s="168">
        <f>K112+(K112/POWER(1+(Future_Cost!$B$133/100),1))+(K112/POWER(1+(Future_Cost!$B$133/100),2))+(K112/POWER(1+(Future_Cost!$B$133/100),3))+(K112/POWER(1+(Future_Cost!$B$133/100),4))</f>
        <v>288686917.45833331</v>
      </c>
      <c r="O112" s="169">
        <f>L112+(L112/POWER(1+(Future_Cost!$B$133/100),1))+(L112/POWER(1+(Future_Cost!$B$133/100),2))+(L112/POWER(1+(Future_Cost!$B$133/100),3))+(L112/POWER(1+(Future_Cost!$B$133/100),4))</f>
        <v>374223781.89043212</v>
      </c>
    </row>
    <row r="113" spans="1:15" x14ac:dyDescent="0.25">
      <c r="A113" s="152" t="str">
        <f>Current!I4</f>
        <v>Near Earth Robotic - GEO and Near Earth</v>
      </c>
      <c r="B113" s="149">
        <f>Current!W4</f>
        <v>4</v>
      </c>
      <c r="C113" s="135">
        <f t="shared" si="34"/>
        <v>6.1538461538461542E-2</v>
      </c>
      <c r="D113" s="158">
        <f t="shared" si="35"/>
        <v>3</v>
      </c>
      <c r="E113" s="158">
        <f t="shared" si="35"/>
        <v>4</v>
      </c>
      <c r="F113" s="158">
        <f t="shared" si="35"/>
        <v>6</v>
      </c>
      <c r="G113" s="168">
        <f>D113*Current!$L$14</f>
        <v>70497.415740740747</v>
      </c>
      <c r="H113" s="168">
        <f>E113*Current!$L$14</f>
        <v>93996.554320987663</v>
      </c>
      <c r="I113" s="168">
        <f>F113*Current!$L$14</f>
        <v>140994.83148148149</v>
      </c>
      <c r="J113" s="168">
        <f t="shared" si="37"/>
        <v>6415264.8324074084</v>
      </c>
      <c r="K113" s="168">
        <f t="shared" si="36"/>
        <v>8553686.4432098772</v>
      </c>
      <c r="L113" s="168">
        <f t="shared" si="36"/>
        <v>12830529.664814817</v>
      </c>
      <c r="M113" s="168">
        <f>J113+(J113/POWER(1+(Future_Cost!$B$133/100),1))+(J113/POWER(1+(Future_Cost!$B$133/100),2))+(J113/POWER(1+(Future_Cost!$B$133/100),3))+(J113/POWER(1+(Future_Cost!$B$133/100),4))</f>
        <v>32076324.162037041</v>
      </c>
      <c r="N113" s="168">
        <f>K113+(K113/POWER(1+(Future_Cost!$B$133/100),1))+(K113/POWER(1+(Future_Cost!$B$133/100),2))+(K113/POWER(1+(Future_Cost!$B$133/100),3))+(K113/POWER(1+(Future_Cost!$B$133/100),4))</f>
        <v>42768432.216049388</v>
      </c>
      <c r="O113" s="169">
        <f>L113+(L113/POWER(1+(Future_Cost!$B$133/100),1))+(L113/POWER(1+(Future_Cost!$B$133/100),2))+(L113/POWER(1+(Future_Cost!$B$133/100),3))+(L113/POWER(1+(Future_Cost!$B$133/100),4))</f>
        <v>64152648.324074082</v>
      </c>
    </row>
    <row r="114" spans="1:15" x14ac:dyDescent="0.25">
      <c r="A114" s="152" t="str">
        <f>Current!I5</f>
        <v>Deep Space Robotic</v>
      </c>
      <c r="B114" s="149">
        <f>Current!W5</f>
        <v>1</v>
      </c>
      <c r="C114" s="135">
        <f t="shared" si="34"/>
        <v>1.5384615384615385E-2</v>
      </c>
      <c r="D114" s="158">
        <f t="shared" si="35"/>
        <v>1</v>
      </c>
      <c r="E114" s="158">
        <f t="shared" si="35"/>
        <v>1</v>
      </c>
      <c r="F114" s="158">
        <f t="shared" si="35"/>
        <v>1</v>
      </c>
      <c r="G114" s="168">
        <f>D114*Current!$L$14</f>
        <v>23499.138580246916</v>
      </c>
      <c r="H114" s="168">
        <f>E114*Current!$L$14</f>
        <v>23499.138580246916</v>
      </c>
      <c r="I114" s="168">
        <f>F114*Current!$L$14</f>
        <v>23499.138580246916</v>
      </c>
      <c r="J114" s="168">
        <f t="shared" si="37"/>
        <v>2138421.6108024693</v>
      </c>
      <c r="K114" s="168">
        <f t="shared" si="36"/>
        <v>2138421.6108024693</v>
      </c>
      <c r="L114" s="168">
        <f t="shared" si="36"/>
        <v>2138421.6108024693</v>
      </c>
      <c r="M114" s="168">
        <f>J114+(J114/POWER(1+(Future_Cost!$B$133/100),1))+(J114/POWER(1+(Future_Cost!$B$133/100),2))+(J114/POWER(1+(Future_Cost!$B$133/100),3))+(J114/POWER(1+(Future_Cost!$B$133/100),4))</f>
        <v>10692108.054012347</v>
      </c>
      <c r="N114" s="168">
        <f>K114+(K114/POWER(1+(Future_Cost!$B$133/100),1))+(K114/POWER(1+(Future_Cost!$B$133/100),2))+(K114/POWER(1+(Future_Cost!$B$133/100),3))+(K114/POWER(1+(Future_Cost!$B$133/100),4))</f>
        <v>10692108.054012347</v>
      </c>
      <c r="O114" s="169">
        <f>L114+(L114/POWER(1+(Future_Cost!$B$133/100),1))+(L114/POWER(1+(Future_Cost!$B$133/100),2))+(L114/POWER(1+(Future_Cost!$B$133/100),3))+(L114/POWER(1+(Future_Cost!$B$133/100),4))</f>
        <v>10692108.054012347</v>
      </c>
    </row>
    <row r="115" spans="1:15" x14ac:dyDescent="0.25">
      <c r="A115" s="152" t="str">
        <f>Current!I6</f>
        <v>Near Earth Robotic - Low Latency &amp; Complex Needs</v>
      </c>
      <c r="B115" s="149">
        <f>Current!W6</f>
        <v>2</v>
      </c>
      <c r="C115" s="135">
        <f t="shared" si="34"/>
        <v>3.0769230769230771E-2</v>
      </c>
      <c r="D115" s="158">
        <f t="shared" si="35"/>
        <v>1</v>
      </c>
      <c r="E115" s="158">
        <f t="shared" si="35"/>
        <v>2</v>
      </c>
      <c r="F115" s="158">
        <f t="shared" si="35"/>
        <v>3</v>
      </c>
      <c r="G115" s="168">
        <f>D115*Current!$L$14</f>
        <v>23499.138580246916</v>
      </c>
      <c r="H115" s="168">
        <f>E115*Current!$L$14</f>
        <v>46998.277160493832</v>
      </c>
      <c r="I115" s="168">
        <f>F115*Current!$L$14</f>
        <v>70497.415740740747</v>
      </c>
      <c r="J115" s="168">
        <f t="shared" si="37"/>
        <v>2138421.6108024693</v>
      </c>
      <c r="K115" s="168">
        <f t="shared" si="36"/>
        <v>4276843.2216049386</v>
      </c>
      <c r="L115" s="168">
        <f t="shared" si="36"/>
        <v>6415264.8324074084</v>
      </c>
      <c r="M115" s="168">
        <f>J115+(J115/POWER(1+(Future_Cost!$B$133/100),1))+(J115/POWER(1+(Future_Cost!$B$133/100),2))+(J115/POWER(1+(Future_Cost!$B$133/100),3))+(J115/POWER(1+(Future_Cost!$B$133/100),4))</f>
        <v>10692108.054012347</v>
      </c>
      <c r="N115" s="168">
        <f>K115+(K115/POWER(1+(Future_Cost!$B$133/100),1))+(K115/POWER(1+(Future_Cost!$B$133/100),2))+(K115/POWER(1+(Future_Cost!$B$133/100),3))+(K115/POWER(1+(Future_Cost!$B$133/100),4))</f>
        <v>21384216.108024694</v>
      </c>
      <c r="O115" s="169">
        <f>L115+(L115/POWER(1+(Future_Cost!$B$133/100),1))+(L115/POWER(1+(Future_Cost!$B$133/100),2))+(L115/POWER(1+(Future_Cost!$B$133/100),3))+(L115/POWER(1+(Future_Cost!$B$133/100),4))</f>
        <v>32076324.162037041</v>
      </c>
    </row>
    <row r="116" spans="1:15" x14ac:dyDescent="0.25">
      <c r="A116" s="152" t="str">
        <f>Current!I7</f>
        <v>Mission Operations</v>
      </c>
      <c r="B116" s="149">
        <f>Current!W7</f>
        <v>0</v>
      </c>
      <c r="C116" s="135">
        <f t="shared" si="34"/>
        <v>0</v>
      </c>
      <c r="D116" s="158">
        <f t="shared" si="35"/>
        <v>0</v>
      </c>
      <c r="E116" s="158">
        <f t="shared" si="35"/>
        <v>0</v>
      </c>
      <c r="F116" s="158">
        <f t="shared" si="35"/>
        <v>0</v>
      </c>
      <c r="G116" s="168">
        <f>D116*Current!$L$14</f>
        <v>0</v>
      </c>
      <c r="H116" s="168">
        <f>E116*Current!$L$14</f>
        <v>0</v>
      </c>
      <c r="I116" s="168">
        <f>F116*Current!$L$14</f>
        <v>0</v>
      </c>
      <c r="J116" s="168">
        <f t="shared" si="37"/>
        <v>0</v>
      </c>
      <c r="K116" s="168">
        <f t="shared" si="36"/>
        <v>0</v>
      </c>
      <c r="L116" s="168">
        <f t="shared" si="36"/>
        <v>0</v>
      </c>
      <c r="M116" s="168">
        <f>J116+(J116/POWER(1+(Future_Cost!$B$133/100),1))+(J116/POWER(1+(Future_Cost!$B$133/100),2))+(J116/POWER(1+(Future_Cost!$B$133/100),3))+(J116/POWER(1+(Future_Cost!$B$133/100),4))</f>
        <v>0</v>
      </c>
      <c r="N116" s="168">
        <f>K116+(K116/POWER(1+(Future_Cost!$B$133/100),1))+(K116/POWER(1+(Future_Cost!$B$133/100),2))+(K116/POWER(1+(Future_Cost!$B$133/100),3))+(K116/POWER(1+(Future_Cost!$B$133/100),4))</f>
        <v>0</v>
      </c>
      <c r="O116" s="169">
        <f>L116+(L116/POWER(1+(Future_Cost!$B$133/100),1))+(L116/POWER(1+(Future_Cost!$B$133/100),2))+(L116/POWER(1+(Future_Cost!$B$133/100),3))+(L116/POWER(1+(Future_Cost!$B$133/100),4))</f>
        <v>0</v>
      </c>
    </row>
    <row r="117" spans="1:15" x14ac:dyDescent="0.25">
      <c r="A117" s="152" t="str">
        <f>Current!I9</f>
        <v>Terrestrial &amp; Aerial</v>
      </c>
      <c r="B117" s="149">
        <f>Current!W9</f>
        <v>15</v>
      </c>
      <c r="C117" s="135">
        <f>B117/$B$75</f>
        <v>0.23076923076923078</v>
      </c>
      <c r="D117" s="158">
        <f t="shared" si="35"/>
        <v>11</v>
      </c>
      <c r="E117" s="158">
        <f t="shared" si="35"/>
        <v>16</v>
      </c>
      <c r="F117" s="158">
        <f t="shared" si="35"/>
        <v>21</v>
      </c>
      <c r="G117" s="168">
        <f>D117*Current!$L$14</f>
        <v>258490.52438271607</v>
      </c>
      <c r="H117" s="168">
        <f>E117*Current!$L$14</f>
        <v>375986.21728395065</v>
      </c>
      <c r="I117" s="168">
        <f>F117*Current!$L$14</f>
        <v>493481.91018518526</v>
      </c>
      <c r="J117" s="168">
        <f t="shared" si="37"/>
        <v>23522637.718827162</v>
      </c>
      <c r="K117" s="168">
        <f t="shared" si="36"/>
        <v>34214745.772839509</v>
      </c>
      <c r="L117" s="168">
        <f t="shared" si="36"/>
        <v>44906853.82685186</v>
      </c>
      <c r="M117" s="168">
        <f>J117+(J117/POWER(1+(Future_Cost!$B$133/100),1))+(J117/POWER(1+(Future_Cost!$B$133/100),2))+(J117/POWER(1+(Future_Cost!$B$133/100),3))+(J117/POWER(1+(Future_Cost!$B$133/100),4))</f>
        <v>117613188.59413581</v>
      </c>
      <c r="N117" s="168">
        <f>K117+(K117/POWER(1+(Future_Cost!$B$133/100),1))+(K117/POWER(1+(Future_Cost!$B$133/100),2))+(K117/POWER(1+(Future_Cost!$B$133/100),3))+(K117/POWER(1+(Future_Cost!$B$133/100),4))</f>
        <v>171073728.86419755</v>
      </c>
      <c r="O117" s="169">
        <f>L117+(L117/POWER(1+(Future_Cost!$B$133/100),1))+(L117/POWER(1+(Future_Cost!$B$133/100),2))+(L117/POWER(1+(Future_Cost!$B$133/100),3))+(L117/POWER(1+(Future_Cost!$B$133/100),4))</f>
        <v>224534269.13425928</v>
      </c>
    </row>
    <row r="118" spans="1:15" ht="15.6" thickBot="1" x14ac:dyDescent="0.3">
      <c r="A118" s="151" t="s">
        <v>297</v>
      </c>
      <c r="B118" s="147">
        <f>SUM(B111:B116,B117)</f>
        <v>65</v>
      </c>
      <c r="C118" s="305">
        <f>SUM(C111:C117)</f>
        <v>1</v>
      </c>
      <c r="D118" s="159">
        <f t="shared" ref="D118:O118" si="38">SUM(D111:D117)</f>
        <v>48</v>
      </c>
      <c r="E118" s="159">
        <f t="shared" si="38"/>
        <v>69</v>
      </c>
      <c r="F118" s="159">
        <f t="shared" si="38"/>
        <v>91</v>
      </c>
      <c r="G118" s="159">
        <f t="shared" si="38"/>
        <v>1127958.651851852</v>
      </c>
      <c r="H118" s="159">
        <f t="shared" si="38"/>
        <v>1621440.562037037</v>
      </c>
      <c r="I118" s="159">
        <f t="shared" si="38"/>
        <v>2138421.6108024688</v>
      </c>
      <c r="J118" s="159">
        <f t="shared" si="38"/>
        <v>102644237.31851853</v>
      </c>
      <c r="K118" s="159">
        <f t="shared" si="38"/>
        <v>147551091.14537036</v>
      </c>
      <c r="L118" s="159">
        <f t="shared" si="38"/>
        <v>194596366.58302474</v>
      </c>
      <c r="M118" s="159">
        <f t="shared" si="38"/>
        <v>513221186.59259266</v>
      </c>
      <c r="N118" s="159">
        <f t="shared" si="38"/>
        <v>737755455.72685194</v>
      </c>
      <c r="O118" s="160">
        <f t="shared" si="38"/>
        <v>972981832.91512346</v>
      </c>
    </row>
    <row r="120" spans="1:15" customFormat="1" ht="14.4" customHeight="1" x14ac:dyDescent="0.3"/>
    <row r="121" spans="1:15" customFormat="1" ht="14.4" x14ac:dyDescent="0.3"/>
    <row r="122" spans="1:15" ht="14.4" x14ac:dyDescent="0.3">
      <c r="A122"/>
      <c r="B122"/>
      <c r="C122"/>
      <c r="D122"/>
      <c r="E122"/>
      <c r="F122"/>
      <c r="G122"/>
      <c r="H122"/>
    </row>
    <row r="123" spans="1:15" ht="14.4" x14ac:dyDescent="0.3">
      <c r="A123"/>
      <c r="B123"/>
      <c r="C123"/>
      <c r="D123"/>
      <c r="E123"/>
      <c r="F123"/>
      <c r="G123"/>
      <c r="H123"/>
    </row>
    <row r="124" spans="1:15" ht="14.4" x14ac:dyDescent="0.3">
      <c r="A124"/>
      <c r="B124"/>
      <c r="C124"/>
      <c r="D124"/>
      <c r="E124"/>
      <c r="F124"/>
      <c r="G124"/>
      <c r="H124"/>
    </row>
    <row r="125" spans="1:15" ht="14.4" x14ac:dyDescent="0.3">
      <c r="A125"/>
      <c r="B125"/>
      <c r="C125"/>
      <c r="D125"/>
      <c r="E125"/>
      <c r="F125"/>
      <c r="G125"/>
      <c r="H125"/>
    </row>
    <row r="126" spans="1:15" ht="14.4" x14ac:dyDescent="0.3">
      <c r="A126"/>
      <c r="B126"/>
      <c r="C126"/>
      <c r="D126"/>
      <c r="E126"/>
      <c r="F126"/>
      <c r="G126"/>
      <c r="H126"/>
    </row>
    <row r="127" spans="1:15" ht="14.4" x14ac:dyDescent="0.3">
      <c r="A127"/>
      <c r="B127"/>
      <c r="C127"/>
      <c r="D127"/>
      <c r="E127"/>
      <c r="F127"/>
      <c r="G127"/>
      <c r="H127"/>
    </row>
    <row r="128" spans="1:15" ht="14.4" x14ac:dyDescent="0.3">
      <c r="A128"/>
      <c r="B128"/>
      <c r="C128"/>
      <c r="D128"/>
      <c r="E128"/>
      <c r="F128"/>
      <c r="G128"/>
      <c r="H128"/>
    </row>
    <row r="129" spans="1:11" ht="14.4" x14ac:dyDescent="0.3">
      <c r="A129"/>
      <c r="B129"/>
      <c r="C129"/>
      <c r="D129"/>
      <c r="E129"/>
      <c r="F129"/>
      <c r="G129"/>
      <c r="H129"/>
    </row>
    <row r="130" spans="1:11" ht="14.4" x14ac:dyDescent="0.3">
      <c r="A130"/>
      <c r="B130"/>
      <c r="C130"/>
      <c r="D130"/>
      <c r="E130"/>
      <c r="F130"/>
      <c r="G130"/>
      <c r="H130"/>
    </row>
    <row r="131" spans="1:11" ht="14.4" x14ac:dyDescent="0.3">
      <c r="A131"/>
      <c r="B131"/>
      <c r="C131"/>
      <c r="D131"/>
      <c r="E131"/>
      <c r="F131"/>
      <c r="G131"/>
      <c r="H131"/>
    </row>
    <row r="132" spans="1:11" ht="14.4" x14ac:dyDescent="0.3">
      <c r="A132"/>
      <c r="B132"/>
      <c r="C132"/>
      <c r="D132"/>
      <c r="E132"/>
      <c r="F132"/>
      <c r="G132"/>
      <c r="H132"/>
      <c r="J132" s="2"/>
      <c r="K132" s="2"/>
    </row>
    <row r="133" spans="1:11" ht="14.4" x14ac:dyDescent="0.3">
      <c r="A133"/>
      <c r="B133"/>
      <c r="C133"/>
      <c r="D133"/>
      <c r="E133"/>
      <c r="F133"/>
      <c r="G133"/>
      <c r="H133"/>
      <c r="J133" s="2"/>
      <c r="K133" s="2"/>
    </row>
    <row r="134" spans="1:11" ht="14.4" x14ac:dyDescent="0.3">
      <c r="A134"/>
      <c r="B134"/>
      <c r="C134"/>
      <c r="D134"/>
      <c r="E134"/>
      <c r="F134"/>
      <c r="G134"/>
      <c r="H134"/>
    </row>
    <row r="138" spans="1:11" ht="14.4" x14ac:dyDescent="0.3">
      <c r="B138"/>
      <c r="C138"/>
      <c r="D138"/>
      <c r="E138"/>
    </row>
    <row r="139" spans="1:11" ht="14.4" x14ac:dyDescent="0.3">
      <c r="B139"/>
      <c r="C139"/>
      <c r="D139"/>
      <c r="E139"/>
    </row>
    <row r="140" spans="1:11" ht="14.4" x14ac:dyDescent="0.3">
      <c r="B140"/>
      <c r="C140"/>
      <c r="D140"/>
      <c r="E140"/>
    </row>
    <row r="141" spans="1:11" ht="14.4" x14ac:dyDescent="0.3">
      <c r="B141"/>
      <c r="C141"/>
      <c r="D141"/>
      <c r="E141"/>
    </row>
    <row r="142" spans="1:11" ht="14.4" x14ac:dyDescent="0.3">
      <c r="B142"/>
      <c r="C142"/>
      <c r="D142"/>
      <c r="E142"/>
    </row>
    <row r="143" spans="1:11" ht="14.4" x14ac:dyDescent="0.3">
      <c r="B143"/>
      <c r="C143"/>
      <c r="D143"/>
      <c r="E143"/>
    </row>
    <row r="144" spans="1:11" ht="14.4" x14ac:dyDescent="0.3">
      <c r="B144"/>
      <c r="C144"/>
      <c r="D144"/>
      <c r="E144"/>
    </row>
    <row r="177" spans="9:13" x14ac:dyDescent="0.25">
      <c r="I177" s="2"/>
      <c r="J177" s="2"/>
      <c r="K177" s="2"/>
      <c r="L177" s="2"/>
      <c r="M177" s="2"/>
    </row>
    <row r="178" spans="9:13" x14ac:dyDescent="0.25">
      <c r="I178" s="2"/>
      <c r="J178" s="2"/>
      <c r="K178" s="2"/>
      <c r="L178" s="2"/>
      <c r="M178" s="2"/>
    </row>
    <row r="179" spans="9:13" x14ac:dyDescent="0.25">
      <c r="I179" s="2"/>
      <c r="J179" s="2"/>
      <c r="K179" s="2"/>
      <c r="L179" s="2"/>
      <c r="M179" s="2"/>
    </row>
    <row r="180" spans="9:13" x14ac:dyDescent="0.25">
      <c r="I180" s="2"/>
      <c r="J180" s="2"/>
      <c r="K180" s="2"/>
      <c r="L180" s="2"/>
      <c r="M180" s="2"/>
    </row>
    <row r="181" spans="9:13" x14ac:dyDescent="0.25">
      <c r="I181" s="2"/>
      <c r="J181" s="2"/>
      <c r="K181" s="2"/>
      <c r="L181" s="2"/>
      <c r="M181" s="2"/>
    </row>
    <row r="182" spans="9:13" x14ac:dyDescent="0.25">
      <c r="I182" s="2"/>
      <c r="J182" s="2"/>
      <c r="K182" s="2"/>
      <c r="L182" s="2"/>
      <c r="M182" s="2"/>
    </row>
    <row r="183" spans="9:13" x14ac:dyDescent="0.25">
      <c r="I183" s="2"/>
      <c r="J183" s="2"/>
      <c r="K183" s="2"/>
      <c r="L183" s="2"/>
      <c r="M183" s="2"/>
    </row>
    <row r="184" spans="9:13" x14ac:dyDescent="0.25">
      <c r="I184" s="2"/>
      <c r="J184" s="2"/>
      <c r="K184" s="2"/>
      <c r="L184" s="2"/>
      <c r="M184" s="2"/>
    </row>
    <row r="185" spans="9:13" x14ac:dyDescent="0.25">
      <c r="I185" s="2"/>
      <c r="J185" s="2"/>
      <c r="K185" s="2"/>
      <c r="L185" s="2"/>
      <c r="M185" s="2"/>
    </row>
    <row r="186" spans="9:13" x14ac:dyDescent="0.25">
      <c r="I186" s="2"/>
      <c r="J186" s="2"/>
      <c r="K186" s="2"/>
      <c r="L186" s="2"/>
      <c r="M186" s="2"/>
    </row>
  </sheetData>
  <mergeCells count="71">
    <mergeCell ref="Q5:Q6"/>
    <mergeCell ref="S5:T6"/>
    <mergeCell ref="U5:U6"/>
    <mergeCell ref="V5:V6"/>
    <mergeCell ref="N9:O9"/>
    <mergeCell ref="N5:O6"/>
    <mergeCell ref="D4:E4"/>
    <mergeCell ref="L5:L6"/>
    <mergeCell ref="S12:T12"/>
    <mergeCell ref="S13:T13"/>
    <mergeCell ref="S10:T10"/>
    <mergeCell ref="S11:T11"/>
    <mergeCell ref="N10:O10"/>
    <mergeCell ref="N11:O11"/>
    <mergeCell ref="N12:O12"/>
    <mergeCell ref="N13:O13"/>
    <mergeCell ref="N4:Q4"/>
    <mergeCell ref="S4:V4"/>
    <mergeCell ref="S7:T7"/>
    <mergeCell ref="S8:T8"/>
    <mergeCell ref="S9:T9"/>
    <mergeCell ref="P5:P6"/>
    <mergeCell ref="A2:O2"/>
    <mergeCell ref="A16:B17"/>
    <mergeCell ref="A9:B9"/>
    <mergeCell ref="D15:F15"/>
    <mergeCell ref="J13:K13"/>
    <mergeCell ref="J12:K12"/>
    <mergeCell ref="J11:K11"/>
    <mergeCell ref="J10:K10"/>
    <mergeCell ref="J9:K9"/>
    <mergeCell ref="J5:K6"/>
    <mergeCell ref="J4:L4"/>
    <mergeCell ref="N7:O7"/>
    <mergeCell ref="N8:O8"/>
    <mergeCell ref="J8:K8"/>
    <mergeCell ref="J7:K7"/>
    <mergeCell ref="A4:B4"/>
    <mergeCell ref="B54:F54"/>
    <mergeCell ref="G54:I54"/>
    <mergeCell ref="J54:L54"/>
    <mergeCell ref="C16:C17"/>
    <mergeCell ref="D16:F16"/>
    <mergeCell ref="G16:I16"/>
    <mergeCell ref="G23:K23"/>
    <mergeCell ref="G25:G27"/>
    <mergeCell ref="G28:G29"/>
    <mergeCell ref="A23:E23"/>
    <mergeCell ref="A25:A27"/>
    <mergeCell ref="A28:A29"/>
    <mergeCell ref="M109:O109"/>
    <mergeCell ref="A87:B88"/>
    <mergeCell ref="C87:E87"/>
    <mergeCell ref="F87:H87"/>
    <mergeCell ref="I87:K87"/>
    <mergeCell ref="A92:B92"/>
    <mergeCell ref="A93:B93"/>
    <mergeCell ref="A94:B94"/>
    <mergeCell ref="B97:F97"/>
    <mergeCell ref="G97:I97"/>
    <mergeCell ref="J97:L97"/>
    <mergeCell ref="M97:O97"/>
    <mergeCell ref="B109:F109"/>
    <mergeCell ref="G109:I109"/>
    <mergeCell ref="J109:L109"/>
    <mergeCell ref="B66:F66"/>
    <mergeCell ref="G66:I66"/>
    <mergeCell ref="J66:L66"/>
    <mergeCell ref="B78:F78"/>
    <mergeCell ref="G78:I78"/>
    <mergeCell ref="J78:L78"/>
  </mergeCells>
  <conditionalFormatting sqref="C25:E29">
    <cfRule type="dataBar" priority="2">
      <dataBar>
        <cfvo type="min"/>
        <cfvo type="max"/>
        <color rgb="FF638EC6"/>
      </dataBar>
      <extLst>
        <ext xmlns:x14="http://schemas.microsoft.com/office/spreadsheetml/2009/9/main" uri="{B025F937-C7B1-47D3-B67F-A62EFF666E3E}">
          <x14:id>{0A509FE8-6673-44B6-A930-D319ADD59AFC}</x14:id>
        </ext>
      </extLst>
    </cfRule>
  </conditionalFormatting>
  <conditionalFormatting sqref="I25:K29">
    <cfRule type="dataBar" priority="1">
      <dataBar>
        <cfvo type="min"/>
        <cfvo type="max"/>
        <color rgb="FF63C384"/>
      </dataBar>
      <extLst>
        <ext xmlns:x14="http://schemas.microsoft.com/office/spreadsheetml/2009/9/main" uri="{B025F937-C7B1-47D3-B67F-A62EFF666E3E}">
          <x14:id>{BC410792-198B-4D47-A003-7F395E3E894B}</x14:id>
        </ext>
      </extLst>
    </cfRule>
  </conditionalFormatting>
  <pageMargins left="0.75" right="0.75" top="1" bottom="1" header="0.5" footer="0.5"/>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0A509FE8-6673-44B6-A930-D319ADD59AFC}">
            <x14:dataBar minLength="0" maxLength="100" border="1" negativeBarBorderColorSameAsPositive="0">
              <x14:cfvo type="autoMin"/>
              <x14:cfvo type="autoMax"/>
              <x14:borderColor rgb="FF638EC6"/>
              <x14:negativeFillColor rgb="FFFF0000"/>
              <x14:negativeBorderColor rgb="FFFF0000"/>
              <x14:axisColor rgb="FF000000"/>
            </x14:dataBar>
          </x14:cfRule>
          <xm:sqref>C25:E29</xm:sqref>
        </x14:conditionalFormatting>
        <x14:conditionalFormatting xmlns:xm="http://schemas.microsoft.com/office/excel/2006/main">
          <x14:cfRule type="dataBar" id="{BC410792-198B-4D47-A003-7F395E3E894B}">
            <x14:dataBar minLength="0" maxLength="100" border="1" negativeBarBorderColorSameAsPositive="0">
              <x14:cfvo type="autoMin"/>
              <x14:cfvo type="autoMax"/>
              <x14:borderColor rgb="FF63C384"/>
              <x14:negativeFillColor rgb="FFFF0000"/>
              <x14:negativeBorderColor rgb="FFFF0000"/>
              <x14:axisColor rgb="FF000000"/>
            </x14:dataBar>
          </x14:cfRule>
          <xm:sqref>I25:K29</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603A80-E134-4B3B-AB72-46893990B6BE}">
          <x14:formula1>
            <xm:f>List_Options!$C$1:$C$2</xm:f>
          </x14:formula1>
          <xm:sqref>L7:L13</xm:sqref>
        </x14:dataValidation>
        <x14:dataValidation type="list" allowBlank="1" showInputMessage="1" showErrorMessage="1" xr:uid="{6E6D7F42-EF81-402F-A786-78DD47EBAF1A}">
          <x14:formula1>
            <xm:f>List_Options!$D$1:$D$101</xm:f>
          </x14:formula1>
          <xm:sqref>D18:F20</xm:sqref>
        </x14:dataValidation>
        <x14:dataValidation type="list" allowBlank="1" showInputMessage="1" showErrorMessage="1" xr:uid="{DCA5AB4C-6922-4B23-8132-8632A637318F}">
          <x14:formula1>
            <xm:f>List_Options!$B$3:$B$13</xm:f>
          </x14:formula1>
          <xm:sqref>B7</xm:sqref>
        </x14:dataValidation>
        <x14:dataValidation type="list" allowBlank="1" showInputMessage="1" showErrorMessage="1" xr:uid="{979010CF-5BD9-4B27-80C9-E69A15B641EC}">
          <x14:formula1>
            <xm:f>List_Options!$A$3:$A$12</xm:f>
          </x14:formula1>
          <xm:sqref>B6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A25A8-AB89-44E0-B717-CEC3AD143104}">
  <sheetPr codeName="Sheet7" filterMode="1">
    <tabColor rgb="FF92D050"/>
  </sheetPr>
  <dimension ref="A1:Z92"/>
  <sheetViews>
    <sheetView topLeftCell="E1" zoomScale="85" zoomScaleNormal="85" workbookViewId="0">
      <selection activeCell="K33" sqref="K32:K33"/>
    </sheetView>
  </sheetViews>
  <sheetFormatPr defaultRowHeight="13.8" x14ac:dyDescent="0.25"/>
  <cols>
    <col min="1" max="1" width="10.33203125" style="2" customWidth="1"/>
    <col min="2" max="2" width="10.5546875" style="2" customWidth="1"/>
    <col min="3" max="3" width="8" style="2" customWidth="1"/>
    <col min="4" max="4" width="24.21875" style="2" customWidth="1"/>
    <col min="5" max="5" width="13.33203125" style="2" customWidth="1"/>
    <col min="6" max="6" width="11.33203125" style="2" customWidth="1"/>
    <col min="7" max="7" width="11.77734375" style="2" customWidth="1"/>
    <col min="8" max="8" width="7" style="2" customWidth="1"/>
    <col min="9" max="9" width="50.5546875" style="2" customWidth="1"/>
    <col min="10" max="10" width="6.44140625" style="2" bestFit="1" customWidth="1"/>
    <col min="11" max="11" width="7.77734375" style="2" bestFit="1" customWidth="1"/>
    <col min="12" max="12" width="12.88671875" style="19" bestFit="1" customWidth="1"/>
    <col min="13" max="13" width="6.6640625" style="2" customWidth="1"/>
    <col min="14" max="14" width="10.5546875" style="2" customWidth="1"/>
    <col min="15" max="15" width="6.77734375" style="2" customWidth="1"/>
    <col min="16" max="16" width="11.44140625" style="2" customWidth="1"/>
    <col min="17" max="17" width="13.109375" style="2" customWidth="1"/>
    <col min="18" max="18" width="13.33203125" style="2" customWidth="1"/>
    <col min="19" max="19" width="11.77734375" style="2" customWidth="1"/>
    <col min="20" max="20" width="12.6640625" style="19" customWidth="1"/>
    <col min="21" max="21" width="5.77734375" style="2" customWidth="1"/>
    <col min="22" max="22" width="49.88671875" style="2" bestFit="1" customWidth="1"/>
    <col min="23" max="23" width="6.5546875" style="2" bestFit="1" customWidth="1"/>
    <col min="24" max="24" width="8.109375" style="2" bestFit="1" customWidth="1"/>
    <col min="25" max="25" width="12.21875" style="2" bestFit="1" customWidth="1"/>
    <col min="26" max="26" width="15.109375" style="2" bestFit="1" customWidth="1"/>
    <col min="27" max="16384" width="8.88671875" style="2"/>
  </cols>
  <sheetData>
    <row r="1" spans="1:26" s="270" customFormat="1" ht="55.2" x14ac:dyDescent="0.25">
      <c r="A1" s="271" t="s">
        <v>213</v>
      </c>
      <c r="B1" s="272" t="s">
        <v>212</v>
      </c>
      <c r="C1" s="272" t="s">
        <v>216</v>
      </c>
      <c r="D1" s="274" t="s">
        <v>82</v>
      </c>
      <c r="E1" s="274" t="s">
        <v>355</v>
      </c>
      <c r="F1" s="274" t="s">
        <v>356</v>
      </c>
      <c r="G1" s="275" t="s">
        <v>211</v>
      </c>
      <c r="H1" s="276"/>
      <c r="I1" s="271" t="s">
        <v>82</v>
      </c>
      <c r="J1" s="272" t="s">
        <v>83</v>
      </c>
      <c r="K1" s="272" t="s">
        <v>90</v>
      </c>
      <c r="L1" s="273" t="s">
        <v>354</v>
      </c>
      <c r="M1" s="276"/>
      <c r="N1" s="271" t="s">
        <v>213</v>
      </c>
      <c r="O1" s="272" t="s">
        <v>212</v>
      </c>
      <c r="P1" s="272" t="s">
        <v>216</v>
      </c>
      <c r="Q1" s="274" t="s">
        <v>82</v>
      </c>
      <c r="R1" s="274" t="s">
        <v>355</v>
      </c>
      <c r="S1" s="274" t="s">
        <v>356</v>
      </c>
      <c r="T1" s="273" t="s">
        <v>296</v>
      </c>
      <c r="U1" s="276"/>
      <c r="V1" s="271" t="s">
        <v>82</v>
      </c>
      <c r="W1" s="272" t="s">
        <v>83</v>
      </c>
      <c r="X1" s="272" t="s">
        <v>90</v>
      </c>
      <c r="Y1" s="273" t="s">
        <v>354</v>
      </c>
    </row>
    <row r="2" spans="1:26" ht="14.4" x14ac:dyDescent="0.3">
      <c r="A2" s="139" t="s">
        <v>47</v>
      </c>
      <c r="B2" s="138"/>
      <c r="C2" s="138" t="s">
        <v>215</v>
      </c>
      <c r="D2" s="141" t="s">
        <v>40</v>
      </c>
      <c r="E2" s="141">
        <v>0</v>
      </c>
      <c r="F2" s="141">
        <v>0</v>
      </c>
      <c r="G2" s="199">
        <v>3345.0000000000005</v>
      </c>
      <c r="I2" s="277" t="s">
        <v>43</v>
      </c>
      <c r="J2" s="278">
        <f>COUNTIFS($D$2:$D$100,I2, $E$2:$E$100,"=0")</f>
        <v>3</v>
      </c>
      <c r="K2" s="202">
        <f t="shared" ref="K2:K10" si="0">J2/$J$12</f>
        <v>4.5454545454545456E-2</v>
      </c>
      <c r="L2" s="279">
        <f>SUMIFS($G$2:$G$69,$D$2:$D$69,I2,$F$2:$F$69,"=0")</f>
        <v>462555.13333333336</v>
      </c>
      <c r="N2" s="139" t="s">
        <v>17</v>
      </c>
      <c r="O2" s="138"/>
      <c r="P2" s="150" t="s">
        <v>217</v>
      </c>
      <c r="Q2" s="138" t="s">
        <v>41</v>
      </c>
      <c r="R2" s="141">
        <v>0</v>
      </c>
      <c r="S2" s="141">
        <v>0</v>
      </c>
      <c r="T2" s="199">
        <v>67107</v>
      </c>
      <c r="V2" s="277" t="s">
        <v>43</v>
      </c>
      <c r="W2" s="278">
        <f t="shared" ref="W2:W9" si="1">COUNTIFS($Q$1:$Q$99,V2,$R$1:$R$99,"=0")</f>
        <v>18</v>
      </c>
      <c r="X2" s="202">
        <f t="shared" ref="X2:X10" si="2">W2/$W$12</f>
        <v>0.26865671641791045</v>
      </c>
      <c r="Y2" s="279">
        <f>SUMIFS($T$2:$T$83,$Q$2:$Q$83,V2,$S$2:$S$83,"=0")</f>
        <v>2513719</v>
      </c>
      <c r="Z2" s="22"/>
    </row>
    <row r="3" spans="1:26" ht="14.4" x14ac:dyDescent="0.3">
      <c r="A3" s="139" t="s">
        <v>17</v>
      </c>
      <c r="B3" s="138"/>
      <c r="C3" s="138" t="s">
        <v>217</v>
      </c>
      <c r="D3" s="141" t="s">
        <v>41</v>
      </c>
      <c r="E3" s="141">
        <v>0</v>
      </c>
      <c r="F3" s="141">
        <v>0</v>
      </c>
      <c r="G3" s="199">
        <v>3669.0000000000045</v>
      </c>
      <c r="I3" s="277" t="s">
        <v>41</v>
      </c>
      <c r="J3" s="278">
        <f t="shared" ref="J3:J10" si="3">COUNTIFS($D$2:$D$100,I3, $E$2:$E$100,"=0")</f>
        <v>34</v>
      </c>
      <c r="K3" s="202">
        <f t="shared" si="0"/>
        <v>0.51515151515151514</v>
      </c>
      <c r="L3" s="279">
        <f t="shared" ref="L3:L10" si="4">SUMIFS($G$2:$G$69,$D$2:$D$69,I3,$F$2:$F$69,"=0")</f>
        <v>659419.18333333335</v>
      </c>
      <c r="N3" s="139" t="s">
        <v>49</v>
      </c>
      <c r="O3" s="138"/>
      <c r="P3" s="45"/>
      <c r="Q3" s="138" t="s">
        <v>41</v>
      </c>
      <c r="R3" s="141">
        <v>0</v>
      </c>
      <c r="S3" s="141">
        <v>0</v>
      </c>
      <c r="T3" s="199">
        <v>646470</v>
      </c>
      <c r="V3" s="277" t="s">
        <v>41</v>
      </c>
      <c r="W3" s="278">
        <f t="shared" si="1"/>
        <v>25</v>
      </c>
      <c r="X3" s="202">
        <f t="shared" si="2"/>
        <v>0.37313432835820898</v>
      </c>
      <c r="Y3" s="279">
        <f t="shared" ref="Y3:Y9" si="5">SUMIFS($T$2:$T$83,$Q$2:$Q$83,V3,$R$2:$R$83,"=0")</f>
        <v>4379061</v>
      </c>
      <c r="Z3" s="22"/>
    </row>
    <row r="4" spans="1:26" ht="14.4" x14ac:dyDescent="0.3">
      <c r="A4" s="400" t="s">
        <v>152</v>
      </c>
      <c r="B4" s="150" t="s">
        <v>17</v>
      </c>
      <c r="C4" s="150" t="s">
        <v>217</v>
      </c>
      <c r="D4" s="401" t="s">
        <v>41</v>
      </c>
      <c r="E4" s="401">
        <v>0</v>
      </c>
      <c r="F4" s="401">
        <v>0</v>
      </c>
      <c r="G4" s="402">
        <v>4906.4500000000044</v>
      </c>
      <c r="I4" s="277" t="s">
        <v>40</v>
      </c>
      <c r="J4" s="278">
        <f t="shared" si="3"/>
        <v>17</v>
      </c>
      <c r="K4" s="202">
        <f t="shared" si="0"/>
        <v>0.25757575757575757</v>
      </c>
      <c r="L4" s="279">
        <f t="shared" si="4"/>
        <v>146979.16666666669</v>
      </c>
      <c r="N4" s="139" t="s">
        <v>227</v>
      </c>
      <c r="O4" s="138"/>
      <c r="P4" s="150"/>
      <c r="Q4" s="138" t="s">
        <v>42</v>
      </c>
      <c r="R4" s="141">
        <v>0</v>
      </c>
      <c r="S4" s="141">
        <v>0</v>
      </c>
      <c r="T4" s="199">
        <v>1471</v>
      </c>
      <c r="V4" s="277" t="s">
        <v>40</v>
      </c>
      <c r="W4" s="278">
        <f t="shared" si="1"/>
        <v>4</v>
      </c>
      <c r="X4" s="202">
        <f t="shared" si="2"/>
        <v>5.9701492537313432E-2</v>
      </c>
      <c r="Y4" s="279">
        <f t="shared" si="5"/>
        <v>437</v>
      </c>
      <c r="Z4" s="22"/>
    </row>
    <row r="5" spans="1:26" ht="14.4" x14ac:dyDescent="0.3">
      <c r="A5" s="139" t="s">
        <v>153</v>
      </c>
      <c r="B5" s="138" t="s">
        <v>49</v>
      </c>
      <c r="C5" s="138"/>
      <c r="D5" s="141" t="s">
        <v>41</v>
      </c>
      <c r="E5" s="141">
        <v>0</v>
      </c>
      <c r="F5" s="141">
        <v>0</v>
      </c>
      <c r="G5" s="199">
        <v>130459.95</v>
      </c>
      <c r="I5" s="277" t="s">
        <v>80</v>
      </c>
      <c r="J5" s="278">
        <f t="shared" si="3"/>
        <v>0</v>
      </c>
      <c r="K5" s="202">
        <f t="shared" si="0"/>
        <v>0</v>
      </c>
      <c r="L5" s="279">
        <f t="shared" si="4"/>
        <v>0</v>
      </c>
      <c r="N5" s="139" t="s">
        <v>52</v>
      </c>
      <c r="O5" s="138"/>
      <c r="P5" s="150"/>
      <c r="Q5" s="138" t="s">
        <v>41</v>
      </c>
      <c r="R5" s="141">
        <v>0</v>
      </c>
      <c r="S5" s="141">
        <v>0</v>
      </c>
      <c r="T5" s="199">
        <v>600092</v>
      </c>
      <c r="V5" s="277" t="s">
        <v>80</v>
      </c>
      <c r="W5" s="278">
        <f t="shared" si="1"/>
        <v>1</v>
      </c>
      <c r="X5" s="202">
        <f t="shared" si="2"/>
        <v>1.4925373134328358E-2</v>
      </c>
      <c r="Y5" s="279">
        <f t="shared" si="5"/>
        <v>572</v>
      </c>
      <c r="Z5" s="22"/>
    </row>
    <row r="6" spans="1:26" ht="14.4" x14ac:dyDescent="0.3">
      <c r="A6" s="139" t="s">
        <v>154</v>
      </c>
      <c r="B6" s="138" t="s">
        <v>52</v>
      </c>
      <c r="C6" s="138"/>
      <c r="D6" s="141" t="s">
        <v>41</v>
      </c>
      <c r="E6" s="141">
        <v>0</v>
      </c>
      <c r="F6" s="141">
        <v>0</v>
      </c>
      <c r="G6" s="199">
        <v>122399.21666666665</v>
      </c>
      <c r="I6" s="277" t="s">
        <v>44</v>
      </c>
      <c r="J6" s="278">
        <f t="shared" si="3"/>
        <v>0</v>
      </c>
      <c r="K6" s="202">
        <f t="shared" si="0"/>
        <v>0</v>
      </c>
      <c r="L6" s="279">
        <f t="shared" si="4"/>
        <v>0</v>
      </c>
      <c r="N6" s="139" t="s">
        <v>228</v>
      </c>
      <c r="O6" s="138"/>
      <c r="P6" s="150" t="s">
        <v>295</v>
      </c>
      <c r="Q6" s="138" t="s">
        <v>45</v>
      </c>
      <c r="R6" s="141">
        <v>1</v>
      </c>
      <c r="S6" s="141">
        <v>1</v>
      </c>
      <c r="T6" s="199">
        <v>469</v>
      </c>
      <c r="V6" s="277" t="s">
        <v>44</v>
      </c>
      <c r="W6" s="278">
        <f t="shared" si="1"/>
        <v>2</v>
      </c>
      <c r="X6" s="202">
        <f t="shared" si="2"/>
        <v>2.9850746268656716E-2</v>
      </c>
      <c r="Y6" s="279">
        <f t="shared" si="5"/>
        <v>8188</v>
      </c>
      <c r="Z6" s="22"/>
    </row>
    <row r="7" spans="1:26" ht="14.4" x14ac:dyDescent="0.3">
      <c r="A7" s="139" t="s">
        <v>155</v>
      </c>
      <c r="B7" s="138"/>
      <c r="C7" s="138"/>
      <c r="D7" s="141" t="s">
        <v>540</v>
      </c>
      <c r="E7" s="141">
        <v>0</v>
      </c>
      <c r="F7" s="141">
        <v>0</v>
      </c>
      <c r="G7" s="199">
        <v>1725.0000000000018</v>
      </c>
      <c r="I7" s="277" t="s">
        <v>81</v>
      </c>
      <c r="J7" s="278">
        <f t="shared" si="3"/>
        <v>0</v>
      </c>
      <c r="K7" s="202">
        <f t="shared" si="0"/>
        <v>0</v>
      </c>
      <c r="L7" s="279">
        <f t="shared" si="4"/>
        <v>0</v>
      </c>
      <c r="N7" s="139" t="s">
        <v>18</v>
      </c>
      <c r="O7" s="138"/>
      <c r="P7" s="150" t="s">
        <v>294</v>
      </c>
      <c r="Q7" s="138" t="s">
        <v>45</v>
      </c>
      <c r="R7" s="141">
        <v>1</v>
      </c>
      <c r="S7" s="141">
        <v>1</v>
      </c>
      <c r="T7" s="199">
        <v>276349</v>
      </c>
      <c r="V7" s="277" t="s">
        <v>81</v>
      </c>
      <c r="W7" s="278">
        <f t="shared" si="1"/>
        <v>0</v>
      </c>
      <c r="X7" s="202">
        <f t="shared" si="2"/>
        <v>0</v>
      </c>
      <c r="Y7" s="279">
        <f t="shared" si="5"/>
        <v>0</v>
      </c>
      <c r="Z7" s="22"/>
    </row>
    <row r="8" spans="1:26" ht="14.4" x14ac:dyDescent="0.3">
      <c r="A8" s="139" t="s">
        <v>156</v>
      </c>
      <c r="B8" s="138"/>
      <c r="C8" s="138"/>
      <c r="D8" s="141" t="s">
        <v>540</v>
      </c>
      <c r="E8" s="141">
        <v>0</v>
      </c>
      <c r="F8" s="141">
        <v>0</v>
      </c>
      <c r="G8" s="199">
        <v>2555.7333333333377</v>
      </c>
      <c r="I8" s="277" t="s">
        <v>42</v>
      </c>
      <c r="J8" s="278">
        <f t="shared" si="3"/>
        <v>0</v>
      </c>
      <c r="K8" s="202">
        <f t="shared" si="0"/>
        <v>0</v>
      </c>
      <c r="L8" s="279">
        <f t="shared" si="4"/>
        <v>0</v>
      </c>
      <c r="N8" s="139" t="s">
        <v>229</v>
      </c>
      <c r="O8" s="138"/>
      <c r="P8" s="150"/>
      <c r="Q8" s="138" t="s">
        <v>41</v>
      </c>
      <c r="R8" s="141">
        <v>0</v>
      </c>
      <c r="S8" s="141">
        <v>0</v>
      </c>
      <c r="T8" s="199">
        <v>486</v>
      </c>
      <c r="V8" s="277" t="s">
        <v>42</v>
      </c>
      <c r="W8" s="278">
        <f>COUNTIFS($Q$1:$Q$99,V8,$R$1:$R$99,"=0")</f>
        <v>2</v>
      </c>
      <c r="X8" s="202">
        <f t="shared" si="2"/>
        <v>2.9850746268656716E-2</v>
      </c>
      <c r="Y8" s="279">
        <f t="shared" si="5"/>
        <v>3344</v>
      </c>
      <c r="Z8" s="22"/>
    </row>
    <row r="9" spans="1:26" ht="14.4" x14ac:dyDescent="0.3">
      <c r="A9" s="139" t="s">
        <v>157</v>
      </c>
      <c r="B9" s="138" t="s">
        <v>333</v>
      </c>
      <c r="C9" s="138" t="s">
        <v>332</v>
      </c>
      <c r="D9" s="141" t="s">
        <v>41</v>
      </c>
      <c r="E9" s="141">
        <v>0</v>
      </c>
      <c r="F9" s="141">
        <v>0</v>
      </c>
      <c r="G9" s="199">
        <v>2115</v>
      </c>
      <c r="I9" s="277" t="s">
        <v>45</v>
      </c>
      <c r="J9" s="278">
        <f t="shared" si="3"/>
        <v>0</v>
      </c>
      <c r="K9" s="202">
        <f t="shared" si="0"/>
        <v>0</v>
      </c>
      <c r="L9" s="279">
        <f t="shared" si="4"/>
        <v>0</v>
      </c>
      <c r="N9" s="139" t="s">
        <v>230</v>
      </c>
      <c r="O9" s="138"/>
      <c r="P9" s="150"/>
      <c r="Q9" s="138" t="s">
        <v>43</v>
      </c>
      <c r="R9" s="141">
        <v>0</v>
      </c>
      <c r="S9" s="141">
        <v>0</v>
      </c>
      <c r="T9" s="199">
        <v>180</v>
      </c>
      <c r="V9" s="277" t="s">
        <v>45</v>
      </c>
      <c r="W9" s="278">
        <f t="shared" si="1"/>
        <v>15</v>
      </c>
      <c r="X9" s="202">
        <f t="shared" si="2"/>
        <v>0.22388059701492538</v>
      </c>
      <c r="Y9" s="279">
        <f t="shared" si="5"/>
        <v>260153</v>
      </c>
      <c r="Z9" s="22"/>
    </row>
    <row r="10" spans="1:26" ht="16.2" thickBot="1" x14ac:dyDescent="0.35">
      <c r="A10" s="139" t="s">
        <v>158</v>
      </c>
      <c r="B10" s="138" t="s">
        <v>53</v>
      </c>
      <c r="C10" s="138"/>
      <c r="D10" s="141" t="s">
        <v>41</v>
      </c>
      <c r="E10" s="141">
        <v>0</v>
      </c>
      <c r="F10" s="141">
        <v>0</v>
      </c>
      <c r="G10" s="199">
        <v>1022.0000000000001</v>
      </c>
      <c r="I10" s="228" t="s">
        <v>540</v>
      </c>
      <c r="J10" s="243">
        <f t="shared" si="3"/>
        <v>12</v>
      </c>
      <c r="K10" s="403">
        <f t="shared" si="0"/>
        <v>0.18181818181818182</v>
      </c>
      <c r="L10" s="282">
        <f t="shared" si="4"/>
        <v>257376.79999999996</v>
      </c>
      <c r="N10" s="139" t="s">
        <v>231</v>
      </c>
      <c r="O10" s="138"/>
      <c r="P10" s="150"/>
      <c r="Q10" s="138" t="s">
        <v>43</v>
      </c>
      <c r="R10" s="141">
        <v>0</v>
      </c>
      <c r="S10" s="141">
        <v>0</v>
      </c>
      <c r="T10" s="199">
        <v>53049</v>
      </c>
      <c r="V10" s="228" t="s">
        <v>540</v>
      </c>
      <c r="W10" s="280">
        <f t="shared" ref="W10" si="6">COUNTIFS($Q$1:$Q$99,V10,$R$1:$R$99,"=0")</f>
        <v>3</v>
      </c>
      <c r="X10" s="281">
        <f t="shared" si="2"/>
        <v>4.4776119402985072E-2</v>
      </c>
      <c r="Y10" s="282">
        <f t="shared" ref="Y10" si="7">SUMIFS($T$2:$T$83,$Q$2:$Q$83,V10,$R$2:$R$83,"=0")</f>
        <v>2900</v>
      </c>
    </row>
    <row r="11" spans="1:26" ht="14.4" x14ac:dyDescent="0.3">
      <c r="A11" s="400" t="s">
        <v>159</v>
      </c>
      <c r="B11" s="150"/>
      <c r="C11" s="150" t="s">
        <v>219</v>
      </c>
      <c r="D11" s="401" t="s">
        <v>540</v>
      </c>
      <c r="E11" s="401">
        <v>0</v>
      </c>
      <c r="F11" s="401">
        <v>0</v>
      </c>
      <c r="G11" s="402">
        <v>50.250000000000185</v>
      </c>
      <c r="N11" s="139" t="s">
        <v>232</v>
      </c>
      <c r="O11" s="138"/>
      <c r="P11" s="150"/>
      <c r="Q11" s="138" t="s">
        <v>43</v>
      </c>
      <c r="R11" s="141">
        <v>0</v>
      </c>
      <c r="S11" s="141">
        <v>0</v>
      </c>
      <c r="T11" s="199">
        <v>90357</v>
      </c>
    </row>
    <row r="12" spans="1:26" ht="14.4" x14ac:dyDescent="0.3">
      <c r="A12" s="139" t="s">
        <v>160</v>
      </c>
      <c r="B12" s="138"/>
      <c r="C12" s="138" t="s">
        <v>218</v>
      </c>
      <c r="D12" s="141" t="s">
        <v>41</v>
      </c>
      <c r="E12" s="141">
        <v>0</v>
      </c>
      <c r="F12" s="141">
        <v>0</v>
      </c>
      <c r="G12" s="199">
        <v>506.99999999999926</v>
      </c>
      <c r="I12" s="40" t="s">
        <v>84</v>
      </c>
      <c r="J12" s="34">
        <f>SUM(J2:J10)</f>
        <v>66</v>
      </c>
      <c r="K12" s="16">
        <f>SUM(K2:K10)</f>
        <v>1</v>
      </c>
      <c r="L12" s="194">
        <f>SUM(L2:L10)</f>
        <v>1526330.2833333334</v>
      </c>
      <c r="N12" s="139" t="s">
        <v>55</v>
      </c>
      <c r="O12" s="138"/>
      <c r="P12" s="150"/>
      <c r="Q12" s="138" t="s">
        <v>42</v>
      </c>
      <c r="R12" s="141">
        <v>0</v>
      </c>
      <c r="S12" s="141">
        <v>0</v>
      </c>
      <c r="T12" s="199">
        <v>1873</v>
      </c>
      <c r="V12" s="40" t="s">
        <v>84</v>
      </c>
      <c r="W12" s="34">
        <f>SUM(W2:W9)</f>
        <v>67</v>
      </c>
      <c r="X12" s="16">
        <f>SUM(X2:X9)</f>
        <v>1</v>
      </c>
      <c r="Y12" s="194">
        <f>SUM(Y2:Y9)</f>
        <v>7165474</v>
      </c>
    </row>
    <row r="13" spans="1:26" ht="14.4" x14ac:dyDescent="0.3">
      <c r="A13" s="139" t="s">
        <v>161</v>
      </c>
      <c r="B13" s="138" t="s">
        <v>66</v>
      </c>
      <c r="C13" s="138" t="s">
        <v>334</v>
      </c>
      <c r="D13" s="141" t="s">
        <v>40</v>
      </c>
      <c r="E13" s="141">
        <v>0</v>
      </c>
      <c r="F13" s="141">
        <v>0</v>
      </c>
      <c r="G13" s="199">
        <v>14700</v>
      </c>
      <c r="N13" s="139" t="s">
        <v>233</v>
      </c>
      <c r="O13" s="150"/>
      <c r="P13" s="150" t="s">
        <v>347</v>
      </c>
      <c r="Q13" s="150" t="s">
        <v>540</v>
      </c>
      <c r="R13" s="141">
        <v>0</v>
      </c>
      <c r="S13" s="141">
        <v>0</v>
      </c>
      <c r="T13" s="199">
        <v>2375</v>
      </c>
    </row>
    <row r="14" spans="1:26" ht="14.4" x14ac:dyDescent="0.3">
      <c r="A14" s="139" t="s">
        <v>19</v>
      </c>
      <c r="B14" s="138" t="s">
        <v>234</v>
      </c>
      <c r="C14" s="138" t="s">
        <v>280</v>
      </c>
      <c r="D14" s="141" t="s">
        <v>540</v>
      </c>
      <c r="E14" s="141">
        <v>0</v>
      </c>
      <c r="F14" s="141">
        <v>0</v>
      </c>
      <c r="G14" s="199">
        <v>97.283333333333061</v>
      </c>
      <c r="I14" s="493" t="s">
        <v>456</v>
      </c>
      <c r="J14" s="493"/>
      <c r="K14" s="493"/>
      <c r="L14" s="215">
        <f>SUM(L2:L9)/SUM(J2:J9)</f>
        <v>23499.138580246916</v>
      </c>
      <c r="N14" s="139" t="s">
        <v>234</v>
      </c>
      <c r="O14" s="150"/>
      <c r="P14" s="150" t="s">
        <v>280</v>
      </c>
      <c r="Q14" s="150" t="s">
        <v>41</v>
      </c>
      <c r="R14" s="141">
        <v>0</v>
      </c>
      <c r="S14" s="141">
        <v>0</v>
      </c>
      <c r="T14" s="199">
        <v>52575</v>
      </c>
      <c r="V14" s="493" t="s">
        <v>458</v>
      </c>
      <c r="W14" s="493"/>
      <c r="X14" s="493"/>
      <c r="Y14" s="215">
        <f>SUM(Y2:Y9)/SUM(W2:W9)</f>
        <v>106947.37313432836</v>
      </c>
    </row>
    <row r="15" spans="1:26" ht="14.4" x14ac:dyDescent="0.3">
      <c r="A15" s="139" t="s">
        <v>162</v>
      </c>
      <c r="B15" s="138"/>
      <c r="C15" s="138"/>
      <c r="D15" s="141" t="s">
        <v>41</v>
      </c>
      <c r="E15" s="141">
        <v>0</v>
      </c>
      <c r="F15" s="141">
        <v>0</v>
      </c>
      <c r="G15" s="199">
        <v>178.99999999999989</v>
      </c>
      <c r="I15" s="493" t="s">
        <v>457</v>
      </c>
      <c r="J15" s="493"/>
      <c r="K15" s="493"/>
      <c r="L15" s="215">
        <f>SUM(L3:L9)/SUM(J3:J9)</f>
        <v>15811.732352941179</v>
      </c>
      <c r="N15" s="139" t="s">
        <v>19</v>
      </c>
      <c r="O15" s="150"/>
      <c r="P15" s="150" t="s">
        <v>348</v>
      </c>
      <c r="Q15" s="150" t="s">
        <v>41</v>
      </c>
      <c r="R15" s="141">
        <v>0</v>
      </c>
      <c r="S15" s="141">
        <v>0</v>
      </c>
      <c r="T15" s="199">
        <v>726669</v>
      </c>
      <c r="V15" s="493" t="s">
        <v>459</v>
      </c>
      <c r="W15" s="493"/>
      <c r="X15" s="493"/>
      <c r="Y15" s="215">
        <f>SUM(Y3:Y9)/SUM(W3:W9)</f>
        <v>94933.775510204083</v>
      </c>
    </row>
    <row r="16" spans="1:26" ht="14.4" x14ac:dyDescent="0.3">
      <c r="A16" s="139" t="s">
        <v>163</v>
      </c>
      <c r="B16" s="138"/>
      <c r="C16" s="138"/>
      <c r="D16" s="141" t="s">
        <v>41</v>
      </c>
      <c r="E16" s="141">
        <v>0</v>
      </c>
      <c r="F16" s="141">
        <v>0</v>
      </c>
      <c r="G16" s="199">
        <v>210</v>
      </c>
      <c r="N16" s="139" t="s">
        <v>20</v>
      </c>
      <c r="O16" s="138"/>
      <c r="P16" s="150" t="s">
        <v>281</v>
      </c>
      <c r="Q16" s="138" t="s">
        <v>41</v>
      </c>
      <c r="R16" s="141">
        <v>0</v>
      </c>
      <c r="S16" s="141">
        <v>0</v>
      </c>
      <c r="T16" s="199">
        <v>762932</v>
      </c>
    </row>
    <row r="17" spans="1:21" ht="14.4" x14ac:dyDescent="0.3">
      <c r="A17" s="139" t="s">
        <v>164</v>
      </c>
      <c r="B17" s="138"/>
      <c r="C17" s="138"/>
      <c r="D17" s="141" t="s">
        <v>41</v>
      </c>
      <c r="E17" s="141">
        <v>0</v>
      </c>
      <c r="F17" s="141">
        <v>0</v>
      </c>
      <c r="G17" s="199">
        <v>349.00000000000023</v>
      </c>
      <c r="N17" s="139" t="s">
        <v>235</v>
      </c>
      <c r="O17" s="138"/>
      <c r="P17" s="150"/>
      <c r="Q17" s="138" t="s">
        <v>540</v>
      </c>
      <c r="R17" s="141">
        <v>0</v>
      </c>
      <c r="S17" s="141">
        <v>0</v>
      </c>
      <c r="T17" s="199">
        <v>349</v>
      </c>
    </row>
    <row r="18" spans="1:21" ht="14.4" x14ac:dyDescent="0.3">
      <c r="A18" s="139" t="s">
        <v>165</v>
      </c>
      <c r="B18" s="138"/>
      <c r="C18" s="138"/>
      <c r="D18" s="141" t="s">
        <v>41</v>
      </c>
      <c r="E18" s="141">
        <v>0</v>
      </c>
      <c r="F18" s="141">
        <v>0</v>
      </c>
      <c r="G18" s="199">
        <v>179.99999999999969</v>
      </c>
      <c r="N18" s="179" t="s">
        <v>236</v>
      </c>
      <c r="O18" s="188"/>
      <c r="P18" s="188" t="s">
        <v>350</v>
      </c>
      <c r="Q18" s="188" t="s">
        <v>45</v>
      </c>
      <c r="R18" s="189">
        <v>1</v>
      </c>
      <c r="S18" s="189">
        <v>1</v>
      </c>
      <c r="T18" s="200">
        <v>66</v>
      </c>
    </row>
    <row r="19" spans="1:21" ht="14.4" x14ac:dyDescent="0.3">
      <c r="A19" s="400" t="s">
        <v>166</v>
      </c>
      <c r="B19" s="150"/>
      <c r="C19" s="150"/>
      <c r="D19" s="401" t="s">
        <v>41</v>
      </c>
      <c r="E19" s="401">
        <v>0</v>
      </c>
      <c r="F19" s="401">
        <v>0</v>
      </c>
      <c r="G19" s="402">
        <v>2160</v>
      </c>
      <c r="N19" s="179" t="s">
        <v>237</v>
      </c>
      <c r="O19" s="188"/>
      <c r="P19" s="188" t="s">
        <v>350</v>
      </c>
      <c r="Q19" s="188" t="s">
        <v>45</v>
      </c>
      <c r="R19" s="189">
        <v>1</v>
      </c>
      <c r="S19" s="189">
        <v>1</v>
      </c>
      <c r="T19" s="200">
        <v>1621</v>
      </c>
    </row>
    <row r="20" spans="1:21" ht="14.4" x14ac:dyDescent="0.3">
      <c r="A20" s="400" t="s">
        <v>167</v>
      </c>
      <c r="B20" s="150"/>
      <c r="C20" s="150"/>
      <c r="D20" s="401" t="s">
        <v>41</v>
      </c>
      <c r="E20" s="401">
        <v>0</v>
      </c>
      <c r="F20" s="401">
        <v>0</v>
      </c>
      <c r="G20" s="402">
        <v>119.99999999999957</v>
      </c>
      <c r="N20" s="139" t="s">
        <v>238</v>
      </c>
      <c r="O20" s="138"/>
      <c r="P20" s="150" t="s">
        <v>282</v>
      </c>
      <c r="Q20" s="138" t="s">
        <v>80</v>
      </c>
      <c r="R20" s="141">
        <v>0</v>
      </c>
      <c r="S20" s="141">
        <v>0</v>
      </c>
      <c r="T20" s="199">
        <v>572</v>
      </c>
    </row>
    <row r="21" spans="1:21" ht="14.4" x14ac:dyDescent="0.3">
      <c r="A21" s="400" t="s">
        <v>168</v>
      </c>
      <c r="B21" s="150"/>
      <c r="C21" s="150" t="s">
        <v>219</v>
      </c>
      <c r="D21" s="401" t="s">
        <v>540</v>
      </c>
      <c r="E21" s="401">
        <v>0</v>
      </c>
      <c r="F21" s="401">
        <v>0</v>
      </c>
      <c r="G21" s="402">
        <v>243.38333333333341</v>
      </c>
      <c r="N21" s="139" t="s">
        <v>239</v>
      </c>
      <c r="O21" s="138"/>
      <c r="P21" s="150" t="s">
        <v>226</v>
      </c>
      <c r="Q21" s="138" t="s">
        <v>41</v>
      </c>
      <c r="R21" s="141">
        <v>0</v>
      </c>
      <c r="S21" s="141">
        <v>0</v>
      </c>
      <c r="T21" s="199">
        <v>302</v>
      </c>
    </row>
    <row r="22" spans="1:21" ht="14.4" x14ac:dyDescent="0.3">
      <c r="A22" s="400" t="s">
        <v>169</v>
      </c>
      <c r="B22" s="150"/>
      <c r="C22" s="150" t="s">
        <v>219</v>
      </c>
      <c r="D22" s="401" t="s">
        <v>540</v>
      </c>
      <c r="E22" s="401">
        <v>0</v>
      </c>
      <c r="F22" s="401">
        <v>0</v>
      </c>
      <c r="G22" s="402">
        <v>476.29999999999973</v>
      </c>
      <c r="N22" s="139" t="s">
        <v>240</v>
      </c>
      <c r="O22" s="138"/>
      <c r="P22" s="150"/>
      <c r="Q22" s="138" t="s">
        <v>43</v>
      </c>
      <c r="R22" s="141">
        <v>0</v>
      </c>
      <c r="S22" s="141">
        <v>0</v>
      </c>
      <c r="T22" s="199">
        <v>120</v>
      </c>
    </row>
    <row r="23" spans="1:21" ht="14.4" x14ac:dyDescent="0.3">
      <c r="A23" s="400" t="s">
        <v>170</v>
      </c>
      <c r="B23" s="150" t="s">
        <v>214</v>
      </c>
      <c r="C23" s="150"/>
      <c r="D23" s="401" t="s">
        <v>40</v>
      </c>
      <c r="E23" s="401">
        <v>0</v>
      </c>
      <c r="F23" s="401">
        <v>0</v>
      </c>
      <c r="G23" s="402">
        <v>989.99999999999818</v>
      </c>
      <c r="N23" s="139" t="s">
        <v>21</v>
      </c>
      <c r="O23" s="138"/>
      <c r="P23" s="150" t="s">
        <v>283</v>
      </c>
      <c r="Q23" s="138" t="s">
        <v>41</v>
      </c>
      <c r="R23" s="141">
        <v>0</v>
      </c>
      <c r="S23" s="141">
        <v>0</v>
      </c>
      <c r="T23" s="199">
        <v>606494</v>
      </c>
    </row>
    <row r="24" spans="1:21" ht="14.4" x14ac:dyDescent="0.3">
      <c r="A24" s="400" t="s">
        <v>67</v>
      </c>
      <c r="B24" s="150" t="s">
        <v>214</v>
      </c>
      <c r="C24" s="150"/>
      <c r="D24" s="401" t="s">
        <v>40</v>
      </c>
      <c r="E24" s="401">
        <v>0</v>
      </c>
      <c r="F24" s="401">
        <v>0</v>
      </c>
      <c r="G24" s="402">
        <v>180.00000000000011</v>
      </c>
      <c r="N24" s="139" t="s">
        <v>241</v>
      </c>
      <c r="O24" s="138" t="s">
        <v>57</v>
      </c>
      <c r="P24" s="150"/>
      <c r="Q24" s="138" t="s">
        <v>41</v>
      </c>
      <c r="R24" s="141">
        <v>0</v>
      </c>
      <c r="S24" s="141">
        <v>0</v>
      </c>
      <c r="T24" s="199">
        <v>1296</v>
      </c>
    </row>
    <row r="25" spans="1:21" ht="14.4" x14ac:dyDescent="0.3">
      <c r="A25" s="400" t="s">
        <v>20</v>
      </c>
      <c r="B25" s="150"/>
      <c r="C25" s="150"/>
      <c r="D25" s="401" t="s">
        <v>41</v>
      </c>
      <c r="E25" s="401">
        <v>0</v>
      </c>
      <c r="F25" s="401">
        <v>0</v>
      </c>
      <c r="G25" s="402">
        <v>243.51666666666662</v>
      </c>
      <c r="N25" s="139" t="s">
        <v>22</v>
      </c>
      <c r="O25" s="138"/>
      <c r="P25" s="150" t="s">
        <v>284</v>
      </c>
      <c r="Q25" s="138" t="s">
        <v>41</v>
      </c>
      <c r="R25" s="141">
        <v>0</v>
      </c>
      <c r="S25" s="141">
        <v>0</v>
      </c>
      <c r="T25" s="199">
        <v>25</v>
      </c>
    </row>
    <row r="26" spans="1:21" ht="14.4" x14ac:dyDescent="0.3">
      <c r="A26" s="400" t="s">
        <v>21</v>
      </c>
      <c r="B26" s="150"/>
      <c r="C26" s="150"/>
      <c r="D26" s="401" t="s">
        <v>41</v>
      </c>
      <c r="E26" s="401">
        <v>0</v>
      </c>
      <c r="F26" s="401">
        <v>0</v>
      </c>
      <c r="G26" s="402">
        <v>134</v>
      </c>
      <c r="N26" s="139" t="s">
        <v>242</v>
      </c>
      <c r="O26" s="138"/>
      <c r="P26" s="150" t="s">
        <v>285</v>
      </c>
      <c r="Q26" s="138" t="s">
        <v>43</v>
      </c>
      <c r="R26" s="141">
        <v>0</v>
      </c>
      <c r="S26" s="141">
        <v>0</v>
      </c>
      <c r="T26" s="199">
        <v>436</v>
      </c>
    </row>
    <row r="27" spans="1:21" ht="14.4" x14ac:dyDescent="0.3">
      <c r="A27" s="400" t="s">
        <v>171</v>
      </c>
      <c r="B27" s="150" t="s">
        <v>57</v>
      </c>
      <c r="C27" s="150"/>
      <c r="D27" s="401" t="s">
        <v>41</v>
      </c>
      <c r="E27" s="401">
        <v>0</v>
      </c>
      <c r="F27" s="401">
        <v>0</v>
      </c>
      <c r="G27" s="402">
        <v>41390.433333333334</v>
      </c>
      <c r="N27" s="139" t="s">
        <v>23</v>
      </c>
      <c r="O27" s="21"/>
      <c r="P27" s="150"/>
      <c r="Q27" s="138" t="s">
        <v>43</v>
      </c>
      <c r="R27" s="141">
        <v>0</v>
      </c>
      <c r="S27" s="141">
        <v>0</v>
      </c>
      <c r="T27" s="199">
        <v>2305359</v>
      </c>
      <c r="U27" s="19"/>
    </row>
    <row r="28" spans="1:21" ht="14.4" x14ac:dyDescent="0.3">
      <c r="A28" s="400" t="s">
        <v>172</v>
      </c>
      <c r="B28" s="150" t="s">
        <v>22</v>
      </c>
      <c r="C28" s="150"/>
      <c r="D28" s="401" t="s">
        <v>41</v>
      </c>
      <c r="E28" s="401">
        <v>0</v>
      </c>
      <c r="F28" s="401">
        <v>0</v>
      </c>
      <c r="G28" s="402">
        <v>278.7333333333338</v>
      </c>
      <c r="N28" s="139" t="s">
        <v>25</v>
      </c>
      <c r="O28" s="21"/>
      <c r="P28" s="150" t="s">
        <v>286</v>
      </c>
      <c r="Q28" s="138" t="s">
        <v>44</v>
      </c>
      <c r="R28" s="141">
        <v>0</v>
      </c>
      <c r="S28" s="141">
        <v>0</v>
      </c>
      <c r="T28" s="199">
        <v>1250</v>
      </c>
    </row>
    <row r="29" spans="1:21" ht="14.4" x14ac:dyDescent="0.3">
      <c r="A29" s="400" t="s">
        <v>173</v>
      </c>
      <c r="B29" s="150"/>
      <c r="C29" s="150" t="s">
        <v>335</v>
      </c>
      <c r="D29" s="401" t="s">
        <v>41</v>
      </c>
      <c r="E29" s="401">
        <v>0</v>
      </c>
      <c r="F29" s="401">
        <v>0</v>
      </c>
      <c r="G29" s="402">
        <v>34371.283333333333</v>
      </c>
      <c r="N29" s="139" t="s">
        <v>243</v>
      </c>
      <c r="O29" s="138"/>
      <c r="P29" s="150" t="s">
        <v>286</v>
      </c>
      <c r="Q29" s="138" t="s">
        <v>44</v>
      </c>
      <c r="R29" s="141">
        <v>0</v>
      </c>
      <c r="S29" s="141">
        <v>0</v>
      </c>
      <c r="T29" s="199">
        <v>6938</v>
      </c>
    </row>
    <row r="30" spans="1:21" ht="14.4" x14ac:dyDescent="0.3">
      <c r="A30" s="400" t="s">
        <v>23</v>
      </c>
      <c r="B30" s="150" t="s">
        <v>23</v>
      </c>
      <c r="C30" s="150"/>
      <c r="D30" s="401" t="s">
        <v>540</v>
      </c>
      <c r="E30" s="401">
        <v>0</v>
      </c>
      <c r="F30" s="401">
        <v>0</v>
      </c>
      <c r="G30" s="402">
        <v>885.70000000000039</v>
      </c>
      <c r="N30" s="139" t="s">
        <v>26</v>
      </c>
      <c r="O30" s="138"/>
      <c r="P30" s="150" t="s">
        <v>351</v>
      </c>
      <c r="Q30" s="138" t="s">
        <v>45</v>
      </c>
      <c r="R30" s="141">
        <v>0</v>
      </c>
      <c r="S30" s="141">
        <v>0</v>
      </c>
      <c r="T30" s="199">
        <v>628</v>
      </c>
    </row>
    <row r="31" spans="1:21" ht="14.4" x14ac:dyDescent="0.3">
      <c r="A31" s="400" t="s">
        <v>174</v>
      </c>
      <c r="B31" s="150"/>
      <c r="C31" s="150" t="s">
        <v>220</v>
      </c>
      <c r="D31" s="401" t="s">
        <v>41</v>
      </c>
      <c r="E31" s="401">
        <v>0</v>
      </c>
      <c r="F31" s="401">
        <v>0</v>
      </c>
      <c r="G31" s="402">
        <v>5889.5833333333339</v>
      </c>
      <c r="N31" s="139" t="s">
        <v>244</v>
      </c>
      <c r="O31" s="138"/>
      <c r="P31" s="150" t="s">
        <v>351</v>
      </c>
      <c r="Q31" s="138" t="s">
        <v>45</v>
      </c>
      <c r="R31" s="141">
        <v>0</v>
      </c>
      <c r="S31" s="141">
        <v>0</v>
      </c>
      <c r="T31" s="199">
        <v>4850</v>
      </c>
    </row>
    <row r="32" spans="1:21" ht="14.4" x14ac:dyDescent="0.3">
      <c r="A32" s="400" t="s">
        <v>175</v>
      </c>
      <c r="B32" s="150"/>
      <c r="C32" s="150" t="s">
        <v>336</v>
      </c>
      <c r="D32" s="401" t="s">
        <v>41</v>
      </c>
      <c r="E32" s="401">
        <v>0</v>
      </c>
      <c r="F32" s="401">
        <v>0</v>
      </c>
      <c r="G32" s="402">
        <v>37392</v>
      </c>
      <c r="N32" s="139" t="s">
        <v>245</v>
      </c>
      <c r="O32" s="138"/>
      <c r="P32" s="150" t="s">
        <v>351</v>
      </c>
      <c r="Q32" s="138" t="s">
        <v>45</v>
      </c>
      <c r="R32" s="141">
        <v>0</v>
      </c>
      <c r="S32" s="141">
        <v>0</v>
      </c>
      <c r="T32" s="199">
        <v>2106</v>
      </c>
    </row>
    <row r="33" spans="1:20" ht="14.4" x14ac:dyDescent="0.3">
      <c r="A33" s="400" t="s">
        <v>176</v>
      </c>
      <c r="B33" s="150"/>
      <c r="C33" s="150" t="s">
        <v>221</v>
      </c>
      <c r="D33" s="401" t="s">
        <v>540</v>
      </c>
      <c r="E33" s="401">
        <v>0</v>
      </c>
      <c r="F33" s="401">
        <v>0</v>
      </c>
      <c r="G33" s="402">
        <v>246879.64999999997</v>
      </c>
      <c r="N33" s="139" t="s">
        <v>246</v>
      </c>
      <c r="O33" s="138"/>
      <c r="P33" s="150" t="s">
        <v>351</v>
      </c>
      <c r="Q33" s="138" t="s">
        <v>45</v>
      </c>
      <c r="R33" s="141">
        <v>0</v>
      </c>
      <c r="S33" s="141">
        <v>0</v>
      </c>
      <c r="T33" s="199">
        <v>232</v>
      </c>
    </row>
    <row r="34" spans="1:20" ht="14.4" x14ac:dyDescent="0.3">
      <c r="A34" s="400" t="s">
        <v>177</v>
      </c>
      <c r="B34" s="150" t="s">
        <v>337</v>
      </c>
      <c r="C34" s="150"/>
      <c r="D34" s="401" t="s">
        <v>41</v>
      </c>
      <c r="E34" s="401">
        <v>0</v>
      </c>
      <c r="F34" s="401">
        <v>0</v>
      </c>
      <c r="G34" s="402">
        <v>939.10000000000116</v>
      </c>
      <c r="N34" s="139" t="s">
        <v>247</v>
      </c>
      <c r="O34" s="138"/>
      <c r="P34" s="150" t="s">
        <v>351</v>
      </c>
      <c r="Q34" s="138" t="s">
        <v>45</v>
      </c>
      <c r="R34" s="141">
        <v>0</v>
      </c>
      <c r="S34" s="141">
        <v>0</v>
      </c>
      <c r="T34" s="199">
        <v>17580</v>
      </c>
    </row>
    <row r="35" spans="1:20" ht="14.4" x14ac:dyDescent="0.3">
      <c r="A35" s="400" t="s">
        <v>178</v>
      </c>
      <c r="B35" s="150" t="s">
        <v>336</v>
      </c>
      <c r="C35" s="150"/>
      <c r="D35" s="401" t="s">
        <v>41</v>
      </c>
      <c r="E35" s="401">
        <v>0</v>
      </c>
      <c r="F35" s="401">
        <v>0</v>
      </c>
      <c r="G35" s="402">
        <v>152.00000000000026</v>
      </c>
      <c r="N35" s="139" t="s">
        <v>248</v>
      </c>
      <c r="O35" s="138"/>
      <c r="P35" s="150" t="s">
        <v>351</v>
      </c>
      <c r="Q35" s="138" t="s">
        <v>45</v>
      </c>
      <c r="R35" s="141">
        <v>0</v>
      </c>
      <c r="S35" s="141">
        <v>0</v>
      </c>
      <c r="T35" s="199">
        <v>923</v>
      </c>
    </row>
    <row r="36" spans="1:20" ht="14.4" x14ac:dyDescent="0.3">
      <c r="A36" s="400" t="s">
        <v>179</v>
      </c>
      <c r="B36" s="150" t="s">
        <v>336</v>
      </c>
      <c r="C36" s="150"/>
      <c r="D36" s="401" t="s">
        <v>41</v>
      </c>
      <c r="E36" s="401">
        <v>0</v>
      </c>
      <c r="F36" s="401">
        <v>0</v>
      </c>
      <c r="G36" s="402">
        <v>166.23333333333329</v>
      </c>
      <c r="N36" s="139" t="s">
        <v>249</v>
      </c>
      <c r="O36" s="138"/>
      <c r="P36" s="150" t="s">
        <v>351</v>
      </c>
      <c r="Q36" s="138" t="s">
        <v>45</v>
      </c>
      <c r="R36" s="141">
        <v>0</v>
      </c>
      <c r="S36" s="141">
        <v>0</v>
      </c>
      <c r="T36" s="199">
        <v>623</v>
      </c>
    </row>
    <row r="37" spans="1:20" ht="14.4" x14ac:dyDescent="0.3">
      <c r="A37" s="400" t="s">
        <v>180</v>
      </c>
      <c r="B37" s="150" t="s">
        <v>338</v>
      </c>
      <c r="C37" s="150"/>
      <c r="D37" s="401" t="s">
        <v>41</v>
      </c>
      <c r="E37" s="401">
        <v>0</v>
      </c>
      <c r="F37" s="401">
        <v>0</v>
      </c>
      <c r="G37" s="402">
        <v>57098.45</v>
      </c>
      <c r="N37" s="139" t="s">
        <v>250</v>
      </c>
      <c r="O37" s="138"/>
      <c r="P37" s="150" t="s">
        <v>351</v>
      </c>
      <c r="Q37" s="138" t="s">
        <v>45</v>
      </c>
      <c r="R37" s="141">
        <v>0</v>
      </c>
      <c r="S37" s="141">
        <v>0</v>
      </c>
      <c r="T37" s="199">
        <v>1662</v>
      </c>
    </row>
    <row r="38" spans="1:20" ht="14.4" x14ac:dyDescent="0.3">
      <c r="A38" s="400" t="s">
        <v>181</v>
      </c>
      <c r="B38" s="150"/>
      <c r="C38" s="150" t="s">
        <v>222</v>
      </c>
      <c r="D38" s="401" t="s">
        <v>41</v>
      </c>
      <c r="E38" s="401">
        <v>0</v>
      </c>
      <c r="F38" s="401">
        <v>0</v>
      </c>
      <c r="G38" s="402">
        <v>1120</v>
      </c>
      <c r="N38" s="139" t="s">
        <v>251</v>
      </c>
      <c r="O38" s="138"/>
      <c r="P38" s="150" t="s">
        <v>351</v>
      </c>
      <c r="Q38" s="138" t="s">
        <v>45</v>
      </c>
      <c r="R38" s="141">
        <v>0</v>
      </c>
      <c r="S38" s="141">
        <v>0</v>
      </c>
      <c r="T38" s="199">
        <v>1993</v>
      </c>
    </row>
    <row r="39" spans="1:20" ht="14.4" x14ac:dyDescent="0.3">
      <c r="A39" s="400" t="s">
        <v>182</v>
      </c>
      <c r="B39" s="150"/>
      <c r="C39" s="150" t="s">
        <v>222</v>
      </c>
      <c r="D39" s="401" t="s">
        <v>41</v>
      </c>
      <c r="E39" s="401">
        <v>0</v>
      </c>
      <c r="F39" s="401">
        <v>0</v>
      </c>
      <c r="G39" s="402">
        <v>1109.9999999999993</v>
      </c>
      <c r="N39" s="139" t="s">
        <v>252</v>
      </c>
      <c r="O39" s="138"/>
      <c r="P39" s="150" t="s">
        <v>351</v>
      </c>
      <c r="Q39" s="138" t="s">
        <v>45</v>
      </c>
      <c r="R39" s="141">
        <v>0</v>
      </c>
      <c r="S39" s="141">
        <v>0</v>
      </c>
      <c r="T39" s="199">
        <v>4811</v>
      </c>
    </row>
    <row r="40" spans="1:20" ht="14.4" x14ac:dyDescent="0.3">
      <c r="A40" s="400" t="s">
        <v>183</v>
      </c>
      <c r="B40" s="150"/>
      <c r="C40" s="150" t="s">
        <v>222</v>
      </c>
      <c r="D40" s="401" t="s">
        <v>41</v>
      </c>
      <c r="E40" s="401">
        <v>0</v>
      </c>
      <c r="F40" s="401">
        <v>0</v>
      </c>
      <c r="G40" s="402">
        <v>994.99999999999864</v>
      </c>
      <c r="N40" s="139" t="s">
        <v>253</v>
      </c>
      <c r="O40" s="138"/>
      <c r="P40" s="150" t="s">
        <v>351</v>
      </c>
      <c r="Q40" s="138" t="s">
        <v>45</v>
      </c>
      <c r="R40" s="141">
        <v>0</v>
      </c>
      <c r="S40" s="141">
        <v>0</v>
      </c>
      <c r="T40" s="199">
        <v>81</v>
      </c>
    </row>
    <row r="41" spans="1:20" ht="14.4" x14ac:dyDescent="0.3">
      <c r="A41" s="400" t="s">
        <v>184</v>
      </c>
      <c r="B41" s="150"/>
      <c r="C41" s="150" t="s">
        <v>222</v>
      </c>
      <c r="D41" s="401" t="s">
        <v>41</v>
      </c>
      <c r="E41" s="401">
        <v>0</v>
      </c>
      <c r="F41" s="401">
        <v>0</v>
      </c>
      <c r="G41" s="402">
        <v>1065.0000000000002</v>
      </c>
      <c r="N41" s="139" t="s">
        <v>254</v>
      </c>
      <c r="O41" s="138"/>
      <c r="P41" s="150" t="s">
        <v>351</v>
      </c>
      <c r="Q41" s="138" t="s">
        <v>45</v>
      </c>
      <c r="R41" s="141">
        <v>0</v>
      </c>
      <c r="S41" s="141">
        <v>0</v>
      </c>
      <c r="T41" s="199">
        <v>35708</v>
      </c>
    </row>
    <row r="42" spans="1:20" ht="14.4" x14ac:dyDescent="0.3">
      <c r="A42" s="400" t="s">
        <v>185</v>
      </c>
      <c r="B42" s="150"/>
      <c r="C42" s="150" t="s">
        <v>62</v>
      </c>
      <c r="D42" s="401" t="s">
        <v>41</v>
      </c>
      <c r="E42" s="401">
        <v>0</v>
      </c>
      <c r="F42" s="401">
        <v>0</v>
      </c>
      <c r="G42" s="402">
        <v>4325.9500000000044</v>
      </c>
      <c r="N42" s="139" t="s">
        <v>255</v>
      </c>
      <c r="O42" s="138"/>
      <c r="P42" s="150" t="s">
        <v>336</v>
      </c>
      <c r="Q42" s="138" t="s">
        <v>41</v>
      </c>
      <c r="R42" s="141">
        <v>0</v>
      </c>
      <c r="S42" s="141">
        <v>0</v>
      </c>
      <c r="T42" s="199">
        <v>31521</v>
      </c>
    </row>
    <row r="43" spans="1:20" ht="14.4" x14ac:dyDescent="0.3">
      <c r="A43" s="400" t="s">
        <v>186</v>
      </c>
      <c r="B43" s="150"/>
      <c r="C43" s="150" t="s">
        <v>223</v>
      </c>
      <c r="D43" s="401" t="s">
        <v>41</v>
      </c>
      <c r="E43" s="401">
        <v>0</v>
      </c>
      <c r="F43" s="401">
        <v>0</v>
      </c>
      <c r="G43" s="402">
        <v>20496.283333333333</v>
      </c>
      <c r="N43" s="139" t="s">
        <v>256</v>
      </c>
      <c r="O43" s="138"/>
      <c r="P43" s="150" t="s">
        <v>336</v>
      </c>
      <c r="Q43" s="138" t="s">
        <v>41</v>
      </c>
      <c r="R43" s="141">
        <v>0</v>
      </c>
      <c r="S43" s="141">
        <v>0</v>
      </c>
      <c r="T43" s="199">
        <v>1228</v>
      </c>
    </row>
    <row r="44" spans="1:20" ht="14.4" x14ac:dyDescent="0.3">
      <c r="A44" s="400" t="s">
        <v>187</v>
      </c>
      <c r="B44" s="150"/>
      <c r="C44" s="150"/>
      <c r="D44" s="401" t="s">
        <v>540</v>
      </c>
      <c r="E44" s="401">
        <v>0</v>
      </c>
      <c r="F44" s="401">
        <v>0</v>
      </c>
      <c r="G44" s="402">
        <v>1069.4999999999984</v>
      </c>
      <c r="N44" s="139" t="s">
        <v>257</v>
      </c>
      <c r="O44" s="138"/>
      <c r="P44" s="150" t="s">
        <v>336</v>
      </c>
      <c r="Q44" s="138" t="s">
        <v>41</v>
      </c>
      <c r="R44" s="141">
        <v>0</v>
      </c>
      <c r="S44" s="141">
        <v>0</v>
      </c>
      <c r="T44" s="199">
        <v>1190</v>
      </c>
    </row>
    <row r="45" spans="1:20" ht="14.4" x14ac:dyDescent="0.3">
      <c r="A45" s="400" t="s">
        <v>188</v>
      </c>
      <c r="B45" s="150" t="s">
        <v>339</v>
      </c>
      <c r="C45" s="150"/>
      <c r="D45" s="401" t="s">
        <v>43</v>
      </c>
      <c r="E45" s="401">
        <v>0</v>
      </c>
      <c r="F45" s="401">
        <v>0</v>
      </c>
      <c r="G45" s="402">
        <v>731.00000000000011</v>
      </c>
      <c r="N45" s="139" t="s">
        <v>108</v>
      </c>
      <c r="O45" s="138"/>
      <c r="P45" s="150" t="s">
        <v>222</v>
      </c>
      <c r="Q45" s="138" t="s">
        <v>41</v>
      </c>
      <c r="R45" s="141">
        <v>0</v>
      </c>
      <c r="S45" s="141">
        <v>0</v>
      </c>
      <c r="T45" s="199">
        <v>13399</v>
      </c>
    </row>
    <row r="46" spans="1:20" ht="14.4" x14ac:dyDescent="0.3">
      <c r="A46" s="400" t="s">
        <v>189</v>
      </c>
      <c r="B46" s="150" t="s">
        <v>339</v>
      </c>
      <c r="C46" s="150"/>
      <c r="D46" s="401" t="s">
        <v>43</v>
      </c>
      <c r="E46" s="401">
        <v>0</v>
      </c>
      <c r="F46" s="401">
        <v>0</v>
      </c>
      <c r="G46" s="402">
        <v>386.13333333333281</v>
      </c>
      <c r="N46" s="139" t="s">
        <v>109</v>
      </c>
      <c r="O46" s="138"/>
      <c r="P46" s="150" t="s">
        <v>222</v>
      </c>
      <c r="Q46" s="138" t="s">
        <v>41</v>
      </c>
      <c r="R46" s="141">
        <v>0</v>
      </c>
      <c r="S46" s="141">
        <v>0</v>
      </c>
      <c r="T46" s="199">
        <v>11127</v>
      </c>
    </row>
    <row r="47" spans="1:20" ht="14.4" x14ac:dyDescent="0.3">
      <c r="A47" s="400" t="s">
        <v>190</v>
      </c>
      <c r="B47" s="150" t="s">
        <v>340</v>
      </c>
      <c r="C47" s="150"/>
      <c r="D47" s="401" t="s">
        <v>41</v>
      </c>
      <c r="E47" s="401">
        <v>0</v>
      </c>
      <c r="F47" s="401">
        <v>0</v>
      </c>
      <c r="G47" s="402">
        <v>19383.033333333336</v>
      </c>
      <c r="N47" s="139" t="s">
        <v>110</v>
      </c>
      <c r="O47" s="138"/>
      <c r="P47" s="150" t="s">
        <v>222</v>
      </c>
      <c r="Q47" s="138" t="s">
        <v>41</v>
      </c>
      <c r="R47" s="141">
        <v>0</v>
      </c>
      <c r="S47" s="141">
        <v>0</v>
      </c>
      <c r="T47" s="199">
        <v>11208</v>
      </c>
    </row>
    <row r="48" spans="1:20" ht="14.4" x14ac:dyDescent="0.3">
      <c r="A48" s="400" t="s">
        <v>191</v>
      </c>
      <c r="B48" s="150" t="s">
        <v>341</v>
      </c>
      <c r="C48" s="150"/>
      <c r="D48" s="401" t="s">
        <v>540</v>
      </c>
      <c r="E48" s="401">
        <v>0</v>
      </c>
      <c r="F48" s="401">
        <v>0</v>
      </c>
      <c r="G48" s="402">
        <v>3345.0000000000014</v>
      </c>
      <c r="N48" s="139" t="s">
        <v>111</v>
      </c>
      <c r="O48" s="138"/>
      <c r="P48" s="150" t="s">
        <v>222</v>
      </c>
      <c r="Q48" s="138" t="s">
        <v>41</v>
      </c>
      <c r="R48" s="141">
        <v>0</v>
      </c>
      <c r="S48" s="141">
        <v>0</v>
      </c>
      <c r="T48" s="199">
        <v>13599</v>
      </c>
    </row>
    <row r="49" spans="1:24" ht="14.4" x14ac:dyDescent="0.3">
      <c r="A49" s="400" t="s">
        <v>192</v>
      </c>
      <c r="B49" s="150" t="s">
        <v>342</v>
      </c>
      <c r="C49" s="150"/>
      <c r="D49" s="401" t="s">
        <v>41</v>
      </c>
      <c r="E49" s="401">
        <v>0</v>
      </c>
      <c r="F49" s="401">
        <v>0</v>
      </c>
      <c r="G49" s="402">
        <v>132943.28333333333</v>
      </c>
      <c r="N49" s="139" t="s">
        <v>39</v>
      </c>
      <c r="O49" s="138"/>
      <c r="P49" s="150" t="s">
        <v>287</v>
      </c>
      <c r="Q49" s="138" t="s">
        <v>41</v>
      </c>
      <c r="R49" s="141">
        <v>0</v>
      </c>
      <c r="S49" s="141">
        <v>0</v>
      </c>
      <c r="T49" s="199">
        <v>113375</v>
      </c>
    </row>
    <row r="50" spans="1:24" ht="14.4" x14ac:dyDescent="0.3">
      <c r="A50" s="400" t="s">
        <v>193</v>
      </c>
      <c r="B50" s="150" t="s">
        <v>341</v>
      </c>
      <c r="C50" s="150"/>
      <c r="D50" s="401" t="s">
        <v>540</v>
      </c>
      <c r="E50" s="401">
        <v>0</v>
      </c>
      <c r="F50" s="401">
        <v>0</v>
      </c>
      <c r="G50" s="402">
        <v>36.999999999999986</v>
      </c>
      <c r="N50" s="179" t="s">
        <v>258</v>
      </c>
      <c r="O50" s="188"/>
      <c r="P50" s="188" t="s">
        <v>349</v>
      </c>
      <c r="Q50" s="188" t="s">
        <v>540</v>
      </c>
      <c r="R50" s="189">
        <v>1</v>
      </c>
      <c r="S50" s="189">
        <v>1</v>
      </c>
      <c r="T50" s="200">
        <v>9012</v>
      </c>
    </row>
    <row r="51" spans="1:24" ht="14.4" x14ac:dyDescent="0.3">
      <c r="A51" s="400" t="s">
        <v>194</v>
      </c>
      <c r="B51" s="150" t="s">
        <v>341</v>
      </c>
      <c r="C51" s="150"/>
      <c r="D51" s="401" t="s">
        <v>540</v>
      </c>
      <c r="E51" s="401">
        <v>0</v>
      </c>
      <c r="F51" s="401">
        <v>0</v>
      </c>
      <c r="G51" s="402">
        <v>11.999999999999996</v>
      </c>
      <c r="N51" s="139" t="s">
        <v>28</v>
      </c>
      <c r="O51" s="138"/>
      <c r="P51" s="150" t="s">
        <v>352</v>
      </c>
      <c r="Q51" s="138" t="s">
        <v>41</v>
      </c>
      <c r="R51" s="141">
        <v>0</v>
      </c>
      <c r="S51" s="141">
        <v>0</v>
      </c>
      <c r="T51" s="199">
        <v>3401</v>
      </c>
    </row>
    <row r="52" spans="1:24" ht="14.4" x14ac:dyDescent="0.3">
      <c r="A52" s="400" t="s">
        <v>195</v>
      </c>
      <c r="B52" s="150" t="s">
        <v>343</v>
      </c>
      <c r="C52" s="150" t="s">
        <v>224</v>
      </c>
      <c r="D52" s="401" t="s">
        <v>41</v>
      </c>
      <c r="E52" s="401">
        <v>0</v>
      </c>
      <c r="F52" s="401">
        <v>0</v>
      </c>
      <c r="G52" s="402">
        <v>25077.333333333332</v>
      </c>
      <c r="N52" s="139" t="s">
        <v>62</v>
      </c>
      <c r="O52" s="138"/>
      <c r="P52" s="150" t="s">
        <v>288</v>
      </c>
      <c r="Q52" s="138" t="s">
        <v>41</v>
      </c>
      <c r="R52" s="141">
        <v>0</v>
      </c>
      <c r="S52" s="141">
        <v>0</v>
      </c>
      <c r="T52" s="199">
        <v>6454</v>
      </c>
    </row>
    <row r="53" spans="1:24" ht="14.4" x14ac:dyDescent="0.3">
      <c r="A53" s="400" t="s">
        <v>196</v>
      </c>
      <c r="B53" s="150" t="s">
        <v>225</v>
      </c>
      <c r="C53" s="150" t="s">
        <v>225</v>
      </c>
      <c r="D53" s="401" t="s">
        <v>40</v>
      </c>
      <c r="E53" s="401">
        <v>0</v>
      </c>
      <c r="F53" s="401">
        <v>0</v>
      </c>
      <c r="G53" s="402">
        <v>2160</v>
      </c>
      <c r="N53" s="139" t="s">
        <v>29</v>
      </c>
      <c r="O53" s="138"/>
      <c r="P53" s="150" t="s">
        <v>223</v>
      </c>
      <c r="Q53" s="138" t="s">
        <v>41</v>
      </c>
      <c r="R53" s="141">
        <v>0</v>
      </c>
      <c r="S53" s="141">
        <v>0</v>
      </c>
      <c r="T53" s="199">
        <v>296</v>
      </c>
    </row>
    <row r="54" spans="1:24" ht="14.4" x14ac:dyDescent="0.3">
      <c r="A54" s="400" t="s">
        <v>197</v>
      </c>
      <c r="B54" s="150" t="s">
        <v>344</v>
      </c>
      <c r="C54" s="150"/>
      <c r="D54" s="401" t="s">
        <v>43</v>
      </c>
      <c r="E54" s="401">
        <v>0</v>
      </c>
      <c r="F54" s="401">
        <v>0</v>
      </c>
      <c r="G54" s="402">
        <v>461438</v>
      </c>
      <c r="H54" s="22"/>
      <c r="N54" s="139" t="s">
        <v>30</v>
      </c>
      <c r="O54" s="138"/>
      <c r="P54" s="150"/>
      <c r="Q54" s="138" t="s">
        <v>43</v>
      </c>
      <c r="R54" s="141">
        <v>0</v>
      </c>
      <c r="S54" s="141">
        <v>0</v>
      </c>
      <c r="T54" s="199">
        <v>3024</v>
      </c>
    </row>
    <row r="55" spans="1:24" ht="14.4" x14ac:dyDescent="0.3">
      <c r="A55" s="400" t="s">
        <v>64</v>
      </c>
      <c r="B55" s="150" t="s">
        <v>64</v>
      </c>
      <c r="C55" s="150"/>
      <c r="D55" s="401" t="s">
        <v>46</v>
      </c>
      <c r="E55" s="401">
        <v>0</v>
      </c>
      <c r="F55" s="401">
        <v>0</v>
      </c>
      <c r="G55" s="402">
        <v>22562.250000000011</v>
      </c>
      <c r="I55" s="22"/>
      <c r="N55" s="139" t="s">
        <v>259</v>
      </c>
      <c r="O55" s="138"/>
      <c r="P55" s="150" t="s">
        <v>289</v>
      </c>
      <c r="Q55" s="138" t="s">
        <v>41</v>
      </c>
      <c r="R55" s="141">
        <v>0</v>
      </c>
      <c r="S55" s="141">
        <v>0</v>
      </c>
      <c r="T55" s="199">
        <v>1690</v>
      </c>
    </row>
    <row r="56" spans="1:24" s="12" customFormat="1" ht="14.4" x14ac:dyDescent="0.3">
      <c r="A56" s="400" t="s">
        <v>198</v>
      </c>
      <c r="B56" s="150" t="s">
        <v>345</v>
      </c>
      <c r="C56" s="150"/>
      <c r="D56" s="401" t="s">
        <v>40</v>
      </c>
      <c r="E56" s="401">
        <v>0</v>
      </c>
      <c r="F56" s="401">
        <v>0</v>
      </c>
      <c r="G56" s="402">
        <v>510.00000000000011</v>
      </c>
      <c r="L56" s="193"/>
      <c r="N56" s="139" t="s">
        <v>260</v>
      </c>
      <c r="O56" s="138"/>
      <c r="P56" s="150"/>
      <c r="Q56" s="138" t="s">
        <v>43</v>
      </c>
      <c r="R56" s="141">
        <v>0</v>
      </c>
      <c r="S56" s="141">
        <v>0</v>
      </c>
      <c r="T56" s="199">
        <v>180</v>
      </c>
      <c r="U56" s="145"/>
      <c r="V56" s="145"/>
      <c r="W56" s="145"/>
      <c r="X56" s="145"/>
    </row>
    <row r="57" spans="1:24" s="12" customFormat="1" ht="14.4" x14ac:dyDescent="0.3">
      <c r="A57" s="400" t="s">
        <v>199</v>
      </c>
      <c r="B57" s="150" t="s">
        <v>345</v>
      </c>
      <c r="C57" s="150"/>
      <c r="D57" s="401" t="s">
        <v>40</v>
      </c>
      <c r="E57" s="401">
        <v>0</v>
      </c>
      <c r="F57" s="401">
        <v>0</v>
      </c>
      <c r="G57" s="402">
        <v>2219</v>
      </c>
      <c r="L57" s="193"/>
      <c r="N57" s="139" t="s">
        <v>261</v>
      </c>
      <c r="O57" s="138"/>
      <c r="P57" s="150"/>
      <c r="Q57" s="138" t="s">
        <v>43</v>
      </c>
      <c r="R57" s="141">
        <v>0</v>
      </c>
      <c r="S57" s="141">
        <v>0</v>
      </c>
      <c r="T57" s="199">
        <v>3249</v>
      </c>
      <c r="U57" s="145"/>
      <c r="V57" s="145"/>
      <c r="W57" s="145"/>
      <c r="X57" s="145"/>
    </row>
    <row r="58" spans="1:24" s="12" customFormat="1" ht="14.4" x14ac:dyDescent="0.3">
      <c r="A58" s="400" t="s">
        <v>200</v>
      </c>
      <c r="B58" s="150" t="s">
        <v>345</v>
      </c>
      <c r="C58" s="150"/>
      <c r="D58" s="401" t="s">
        <v>40</v>
      </c>
      <c r="E58" s="401">
        <v>0</v>
      </c>
      <c r="F58" s="401">
        <v>0</v>
      </c>
      <c r="G58" s="402">
        <v>5669.9999999999991</v>
      </c>
      <c r="L58" s="193"/>
      <c r="N58" s="139" t="s">
        <v>262</v>
      </c>
      <c r="O58" s="138"/>
      <c r="P58" s="150"/>
      <c r="Q58" s="138" t="s">
        <v>43</v>
      </c>
      <c r="R58" s="141">
        <v>0</v>
      </c>
      <c r="S58" s="141">
        <v>0</v>
      </c>
      <c r="T58" s="199">
        <v>11166</v>
      </c>
      <c r="U58" s="145"/>
      <c r="V58" s="145"/>
      <c r="W58" s="145"/>
      <c r="X58" s="145"/>
    </row>
    <row r="59" spans="1:24" s="12" customFormat="1" ht="14.4" x14ac:dyDescent="0.3">
      <c r="A59" s="400" t="s">
        <v>201</v>
      </c>
      <c r="B59" s="150" t="s">
        <v>345</v>
      </c>
      <c r="C59" s="150"/>
      <c r="D59" s="401" t="s">
        <v>40</v>
      </c>
      <c r="E59" s="401">
        <v>0</v>
      </c>
      <c r="F59" s="401">
        <v>0</v>
      </c>
      <c r="G59" s="402">
        <v>464.99999999999994</v>
      </c>
      <c r="L59" s="193"/>
      <c r="N59" s="139" t="s">
        <v>263</v>
      </c>
      <c r="O59" s="138"/>
      <c r="P59" s="150"/>
      <c r="Q59" s="138" t="s">
        <v>43</v>
      </c>
      <c r="R59" s="141">
        <v>0</v>
      </c>
      <c r="S59" s="141">
        <v>0</v>
      </c>
      <c r="T59" s="199">
        <v>6514</v>
      </c>
      <c r="U59" s="145"/>
      <c r="V59" s="145"/>
      <c r="W59" s="145"/>
      <c r="X59" s="145"/>
    </row>
    <row r="60" spans="1:24" s="12" customFormat="1" ht="14.4" x14ac:dyDescent="0.3">
      <c r="A60" s="400" t="s">
        <v>202</v>
      </c>
      <c r="B60" s="150" t="s">
        <v>345</v>
      </c>
      <c r="C60" s="150"/>
      <c r="D60" s="401" t="s">
        <v>40</v>
      </c>
      <c r="E60" s="401">
        <v>0</v>
      </c>
      <c r="F60" s="401">
        <v>0</v>
      </c>
      <c r="G60" s="402">
        <v>15455</v>
      </c>
      <c r="L60" s="193"/>
      <c r="N60" s="139" t="s">
        <v>264</v>
      </c>
      <c r="O60" s="138"/>
      <c r="P60" s="150" t="s">
        <v>290</v>
      </c>
      <c r="Q60" s="138" t="s">
        <v>45</v>
      </c>
      <c r="R60" s="141">
        <v>0</v>
      </c>
      <c r="S60" s="141">
        <v>0</v>
      </c>
      <c r="T60" s="199">
        <v>119</v>
      </c>
      <c r="U60" s="145"/>
      <c r="V60" s="145"/>
      <c r="W60" s="145"/>
      <c r="X60" s="145"/>
    </row>
    <row r="61" spans="1:24" s="12" customFormat="1" ht="14.4" x14ac:dyDescent="0.3">
      <c r="A61" s="400" t="s">
        <v>203</v>
      </c>
      <c r="B61" s="150" t="s">
        <v>345</v>
      </c>
      <c r="C61" s="150"/>
      <c r="D61" s="401" t="s">
        <v>40</v>
      </c>
      <c r="E61" s="401">
        <v>0</v>
      </c>
      <c r="F61" s="401">
        <v>0</v>
      </c>
      <c r="G61" s="402">
        <v>27975</v>
      </c>
      <c r="L61" s="193"/>
      <c r="N61" s="139" t="s">
        <v>34</v>
      </c>
      <c r="O61" s="138"/>
      <c r="P61" s="150" t="s">
        <v>291</v>
      </c>
      <c r="Q61" s="138" t="s">
        <v>45</v>
      </c>
      <c r="R61" s="141">
        <v>0</v>
      </c>
      <c r="S61" s="141">
        <v>0</v>
      </c>
      <c r="T61" s="199">
        <v>188688</v>
      </c>
      <c r="U61" s="145"/>
      <c r="V61" s="145"/>
      <c r="W61" s="145"/>
      <c r="X61" s="145"/>
    </row>
    <row r="62" spans="1:24" s="12" customFormat="1" ht="14.4" x14ac:dyDescent="0.3">
      <c r="A62" s="400" t="s">
        <v>204</v>
      </c>
      <c r="B62" s="150" t="s">
        <v>345</v>
      </c>
      <c r="C62" s="150"/>
      <c r="D62" s="401" t="s">
        <v>40</v>
      </c>
      <c r="E62" s="401">
        <v>0</v>
      </c>
      <c r="F62" s="401">
        <v>0</v>
      </c>
      <c r="G62" s="402">
        <v>2046</v>
      </c>
      <c r="L62" s="193"/>
      <c r="N62" s="139" t="s">
        <v>265</v>
      </c>
      <c r="O62" s="138"/>
      <c r="P62" s="150"/>
      <c r="Q62" s="138" t="s">
        <v>43</v>
      </c>
      <c r="R62" s="141">
        <v>0</v>
      </c>
      <c r="S62" s="141">
        <v>0</v>
      </c>
      <c r="T62" s="199">
        <v>2816</v>
      </c>
      <c r="U62" s="145"/>
      <c r="V62" s="145"/>
      <c r="W62" s="145"/>
      <c r="X62" s="145"/>
    </row>
    <row r="63" spans="1:24" s="12" customFormat="1" ht="14.4" x14ac:dyDescent="0.3">
      <c r="A63" s="400" t="s">
        <v>205</v>
      </c>
      <c r="B63" s="150" t="s">
        <v>346</v>
      </c>
      <c r="C63" s="150"/>
      <c r="D63" s="401" t="s">
        <v>40</v>
      </c>
      <c r="E63" s="401">
        <v>0</v>
      </c>
      <c r="F63" s="401">
        <v>0</v>
      </c>
      <c r="G63" s="402">
        <v>21592.25</v>
      </c>
      <c r="L63" s="193"/>
      <c r="N63" s="139" t="s">
        <v>266</v>
      </c>
      <c r="O63" s="138"/>
      <c r="P63" s="150"/>
      <c r="Q63" s="138" t="s">
        <v>43</v>
      </c>
      <c r="R63" s="141">
        <v>0</v>
      </c>
      <c r="S63" s="141">
        <v>0</v>
      </c>
      <c r="T63" s="199">
        <v>7996</v>
      </c>
      <c r="U63" s="145"/>
      <c r="V63" s="145"/>
      <c r="W63" s="145"/>
      <c r="X63" s="145"/>
    </row>
    <row r="64" spans="1:24" s="12" customFormat="1" ht="14.4" x14ac:dyDescent="0.3">
      <c r="A64" s="139" t="s">
        <v>206</v>
      </c>
      <c r="B64" s="150" t="s">
        <v>346</v>
      </c>
      <c r="C64" s="138"/>
      <c r="D64" s="141" t="s">
        <v>40</v>
      </c>
      <c r="E64" s="141">
        <v>0</v>
      </c>
      <c r="F64" s="141">
        <v>0</v>
      </c>
      <c r="G64" s="199">
        <v>8821</v>
      </c>
      <c r="L64" s="193"/>
      <c r="N64" s="139" t="s">
        <v>267</v>
      </c>
      <c r="O64" s="138"/>
      <c r="P64" s="150"/>
      <c r="Q64" s="138" t="s">
        <v>43</v>
      </c>
      <c r="R64" s="141">
        <v>0</v>
      </c>
      <c r="S64" s="141">
        <v>0</v>
      </c>
      <c r="T64" s="199">
        <v>8213</v>
      </c>
      <c r="U64" s="145"/>
      <c r="V64" s="145"/>
      <c r="W64" s="145"/>
      <c r="X64" s="145"/>
    </row>
    <row r="65" spans="1:24" s="12" customFormat="1" ht="14.4" x14ac:dyDescent="0.3">
      <c r="A65" s="139" t="s">
        <v>207</v>
      </c>
      <c r="B65" s="150" t="s">
        <v>346</v>
      </c>
      <c r="C65" s="138"/>
      <c r="D65" s="141" t="s">
        <v>40</v>
      </c>
      <c r="E65" s="141">
        <v>0</v>
      </c>
      <c r="F65" s="141">
        <v>0</v>
      </c>
      <c r="G65" s="199">
        <v>9585.9166666666697</v>
      </c>
      <c r="L65" s="193"/>
      <c r="N65" s="139" t="s">
        <v>268</v>
      </c>
      <c r="O65" s="138"/>
      <c r="P65" s="150"/>
      <c r="Q65" s="138" t="s">
        <v>43</v>
      </c>
      <c r="R65" s="141">
        <v>0</v>
      </c>
      <c r="S65" s="141">
        <v>0</v>
      </c>
      <c r="T65" s="199">
        <v>8412</v>
      </c>
      <c r="U65" s="145"/>
      <c r="V65" s="145"/>
      <c r="W65" s="145"/>
      <c r="X65" s="145"/>
    </row>
    <row r="66" spans="1:24" s="12" customFormat="1" ht="14.4" x14ac:dyDescent="0.3">
      <c r="A66" s="139" t="s">
        <v>208</v>
      </c>
      <c r="B66" s="150" t="s">
        <v>346</v>
      </c>
      <c r="C66" s="138"/>
      <c r="D66" s="141" t="s">
        <v>40</v>
      </c>
      <c r="E66" s="141">
        <v>0</v>
      </c>
      <c r="F66" s="141">
        <v>0</v>
      </c>
      <c r="G66" s="199">
        <v>17015.000000000004</v>
      </c>
      <c r="L66" s="193"/>
      <c r="N66" s="139" t="s">
        <v>269</v>
      </c>
      <c r="O66" s="138"/>
      <c r="P66" s="150"/>
      <c r="Q66" s="138" t="s">
        <v>43</v>
      </c>
      <c r="R66" s="141">
        <v>0</v>
      </c>
      <c r="S66" s="141">
        <v>0</v>
      </c>
      <c r="T66" s="199">
        <v>10199</v>
      </c>
      <c r="U66" s="145"/>
      <c r="V66" s="145"/>
      <c r="W66" s="145"/>
      <c r="X66" s="145"/>
    </row>
    <row r="67" spans="1:24" s="12" customFormat="1" ht="14.4" x14ac:dyDescent="0.3">
      <c r="A67" s="139" t="s">
        <v>209</v>
      </c>
      <c r="B67" s="150" t="s">
        <v>346</v>
      </c>
      <c r="C67" s="138"/>
      <c r="D67" s="141" t="s">
        <v>40</v>
      </c>
      <c r="E67" s="141">
        <v>0</v>
      </c>
      <c r="F67" s="141">
        <v>0</v>
      </c>
      <c r="G67" s="199">
        <v>14250.000000000002</v>
      </c>
      <c r="L67" s="193"/>
      <c r="N67" s="139" t="s">
        <v>63</v>
      </c>
      <c r="O67" s="138"/>
      <c r="P67" s="150"/>
      <c r="Q67" s="138" t="s">
        <v>43</v>
      </c>
      <c r="R67" s="141">
        <v>0</v>
      </c>
      <c r="S67" s="141">
        <v>0</v>
      </c>
      <c r="T67" s="199">
        <v>1904</v>
      </c>
      <c r="U67" s="145"/>
      <c r="V67" s="145"/>
      <c r="W67" s="145"/>
      <c r="X67" s="145"/>
    </row>
    <row r="68" spans="1:24" s="12" customFormat="1" ht="15" thickBot="1" x14ac:dyDescent="0.35">
      <c r="A68" s="142" t="s">
        <v>210</v>
      </c>
      <c r="B68" s="140"/>
      <c r="C68" s="140" t="s">
        <v>226</v>
      </c>
      <c r="D68" s="190" t="s">
        <v>41</v>
      </c>
      <c r="E68" s="190">
        <v>0</v>
      </c>
      <c r="F68" s="190">
        <v>0</v>
      </c>
      <c r="G68" s="269">
        <v>6571.3499999999995</v>
      </c>
      <c r="L68" s="193"/>
      <c r="N68" s="179" t="s">
        <v>270</v>
      </c>
      <c r="O68" s="188"/>
      <c r="P68" s="188" t="s">
        <v>353</v>
      </c>
      <c r="Q68" s="188" t="s">
        <v>45</v>
      </c>
      <c r="R68" s="189">
        <v>1</v>
      </c>
      <c r="S68" s="189">
        <v>1</v>
      </c>
      <c r="T68" s="200">
        <v>285</v>
      </c>
      <c r="U68" s="145"/>
      <c r="V68" s="145"/>
      <c r="W68" s="145"/>
      <c r="X68" s="145"/>
    </row>
    <row r="69" spans="1:24" s="12" customFormat="1" ht="15" thickBot="1" x14ac:dyDescent="0.35">
      <c r="B69" s="145"/>
      <c r="C69" s="145"/>
      <c r="D69" s="145"/>
      <c r="E69" s="145"/>
      <c r="F69" s="145"/>
      <c r="G69"/>
      <c r="L69" s="193"/>
      <c r="N69" s="179" t="s">
        <v>271</v>
      </c>
      <c r="O69" s="191"/>
      <c r="P69" s="188" t="s">
        <v>353</v>
      </c>
      <c r="Q69" s="188" t="s">
        <v>45</v>
      </c>
      <c r="R69" s="189">
        <v>1</v>
      </c>
      <c r="S69" s="189">
        <v>1</v>
      </c>
      <c r="T69" s="200">
        <v>6538</v>
      </c>
      <c r="U69" s="145"/>
      <c r="V69" s="145"/>
      <c r="W69" s="145"/>
      <c r="X69" s="145"/>
    </row>
    <row r="70" spans="1:24" s="12" customFormat="1" ht="15" thickBot="1" x14ac:dyDescent="0.35">
      <c r="B70" s="145"/>
      <c r="C70" s="145"/>
      <c r="D70" s="195"/>
      <c r="E70" s="143" t="s">
        <v>84</v>
      </c>
      <c r="F70" s="146"/>
      <c r="G70" s="144">
        <f>SUM(G2:G69)</f>
        <v>1548892.5333333332</v>
      </c>
      <c r="L70" s="193"/>
      <c r="N70" s="179" t="s">
        <v>272</v>
      </c>
      <c r="O70" s="191"/>
      <c r="P70" s="188" t="s">
        <v>353</v>
      </c>
      <c r="Q70" s="188" t="s">
        <v>45</v>
      </c>
      <c r="R70" s="189">
        <v>1</v>
      </c>
      <c r="S70" s="189">
        <v>1</v>
      </c>
      <c r="T70" s="192">
        <v>7269</v>
      </c>
      <c r="U70" s="145"/>
      <c r="V70" s="145"/>
      <c r="W70" s="145"/>
      <c r="X70" s="145"/>
    </row>
    <row r="71" spans="1:24" s="12" customFormat="1" ht="14.4" x14ac:dyDescent="0.3">
      <c r="B71" s="145"/>
      <c r="C71" s="145"/>
      <c r="D71" s="145"/>
      <c r="E71" s="145"/>
      <c r="F71" s="145"/>
      <c r="G71"/>
      <c r="L71" s="193"/>
      <c r="N71" s="139" t="s">
        <v>273</v>
      </c>
      <c r="O71" s="119"/>
      <c r="P71" s="119"/>
      <c r="Q71" s="138" t="s">
        <v>40</v>
      </c>
      <c r="R71" s="141">
        <v>0</v>
      </c>
      <c r="S71" s="141">
        <v>0</v>
      </c>
      <c r="T71" s="199">
        <v>4</v>
      </c>
    </row>
    <row r="72" spans="1:24" s="12" customFormat="1" ht="14.4" x14ac:dyDescent="0.3">
      <c r="B72" s="145"/>
      <c r="C72" s="145"/>
      <c r="D72" s="145"/>
      <c r="E72" s="145"/>
      <c r="F72" s="145"/>
      <c r="G72" s="193"/>
      <c r="L72" s="193"/>
      <c r="N72" s="179" t="s">
        <v>64</v>
      </c>
      <c r="O72" s="191"/>
      <c r="P72" s="191"/>
      <c r="Q72" s="188" t="s">
        <v>46</v>
      </c>
      <c r="R72" s="189">
        <v>1</v>
      </c>
      <c r="S72" s="189">
        <v>1</v>
      </c>
      <c r="T72" s="200">
        <v>72288973</v>
      </c>
    </row>
    <row r="73" spans="1:24" s="12" customFormat="1" ht="14.4" x14ac:dyDescent="0.3">
      <c r="B73" s="145"/>
      <c r="C73" s="145"/>
      <c r="D73" s="145"/>
      <c r="E73" s="145"/>
      <c r="F73" s="145"/>
      <c r="G73"/>
      <c r="L73" s="193"/>
      <c r="N73" s="179" t="s">
        <v>274</v>
      </c>
      <c r="O73" s="191"/>
      <c r="P73" s="188" t="s">
        <v>353</v>
      </c>
      <c r="Q73" s="188" t="s">
        <v>45</v>
      </c>
      <c r="R73" s="189">
        <v>1</v>
      </c>
      <c r="S73" s="189">
        <v>1</v>
      </c>
      <c r="T73" s="200">
        <v>377</v>
      </c>
    </row>
    <row r="74" spans="1:24" s="12" customFormat="1" ht="14.4" x14ac:dyDescent="0.3">
      <c r="B74" s="145"/>
      <c r="C74" s="145"/>
      <c r="D74" s="145"/>
      <c r="E74" s="145"/>
      <c r="F74" s="145"/>
      <c r="G74"/>
      <c r="L74" s="193"/>
      <c r="N74" s="179" t="s">
        <v>275</v>
      </c>
      <c r="O74" s="191"/>
      <c r="P74" s="188" t="s">
        <v>353</v>
      </c>
      <c r="Q74" s="188" t="s">
        <v>45</v>
      </c>
      <c r="R74" s="189">
        <v>1</v>
      </c>
      <c r="S74" s="189">
        <v>1</v>
      </c>
      <c r="T74" s="200">
        <v>491</v>
      </c>
    </row>
    <row r="75" spans="1:24" s="12" customFormat="1" ht="14.4" x14ac:dyDescent="0.3">
      <c r="B75" s="145"/>
      <c r="C75" s="145"/>
      <c r="D75" s="145"/>
      <c r="E75" s="145"/>
      <c r="F75" s="145"/>
      <c r="G75"/>
      <c r="L75" s="193"/>
      <c r="N75" s="139" t="s">
        <v>65</v>
      </c>
      <c r="O75" s="119"/>
      <c r="P75" s="119"/>
      <c r="Q75" s="138" t="s">
        <v>41</v>
      </c>
      <c r="R75" s="141">
        <v>0</v>
      </c>
      <c r="S75" s="141">
        <v>0</v>
      </c>
      <c r="T75" s="199">
        <v>705586</v>
      </c>
    </row>
    <row r="76" spans="1:24" s="12" customFormat="1" ht="14.4" x14ac:dyDescent="0.3">
      <c r="B76" s="145"/>
      <c r="C76" s="145"/>
      <c r="D76" s="145"/>
      <c r="E76" s="145"/>
      <c r="F76" s="145"/>
      <c r="G76"/>
      <c r="L76" s="193"/>
      <c r="N76" s="139" t="s">
        <v>35</v>
      </c>
      <c r="O76" s="119"/>
      <c r="P76" s="119"/>
      <c r="Q76" s="138" t="s">
        <v>40</v>
      </c>
      <c r="R76" s="141">
        <v>0</v>
      </c>
      <c r="S76" s="141">
        <v>0</v>
      </c>
      <c r="T76" s="199">
        <v>129</v>
      </c>
    </row>
    <row r="77" spans="1:24" s="12" customFormat="1" ht="14.4" x14ac:dyDescent="0.3">
      <c r="B77" s="145"/>
      <c r="C77" s="145"/>
      <c r="D77" s="145"/>
      <c r="E77" s="145"/>
      <c r="F77" s="145"/>
      <c r="G77"/>
      <c r="L77" s="193"/>
      <c r="N77" s="139" t="s">
        <v>36</v>
      </c>
      <c r="O77" s="119"/>
      <c r="P77" s="119"/>
      <c r="Q77" s="138" t="s">
        <v>40</v>
      </c>
      <c r="R77" s="141">
        <v>0</v>
      </c>
      <c r="S77" s="141">
        <v>0</v>
      </c>
      <c r="T77" s="199">
        <v>210</v>
      </c>
    </row>
    <row r="78" spans="1:24" s="12" customFormat="1" ht="14.4" x14ac:dyDescent="0.3">
      <c r="B78" s="145"/>
      <c r="C78" s="145"/>
      <c r="D78" s="145"/>
      <c r="E78" s="145"/>
      <c r="F78" s="145"/>
      <c r="G78"/>
      <c r="L78" s="193"/>
      <c r="N78" s="139" t="s">
        <v>37</v>
      </c>
      <c r="O78" s="119"/>
      <c r="P78" s="119"/>
      <c r="Q78" s="138" t="s">
        <v>40</v>
      </c>
      <c r="R78" s="141">
        <v>0</v>
      </c>
      <c r="S78" s="141">
        <v>0</v>
      </c>
      <c r="T78" s="199">
        <v>94</v>
      </c>
    </row>
    <row r="79" spans="1:24" s="12" customFormat="1" ht="14.4" x14ac:dyDescent="0.3">
      <c r="B79" s="145"/>
      <c r="C79" s="145"/>
      <c r="D79" s="145"/>
      <c r="E79" s="145"/>
      <c r="F79" s="145"/>
      <c r="G79"/>
      <c r="L79" s="193"/>
      <c r="N79" s="139" t="s">
        <v>38</v>
      </c>
      <c r="O79" s="119"/>
      <c r="P79" s="119"/>
      <c r="Q79" s="138" t="s">
        <v>41</v>
      </c>
      <c r="R79" s="141">
        <v>0</v>
      </c>
      <c r="S79" s="141">
        <v>0</v>
      </c>
      <c r="T79" s="199">
        <v>539</v>
      </c>
    </row>
    <row r="80" spans="1:24" s="12" customFormat="1" ht="14.4" x14ac:dyDescent="0.3">
      <c r="B80" s="145"/>
      <c r="C80" s="145"/>
      <c r="D80" s="145"/>
      <c r="E80" s="145"/>
      <c r="F80" s="145"/>
      <c r="G80"/>
      <c r="L80" s="193"/>
      <c r="N80" s="179" t="s">
        <v>276</v>
      </c>
      <c r="O80" s="191"/>
      <c r="P80" s="191" t="s">
        <v>292</v>
      </c>
      <c r="Q80" s="188" t="s">
        <v>45</v>
      </c>
      <c r="R80" s="189">
        <v>1</v>
      </c>
      <c r="S80" s="189">
        <v>1</v>
      </c>
      <c r="T80" s="200">
        <v>980</v>
      </c>
    </row>
    <row r="81" spans="2:20" s="12" customFormat="1" ht="14.4" x14ac:dyDescent="0.3">
      <c r="B81" s="145"/>
      <c r="C81" s="145"/>
      <c r="D81" s="145"/>
      <c r="E81" s="145"/>
      <c r="F81" s="145"/>
      <c r="G81"/>
      <c r="L81" s="193"/>
      <c r="N81" s="139" t="s">
        <v>277</v>
      </c>
      <c r="O81" s="119"/>
      <c r="P81" s="119"/>
      <c r="Q81" s="138" t="s">
        <v>43</v>
      </c>
      <c r="R81" s="141">
        <v>0</v>
      </c>
      <c r="S81" s="141">
        <v>0</v>
      </c>
      <c r="T81" s="199">
        <v>545</v>
      </c>
    </row>
    <row r="82" spans="2:20" s="12" customFormat="1" ht="14.4" x14ac:dyDescent="0.3">
      <c r="B82" s="145"/>
      <c r="C82" s="145"/>
      <c r="D82" s="145"/>
      <c r="E82" s="145"/>
      <c r="F82" s="145"/>
      <c r="G82"/>
      <c r="L82" s="193"/>
      <c r="N82" s="139" t="s">
        <v>278</v>
      </c>
      <c r="O82" s="119"/>
      <c r="P82" s="119" t="s">
        <v>293</v>
      </c>
      <c r="Q82" s="138" t="s">
        <v>45</v>
      </c>
      <c r="R82" s="141">
        <v>0</v>
      </c>
      <c r="S82" s="141">
        <v>0</v>
      </c>
      <c r="T82" s="199">
        <v>149</v>
      </c>
    </row>
    <row r="83" spans="2:20" s="12" customFormat="1" ht="15" thickBot="1" x14ac:dyDescent="0.35">
      <c r="B83" s="145"/>
      <c r="C83" s="145"/>
      <c r="D83" s="145"/>
      <c r="E83" s="145"/>
      <c r="F83" s="145"/>
      <c r="G83"/>
      <c r="L83" s="193"/>
      <c r="N83" s="142" t="s">
        <v>279</v>
      </c>
      <c r="O83" s="148"/>
      <c r="P83" s="148"/>
      <c r="Q83" s="140" t="s">
        <v>540</v>
      </c>
      <c r="R83" s="190">
        <v>0</v>
      </c>
      <c r="S83" s="190">
        <v>0</v>
      </c>
      <c r="T83" s="269">
        <v>176</v>
      </c>
    </row>
    <row r="84" spans="2:20" s="12" customFormat="1" ht="15" thickBot="1" x14ac:dyDescent="0.35">
      <c r="B84" s="145"/>
      <c r="C84" s="145"/>
      <c r="D84" s="145"/>
      <c r="E84" s="145"/>
      <c r="F84" s="145"/>
      <c r="G84"/>
      <c r="L84" s="193"/>
      <c r="R84" s="145"/>
      <c r="S84" s="145"/>
      <c r="T84" s="193"/>
    </row>
    <row r="85" spans="2:20" s="12" customFormat="1" ht="15" thickBot="1" x14ac:dyDescent="0.35">
      <c r="B85" s="145"/>
      <c r="C85" s="145"/>
      <c r="D85" s="145"/>
      <c r="E85" s="145"/>
      <c r="F85" s="145"/>
      <c r="G85"/>
      <c r="L85" s="193"/>
      <c r="R85" s="196" t="s">
        <v>84</v>
      </c>
      <c r="S85" s="198"/>
      <c r="T85" s="197">
        <f>SUMIFS(T2:T83,R2:R83,"=0")</f>
        <v>7168374</v>
      </c>
    </row>
    <row r="86" spans="2:20" s="12" customFormat="1" ht="14.4" x14ac:dyDescent="0.3">
      <c r="B86" s="145"/>
      <c r="C86" s="145"/>
      <c r="D86" s="145"/>
      <c r="E86" s="145"/>
      <c r="F86" s="145"/>
      <c r="G86"/>
      <c r="L86" s="193"/>
      <c r="R86" s="145"/>
      <c r="S86" s="145"/>
      <c r="T86" s="193"/>
    </row>
    <row r="87" spans="2:20" s="12" customFormat="1" ht="14.4" x14ac:dyDescent="0.3">
      <c r="B87" s="145"/>
      <c r="C87" s="145"/>
      <c r="D87" s="145"/>
      <c r="E87" s="145"/>
      <c r="F87" s="145"/>
      <c r="G87"/>
      <c r="L87" s="193"/>
      <c r="R87" s="145"/>
      <c r="S87" s="145"/>
      <c r="T87" s="193"/>
    </row>
    <row r="88" spans="2:20" s="12" customFormat="1" ht="14.4" x14ac:dyDescent="0.3">
      <c r="B88" s="145"/>
      <c r="C88" s="145"/>
      <c r="D88" s="145"/>
      <c r="E88" s="145"/>
      <c r="F88" s="145"/>
      <c r="G88"/>
      <c r="L88" s="193"/>
      <c r="R88" s="145"/>
      <c r="S88" s="145"/>
      <c r="T88" s="193"/>
    </row>
    <row r="89" spans="2:20" s="12" customFormat="1" ht="14.4" x14ac:dyDescent="0.3">
      <c r="B89" s="145"/>
      <c r="C89" s="145"/>
      <c r="D89" s="145"/>
      <c r="E89" s="145"/>
      <c r="F89" s="145"/>
      <c r="G89"/>
      <c r="L89" s="193"/>
      <c r="R89" s="145"/>
      <c r="S89" s="145"/>
      <c r="T89" s="193"/>
    </row>
    <row r="90" spans="2:20" s="12" customFormat="1" ht="14.4" x14ac:dyDescent="0.3">
      <c r="B90" s="145"/>
      <c r="C90" s="145"/>
      <c r="D90" s="145"/>
      <c r="E90" s="145"/>
      <c r="F90" s="145"/>
      <c r="G90"/>
      <c r="L90" s="193"/>
      <c r="R90" s="145"/>
      <c r="S90" s="145"/>
      <c r="T90" s="193"/>
    </row>
    <row r="91" spans="2:20" s="12" customFormat="1" ht="14.4" x14ac:dyDescent="0.3">
      <c r="B91" s="145"/>
      <c r="C91" s="145"/>
      <c r="D91" s="145"/>
      <c r="E91" s="145"/>
      <c r="F91" s="145"/>
      <c r="G91"/>
      <c r="L91" s="193"/>
      <c r="R91" s="145"/>
      <c r="S91" s="145"/>
      <c r="T91" s="193"/>
    </row>
    <row r="92" spans="2:20" s="12" customFormat="1" ht="14.4" x14ac:dyDescent="0.3">
      <c r="B92" s="145"/>
      <c r="C92" s="145"/>
      <c r="D92" s="145"/>
      <c r="E92" s="145"/>
      <c r="F92" s="145"/>
      <c r="G92"/>
      <c r="L92" s="193"/>
      <c r="R92" s="145"/>
      <c r="S92" s="145"/>
      <c r="T92" s="193"/>
    </row>
  </sheetData>
  <mergeCells count="4">
    <mergeCell ref="I14:K14"/>
    <mergeCell ref="V14:X14"/>
    <mergeCell ref="V15:X15"/>
    <mergeCell ref="I15:K1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DBBC3-2F6E-4F74-9731-6A90B0FA0F89}">
  <sheetPr codeName="Sheet8">
    <tabColor rgb="FF92D050"/>
  </sheetPr>
  <dimension ref="A1:AA50"/>
  <sheetViews>
    <sheetView zoomScale="85" zoomScaleNormal="85" workbookViewId="0">
      <selection activeCell="D24" sqref="D24"/>
    </sheetView>
  </sheetViews>
  <sheetFormatPr defaultRowHeight="14.4" x14ac:dyDescent="0.3"/>
  <cols>
    <col min="1" max="1" width="15.21875" style="32" customWidth="1"/>
    <col min="2" max="2" width="51.88671875" style="32" bestFit="1" customWidth="1"/>
    <col min="3" max="22" width="9.44140625" style="52" customWidth="1"/>
    <col min="23" max="23" width="3.21875" style="32" customWidth="1"/>
    <col min="24" max="24" width="3.109375" style="32" customWidth="1"/>
    <col min="25" max="25" width="41.5546875" style="32" bestFit="1" customWidth="1"/>
    <col min="26" max="26" width="7.33203125" style="32" bestFit="1" customWidth="1"/>
    <col min="27" max="27" width="7" style="32" bestFit="1" customWidth="1"/>
    <col min="28" max="16384" width="8.88671875" style="32"/>
  </cols>
  <sheetData>
    <row r="1" spans="1:27" s="11" customFormat="1" ht="13.8" x14ac:dyDescent="0.25">
      <c r="A1" s="27" t="s">
        <v>16</v>
      </c>
      <c r="B1" s="27" t="s">
        <v>121</v>
      </c>
      <c r="C1" s="27">
        <v>2021</v>
      </c>
      <c r="D1" s="28">
        <v>2022</v>
      </c>
      <c r="E1" s="27">
        <v>2023</v>
      </c>
      <c r="F1" s="28">
        <v>2024</v>
      </c>
      <c r="G1" s="27">
        <v>2025</v>
      </c>
      <c r="H1" s="28">
        <v>2026</v>
      </c>
      <c r="I1" s="27">
        <v>2027</v>
      </c>
      <c r="J1" s="28">
        <v>2028</v>
      </c>
      <c r="K1" s="27">
        <v>2029</v>
      </c>
      <c r="L1" s="28">
        <v>2030</v>
      </c>
      <c r="M1" s="27">
        <v>2031</v>
      </c>
      <c r="N1" s="28">
        <v>2032</v>
      </c>
      <c r="O1" s="27">
        <v>2033</v>
      </c>
      <c r="P1" s="28">
        <v>2034</v>
      </c>
      <c r="Q1" s="27">
        <v>2035</v>
      </c>
      <c r="R1" s="28">
        <v>2036</v>
      </c>
      <c r="S1" s="27">
        <v>2037</v>
      </c>
      <c r="T1" s="28">
        <v>2038</v>
      </c>
      <c r="U1" s="27">
        <v>2039</v>
      </c>
      <c r="V1" s="28">
        <v>2040</v>
      </c>
    </row>
    <row r="2" spans="1:27" x14ac:dyDescent="0.3">
      <c r="A2" s="29" t="s">
        <v>47</v>
      </c>
      <c r="B2" s="30" t="s">
        <v>41</v>
      </c>
      <c r="C2" s="38">
        <v>1</v>
      </c>
      <c r="D2" s="38">
        <v>1</v>
      </c>
      <c r="E2" s="38">
        <v>0</v>
      </c>
      <c r="F2" s="38">
        <v>0</v>
      </c>
      <c r="G2" s="38">
        <v>0</v>
      </c>
      <c r="H2" s="38">
        <v>0</v>
      </c>
      <c r="I2" s="38">
        <v>0</v>
      </c>
      <c r="J2" s="38">
        <v>0</v>
      </c>
      <c r="K2" s="38">
        <v>0</v>
      </c>
      <c r="L2" s="38">
        <v>0</v>
      </c>
      <c r="M2" s="38">
        <v>0</v>
      </c>
      <c r="N2" s="38">
        <v>0</v>
      </c>
      <c r="O2" s="38">
        <v>0</v>
      </c>
      <c r="P2" s="38">
        <v>0</v>
      </c>
      <c r="Q2" s="38">
        <v>0</v>
      </c>
      <c r="R2" s="38">
        <v>0</v>
      </c>
      <c r="S2" s="38">
        <v>0</v>
      </c>
      <c r="T2" s="38">
        <v>0</v>
      </c>
      <c r="U2" s="38">
        <v>0</v>
      </c>
      <c r="V2" s="38">
        <v>0</v>
      </c>
    </row>
    <row r="3" spans="1:27" x14ac:dyDescent="0.3">
      <c r="A3" s="29" t="s">
        <v>17</v>
      </c>
      <c r="B3" s="30" t="s">
        <v>41</v>
      </c>
      <c r="C3" s="38">
        <v>1</v>
      </c>
      <c r="D3" s="38">
        <v>1</v>
      </c>
      <c r="E3" s="38">
        <v>1</v>
      </c>
      <c r="F3" s="38">
        <v>1</v>
      </c>
      <c r="G3" s="38">
        <v>0</v>
      </c>
      <c r="H3" s="38">
        <v>0</v>
      </c>
      <c r="I3" s="38">
        <v>0</v>
      </c>
      <c r="J3" s="38">
        <v>0</v>
      </c>
      <c r="K3" s="38">
        <v>0</v>
      </c>
      <c r="L3" s="38">
        <v>0</v>
      </c>
      <c r="M3" s="38">
        <v>0</v>
      </c>
      <c r="N3" s="38">
        <v>0</v>
      </c>
      <c r="O3" s="38">
        <v>0</v>
      </c>
      <c r="P3" s="38">
        <v>0</v>
      </c>
      <c r="Q3" s="38">
        <v>0</v>
      </c>
      <c r="R3" s="38">
        <v>0</v>
      </c>
      <c r="S3" s="38">
        <v>0</v>
      </c>
      <c r="T3" s="38">
        <v>0</v>
      </c>
      <c r="U3" s="38">
        <v>0</v>
      </c>
      <c r="V3" s="38">
        <v>0</v>
      </c>
    </row>
    <row r="4" spans="1:27" x14ac:dyDescent="0.3">
      <c r="A4" s="29" t="s">
        <v>49</v>
      </c>
      <c r="B4" s="30" t="s">
        <v>41</v>
      </c>
      <c r="C4" s="38">
        <v>1</v>
      </c>
      <c r="D4" s="38">
        <v>1</v>
      </c>
      <c r="E4" s="38">
        <v>1</v>
      </c>
      <c r="F4" s="38">
        <v>1</v>
      </c>
      <c r="G4" s="38">
        <v>1</v>
      </c>
      <c r="H4" s="38">
        <v>1</v>
      </c>
      <c r="I4" s="38">
        <v>0</v>
      </c>
      <c r="J4" s="38">
        <v>0</v>
      </c>
      <c r="K4" s="38">
        <v>0</v>
      </c>
      <c r="L4" s="38">
        <v>0</v>
      </c>
      <c r="M4" s="38">
        <v>0</v>
      </c>
      <c r="N4" s="38">
        <v>0</v>
      </c>
      <c r="O4" s="38">
        <v>0</v>
      </c>
      <c r="P4" s="38">
        <v>0</v>
      </c>
      <c r="Q4" s="38">
        <v>0</v>
      </c>
      <c r="R4" s="38">
        <v>0</v>
      </c>
      <c r="S4" s="38">
        <v>0</v>
      </c>
      <c r="T4" s="38">
        <v>0</v>
      </c>
      <c r="U4" s="38">
        <v>0</v>
      </c>
      <c r="V4" s="38">
        <v>0</v>
      </c>
    </row>
    <row r="5" spans="1:27" x14ac:dyDescent="0.3">
      <c r="A5" s="29" t="s">
        <v>50</v>
      </c>
      <c r="B5" s="36" t="s">
        <v>43</v>
      </c>
      <c r="C5" s="53">
        <v>1</v>
      </c>
      <c r="D5" s="53">
        <v>1</v>
      </c>
      <c r="E5" s="53">
        <v>1</v>
      </c>
      <c r="F5" s="53">
        <v>1</v>
      </c>
      <c r="G5" s="53">
        <v>1</v>
      </c>
      <c r="H5" s="53">
        <v>1</v>
      </c>
      <c r="I5" s="53">
        <v>1</v>
      </c>
      <c r="J5" s="53">
        <v>1</v>
      </c>
      <c r="K5" s="53">
        <v>1</v>
      </c>
      <c r="L5" s="53">
        <v>1</v>
      </c>
      <c r="M5" s="53">
        <v>1</v>
      </c>
      <c r="N5" s="53">
        <v>1</v>
      </c>
      <c r="O5" s="53">
        <v>1</v>
      </c>
      <c r="P5" s="53">
        <v>1</v>
      </c>
      <c r="Q5" s="53">
        <v>1</v>
      </c>
      <c r="R5" s="53">
        <v>1</v>
      </c>
      <c r="S5" s="53">
        <v>1</v>
      </c>
      <c r="T5" s="53">
        <v>1</v>
      </c>
      <c r="U5" s="53">
        <v>1</v>
      </c>
      <c r="V5" s="53">
        <v>1</v>
      </c>
    </row>
    <row r="6" spans="1:27" x14ac:dyDescent="0.3">
      <c r="A6" s="29" t="s">
        <v>51</v>
      </c>
      <c r="B6" s="37" t="s">
        <v>42</v>
      </c>
      <c r="C6" s="29">
        <v>1</v>
      </c>
      <c r="D6" s="29">
        <v>1</v>
      </c>
      <c r="E6" s="29">
        <v>1</v>
      </c>
      <c r="F6" s="29">
        <v>1</v>
      </c>
      <c r="G6" s="29">
        <v>0</v>
      </c>
      <c r="H6" s="29">
        <v>0</v>
      </c>
      <c r="I6" s="29">
        <v>0</v>
      </c>
      <c r="J6" s="29">
        <v>0</v>
      </c>
      <c r="K6" s="29">
        <v>0</v>
      </c>
      <c r="L6" s="29">
        <v>0</v>
      </c>
      <c r="M6" s="29">
        <v>0</v>
      </c>
      <c r="N6" s="29">
        <v>0</v>
      </c>
      <c r="O6" s="29">
        <v>0</v>
      </c>
      <c r="P6" s="29">
        <v>0</v>
      </c>
      <c r="Q6" s="29">
        <v>0</v>
      </c>
      <c r="R6" s="29">
        <v>0</v>
      </c>
      <c r="S6" s="29">
        <v>0</v>
      </c>
      <c r="T6" s="29">
        <v>0</v>
      </c>
      <c r="U6" s="29">
        <v>0</v>
      </c>
      <c r="V6" s="29">
        <v>0</v>
      </c>
    </row>
    <row r="7" spans="1:27" x14ac:dyDescent="0.3">
      <c r="A7" s="29" t="s">
        <v>52</v>
      </c>
      <c r="B7" s="30" t="s">
        <v>41</v>
      </c>
      <c r="C7" s="29">
        <v>1</v>
      </c>
      <c r="D7" s="29">
        <v>1</v>
      </c>
      <c r="E7" s="29">
        <v>1</v>
      </c>
      <c r="F7" s="29">
        <v>1</v>
      </c>
      <c r="G7" s="29">
        <v>1</v>
      </c>
      <c r="H7" s="29">
        <v>1</v>
      </c>
      <c r="I7" s="29">
        <v>0</v>
      </c>
      <c r="J7" s="29">
        <v>0</v>
      </c>
      <c r="K7" s="29">
        <v>0</v>
      </c>
      <c r="L7" s="29">
        <v>0</v>
      </c>
      <c r="M7" s="29">
        <v>0</v>
      </c>
      <c r="N7" s="29">
        <v>0</v>
      </c>
      <c r="O7" s="29">
        <v>0</v>
      </c>
      <c r="P7" s="29">
        <v>0</v>
      </c>
      <c r="Q7" s="29">
        <v>0</v>
      </c>
      <c r="R7" s="29">
        <v>0</v>
      </c>
      <c r="S7" s="29">
        <v>0</v>
      </c>
      <c r="T7" s="29">
        <v>0</v>
      </c>
      <c r="U7" s="29">
        <v>0</v>
      </c>
      <c r="V7" s="29">
        <v>0</v>
      </c>
    </row>
    <row r="8" spans="1:27" x14ac:dyDescent="0.3">
      <c r="A8" s="29" t="s">
        <v>18</v>
      </c>
      <c r="B8" s="38" t="s">
        <v>48</v>
      </c>
      <c r="C8" s="38">
        <v>1</v>
      </c>
      <c r="D8" s="38">
        <v>1</v>
      </c>
      <c r="E8" s="38">
        <v>1</v>
      </c>
      <c r="F8" s="38">
        <v>1</v>
      </c>
      <c r="G8" s="38">
        <v>1</v>
      </c>
      <c r="H8" s="38">
        <v>1</v>
      </c>
      <c r="I8" s="38">
        <v>1</v>
      </c>
      <c r="J8" s="38">
        <v>1</v>
      </c>
      <c r="K8" s="38">
        <v>1</v>
      </c>
      <c r="L8" s="38">
        <v>1</v>
      </c>
      <c r="M8" s="38">
        <v>1</v>
      </c>
      <c r="N8" s="38">
        <v>1</v>
      </c>
      <c r="O8" s="38">
        <v>1</v>
      </c>
      <c r="P8" s="38">
        <v>1</v>
      </c>
      <c r="Q8" s="38">
        <v>1</v>
      </c>
      <c r="R8" s="38">
        <v>1</v>
      </c>
      <c r="S8" s="38">
        <v>1</v>
      </c>
      <c r="T8" s="38">
        <v>1</v>
      </c>
      <c r="U8" s="38">
        <v>1</v>
      </c>
      <c r="V8" s="38">
        <v>1</v>
      </c>
    </row>
    <row r="9" spans="1:27" ht="15" thickBot="1" x14ac:dyDescent="0.35">
      <c r="A9" s="29" t="s">
        <v>53</v>
      </c>
      <c r="B9" s="30" t="s">
        <v>41</v>
      </c>
      <c r="C9" s="38"/>
      <c r="D9" s="38"/>
      <c r="E9" s="38"/>
      <c r="F9" s="38"/>
      <c r="G9" s="38"/>
      <c r="H9" s="38"/>
      <c r="I9" s="38"/>
      <c r="J9" s="38"/>
      <c r="K9" s="38"/>
      <c r="L9" s="38"/>
      <c r="M9" s="38"/>
      <c r="N9" s="38"/>
      <c r="O9" s="38"/>
      <c r="P9" s="38"/>
      <c r="Q9" s="38"/>
      <c r="R9" s="38"/>
      <c r="S9" s="38"/>
      <c r="T9" s="38"/>
      <c r="U9" s="38"/>
      <c r="V9" s="38"/>
    </row>
    <row r="10" spans="1:27" x14ac:dyDescent="0.3">
      <c r="A10" s="29" t="s">
        <v>54</v>
      </c>
      <c r="B10" s="37" t="s">
        <v>43</v>
      </c>
      <c r="C10" s="29">
        <v>1</v>
      </c>
      <c r="D10" s="29">
        <v>1</v>
      </c>
      <c r="E10" s="29">
        <v>1</v>
      </c>
      <c r="F10" s="29">
        <v>1</v>
      </c>
      <c r="G10" s="29">
        <v>1</v>
      </c>
      <c r="H10" s="29">
        <v>1</v>
      </c>
      <c r="I10" s="29">
        <v>1</v>
      </c>
      <c r="J10" s="29">
        <v>1</v>
      </c>
      <c r="K10" s="29">
        <v>1</v>
      </c>
      <c r="L10" s="29">
        <v>1</v>
      </c>
      <c r="M10" s="29">
        <v>0</v>
      </c>
      <c r="N10" s="29">
        <v>0</v>
      </c>
      <c r="O10" s="29">
        <v>0</v>
      </c>
      <c r="P10" s="29">
        <v>0</v>
      </c>
      <c r="Q10" s="29">
        <v>0</v>
      </c>
      <c r="R10" s="29">
        <v>0</v>
      </c>
      <c r="S10" s="29">
        <v>0</v>
      </c>
      <c r="T10" s="29">
        <v>0</v>
      </c>
      <c r="U10" s="29">
        <v>0</v>
      </c>
      <c r="V10" s="29">
        <v>0</v>
      </c>
      <c r="Y10" s="54" t="s">
        <v>82</v>
      </c>
      <c r="Z10" s="55" t="s">
        <v>83</v>
      </c>
      <c r="AA10" s="56" t="s">
        <v>90</v>
      </c>
    </row>
    <row r="11" spans="1:27" x14ac:dyDescent="0.3">
      <c r="A11" s="29" t="s">
        <v>55</v>
      </c>
      <c r="B11" s="37" t="s">
        <v>42</v>
      </c>
      <c r="C11" s="29">
        <v>1</v>
      </c>
      <c r="D11" s="29">
        <v>1</v>
      </c>
      <c r="E11" s="29">
        <v>1</v>
      </c>
      <c r="F11" s="29">
        <v>1</v>
      </c>
      <c r="G11" s="29">
        <v>1</v>
      </c>
      <c r="H11" s="29">
        <v>1</v>
      </c>
      <c r="I11" s="29">
        <v>1</v>
      </c>
      <c r="J11" s="29">
        <v>1</v>
      </c>
      <c r="K11" s="29">
        <v>1</v>
      </c>
      <c r="L11" s="29">
        <v>1</v>
      </c>
      <c r="M11" s="29">
        <v>1</v>
      </c>
      <c r="N11" s="29">
        <v>1</v>
      </c>
      <c r="O11" s="29">
        <v>1</v>
      </c>
      <c r="P11" s="29">
        <v>1</v>
      </c>
      <c r="Q11" s="29">
        <v>1</v>
      </c>
      <c r="R11" s="29">
        <v>1</v>
      </c>
      <c r="S11" s="29">
        <v>1</v>
      </c>
      <c r="T11" s="29">
        <v>1</v>
      </c>
      <c r="U11" s="29">
        <v>1</v>
      </c>
      <c r="V11" s="29">
        <v>1</v>
      </c>
      <c r="Y11" s="33" t="s">
        <v>43</v>
      </c>
      <c r="Z11" s="34">
        <f>COUNTIF($B$2:$B$48,Y11)</f>
        <v>6</v>
      </c>
      <c r="AA11" s="35">
        <f>Z11/$Z$20</f>
        <v>0.14634146341463414</v>
      </c>
    </row>
    <row r="12" spans="1:27" x14ac:dyDescent="0.3">
      <c r="A12" s="29" t="s">
        <v>56</v>
      </c>
      <c r="B12" s="36" t="s">
        <v>43</v>
      </c>
      <c r="C12" s="29">
        <v>1</v>
      </c>
      <c r="D12" s="29">
        <v>1</v>
      </c>
      <c r="E12" s="29">
        <v>1</v>
      </c>
      <c r="F12" s="29">
        <v>1</v>
      </c>
      <c r="G12" s="29">
        <v>1</v>
      </c>
      <c r="H12" s="29">
        <v>1</v>
      </c>
      <c r="I12" s="29">
        <v>1</v>
      </c>
      <c r="J12" s="29">
        <v>1</v>
      </c>
      <c r="K12" s="29">
        <v>1</v>
      </c>
      <c r="L12" s="29">
        <v>1</v>
      </c>
      <c r="M12" s="29">
        <v>1</v>
      </c>
      <c r="N12" s="29">
        <v>1</v>
      </c>
      <c r="O12" s="29">
        <v>1</v>
      </c>
      <c r="P12" s="29">
        <v>1</v>
      </c>
      <c r="Q12" s="29">
        <v>1</v>
      </c>
      <c r="R12" s="29">
        <v>1</v>
      </c>
      <c r="S12" s="29">
        <v>1</v>
      </c>
      <c r="T12" s="29">
        <v>1</v>
      </c>
      <c r="U12" s="29">
        <v>1</v>
      </c>
      <c r="V12" s="29">
        <v>1</v>
      </c>
      <c r="Y12" s="33" t="s">
        <v>41</v>
      </c>
      <c r="Z12" s="34">
        <f t="shared" ref="Z12:Z18" si="0">COUNTIF($B$2:$B$48,Y12)</f>
        <v>19</v>
      </c>
      <c r="AA12" s="35">
        <f t="shared" ref="AA12:AA18" si="1">Z12/$Z$20</f>
        <v>0.46341463414634149</v>
      </c>
    </row>
    <row r="13" spans="1:27" x14ac:dyDescent="0.3">
      <c r="A13" s="29" t="s">
        <v>66</v>
      </c>
      <c r="B13" s="38" t="s">
        <v>48</v>
      </c>
      <c r="C13" s="29">
        <v>1</v>
      </c>
      <c r="D13" s="29">
        <v>1</v>
      </c>
      <c r="E13" s="29">
        <v>1</v>
      </c>
      <c r="F13" s="29">
        <v>0</v>
      </c>
      <c r="G13" s="29">
        <v>0</v>
      </c>
      <c r="H13" s="29">
        <v>0</v>
      </c>
      <c r="I13" s="29">
        <v>0</v>
      </c>
      <c r="J13" s="29">
        <v>0</v>
      </c>
      <c r="K13" s="29">
        <v>0</v>
      </c>
      <c r="L13" s="29">
        <v>0</v>
      </c>
      <c r="M13" s="29">
        <v>0</v>
      </c>
      <c r="N13" s="29">
        <v>0</v>
      </c>
      <c r="O13" s="29">
        <v>0</v>
      </c>
      <c r="P13" s="29">
        <v>0</v>
      </c>
      <c r="Q13" s="29">
        <v>0</v>
      </c>
      <c r="R13" s="29">
        <v>0</v>
      </c>
      <c r="S13" s="29">
        <v>0</v>
      </c>
      <c r="T13" s="29">
        <v>0</v>
      </c>
      <c r="U13" s="29">
        <v>0</v>
      </c>
      <c r="V13" s="29">
        <v>0</v>
      </c>
      <c r="Y13" s="33" t="s">
        <v>40</v>
      </c>
      <c r="Z13" s="34">
        <f t="shared" si="0"/>
        <v>8</v>
      </c>
      <c r="AA13" s="35">
        <f t="shared" si="1"/>
        <v>0.1951219512195122</v>
      </c>
    </row>
    <row r="14" spans="1:27" x14ac:dyDescent="0.3">
      <c r="A14" s="29" t="s">
        <v>19</v>
      </c>
      <c r="B14" s="30" t="s">
        <v>41</v>
      </c>
      <c r="C14" s="29">
        <v>1</v>
      </c>
      <c r="D14" s="29">
        <v>1</v>
      </c>
      <c r="E14" s="29">
        <v>1</v>
      </c>
      <c r="F14" s="29">
        <v>1</v>
      </c>
      <c r="G14" s="29">
        <v>1</v>
      </c>
      <c r="H14" s="29">
        <v>1</v>
      </c>
      <c r="I14" s="29">
        <v>1</v>
      </c>
      <c r="J14" s="29">
        <v>0</v>
      </c>
      <c r="K14" s="29">
        <v>0</v>
      </c>
      <c r="L14" s="29">
        <v>0</v>
      </c>
      <c r="M14" s="29">
        <v>0</v>
      </c>
      <c r="N14" s="29">
        <v>0</v>
      </c>
      <c r="O14" s="29">
        <v>0</v>
      </c>
      <c r="P14" s="29">
        <v>0</v>
      </c>
      <c r="Q14" s="29">
        <v>0</v>
      </c>
      <c r="R14" s="29">
        <v>0</v>
      </c>
      <c r="S14" s="29">
        <v>0</v>
      </c>
      <c r="T14" s="29">
        <v>0</v>
      </c>
      <c r="U14" s="29">
        <v>0</v>
      </c>
      <c r="V14" s="29">
        <v>0</v>
      </c>
      <c r="Y14" s="33" t="s">
        <v>80</v>
      </c>
      <c r="Z14" s="34">
        <f t="shared" si="0"/>
        <v>0</v>
      </c>
      <c r="AA14" s="35">
        <f t="shared" si="1"/>
        <v>0</v>
      </c>
    </row>
    <row r="15" spans="1:27" ht="27.6" x14ac:dyDescent="0.3">
      <c r="A15" s="41" t="s">
        <v>67</v>
      </c>
      <c r="B15" s="30" t="s">
        <v>40</v>
      </c>
      <c r="C15" s="29">
        <v>1</v>
      </c>
      <c r="D15" s="29">
        <v>1</v>
      </c>
      <c r="E15" s="29">
        <v>1</v>
      </c>
      <c r="F15" s="29">
        <v>1</v>
      </c>
      <c r="G15" s="29">
        <v>1</v>
      </c>
      <c r="H15" s="29">
        <v>1</v>
      </c>
      <c r="I15" s="29">
        <v>1</v>
      </c>
      <c r="J15" s="29">
        <v>1</v>
      </c>
      <c r="K15" s="29">
        <v>1</v>
      </c>
      <c r="L15" s="29">
        <v>1</v>
      </c>
      <c r="M15" s="29">
        <v>1</v>
      </c>
      <c r="N15" s="29">
        <v>1</v>
      </c>
      <c r="O15" s="29">
        <v>1</v>
      </c>
      <c r="P15" s="29">
        <v>1</v>
      </c>
      <c r="Q15" s="29">
        <v>1</v>
      </c>
      <c r="R15" s="29">
        <v>1</v>
      </c>
      <c r="S15" s="29">
        <v>1</v>
      </c>
      <c r="T15" s="29">
        <v>1</v>
      </c>
      <c r="U15" s="29">
        <v>1</v>
      </c>
      <c r="V15" s="29">
        <v>1</v>
      </c>
      <c r="Y15" s="33" t="s">
        <v>44</v>
      </c>
      <c r="Z15" s="34">
        <f t="shared" si="0"/>
        <v>1</v>
      </c>
      <c r="AA15" s="35">
        <f t="shared" si="1"/>
        <v>2.4390243902439025E-2</v>
      </c>
    </row>
    <row r="16" spans="1:27" x14ac:dyDescent="0.3">
      <c r="A16" s="41" t="s">
        <v>68</v>
      </c>
      <c r="B16" s="30" t="s">
        <v>40</v>
      </c>
      <c r="C16" s="29">
        <v>1</v>
      </c>
      <c r="D16" s="29">
        <v>1</v>
      </c>
      <c r="E16" s="29">
        <v>1</v>
      </c>
      <c r="F16" s="29">
        <v>1</v>
      </c>
      <c r="G16" s="29">
        <v>1</v>
      </c>
      <c r="H16" s="29">
        <v>1</v>
      </c>
      <c r="I16" s="29">
        <v>1</v>
      </c>
      <c r="J16" s="29">
        <v>1</v>
      </c>
      <c r="K16" s="29">
        <v>1</v>
      </c>
      <c r="L16" s="29">
        <v>1</v>
      </c>
      <c r="M16" s="29">
        <v>1</v>
      </c>
      <c r="N16" s="29">
        <v>1</v>
      </c>
      <c r="O16" s="29">
        <v>1</v>
      </c>
      <c r="P16" s="29">
        <v>1</v>
      </c>
      <c r="Q16" s="29">
        <v>1</v>
      </c>
      <c r="R16" s="29">
        <v>1</v>
      </c>
      <c r="S16" s="29">
        <v>1</v>
      </c>
      <c r="T16" s="29">
        <v>1</v>
      </c>
      <c r="U16" s="29">
        <v>1</v>
      </c>
      <c r="V16" s="29">
        <v>1</v>
      </c>
      <c r="Y16" s="33" t="s">
        <v>81</v>
      </c>
      <c r="Z16" s="34">
        <f t="shared" si="0"/>
        <v>0</v>
      </c>
      <c r="AA16" s="35">
        <f t="shared" si="1"/>
        <v>0</v>
      </c>
    </row>
    <row r="17" spans="1:27" x14ac:dyDescent="0.3">
      <c r="A17" s="41" t="s">
        <v>69</v>
      </c>
      <c r="B17" s="30" t="s">
        <v>40</v>
      </c>
      <c r="C17" s="29">
        <v>1</v>
      </c>
      <c r="D17" s="29">
        <v>1</v>
      </c>
      <c r="E17" s="29">
        <v>1</v>
      </c>
      <c r="F17" s="29">
        <v>1</v>
      </c>
      <c r="G17" s="29">
        <v>1</v>
      </c>
      <c r="H17" s="29">
        <v>1</v>
      </c>
      <c r="I17" s="29">
        <v>1</v>
      </c>
      <c r="J17" s="29">
        <v>1</v>
      </c>
      <c r="K17" s="29">
        <v>1</v>
      </c>
      <c r="L17" s="29">
        <v>1</v>
      </c>
      <c r="M17" s="29">
        <v>1</v>
      </c>
      <c r="N17" s="29">
        <v>1</v>
      </c>
      <c r="O17" s="29">
        <v>1</v>
      </c>
      <c r="P17" s="29">
        <v>1</v>
      </c>
      <c r="Q17" s="29">
        <v>1</v>
      </c>
      <c r="R17" s="29">
        <v>1</v>
      </c>
      <c r="S17" s="29">
        <v>1</v>
      </c>
      <c r="T17" s="29">
        <v>1</v>
      </c>
      <c r="U17" s="29">
        <v>1</v>
      </c>
      <c r="V17" s="29">
        <v>1</v>
      </c>
      <c r="Y17" s="33" t="s">
        <v>42</v>
      </c>
      <c r="Z17" s="34">
        <f t="shared" si="0"/>
        <v>4</v>
      </c>
      <c r="AA17" s="35">
        <f t="shared" si="1"/>
        <v>9.7560975609756101E-2</v>
      </c>
    </row>
    <row r="18" spans="1:27" ht="15" thickBot="1" x14ac:dyDescent="0.35">
      <c r="A18" s="41" t="s">
        <v>70</v>
      </c>
      <c r="B18" s="30" t="s">
        <v>40</v>
      </c>
      <c r="C18" s="29">
        <v>1</v>
      </c>
      <c r="D18" s="29">
        <v>1</v>
      </c>
      <c r="E18" s="29">
        <v>1</v>
      </c>
      <c r="F18" s="29">
        <v>1</v>
      </c>
      <c r="G18" s="29">
        <v>1</v>
      </c>
      <c r="H18" s="29">
        <v>1</v>
      </c>
      <c r="I18" s="29">
        <v>1</v>
      </c>
      <c r="J18" s="29">
        <v>1</v>
      </c>
      <c r="K18" s="29">
        <v>1</v>
      </c>
      <c r="L18" s="29">
        <v>1</v>
      </c>
      <c r="M18" s="29">
        <v>1</v>
      </c>
      <c r="N18" s="29">
        <v>1</v>
      </c>
      <c r="O18" s="29">
        <v>1</v>
      </c>
      <c r="P18" s="29">
        <v>1</v>
      </c>
      <c r="Q18" s="29">
        <v>1</v>
      </c>
      <c r="R18" s="29">
        <v>1</v>
      </c>
      <c r="S18" s="29">
        <v>1</v>
      </c>
      <c r="T18" s="29">
        <v>1</v>
      </c>
      <c r="U18" s="29">
        <v>1</v>
      </c>
      <c r="V18" s="29">
        <v>1</v>
      </c>
      <c r="Y18" s="39" t="s">
        <v>45</v>
      </c>
      <c r="Z18" s="34">
        <f t="shared" si="0"/>
        <v>3</v>
      </c>
      <c r="AA18" s="35">
        <f t="shared" si="1"/>
        <v>7.3170731707317069E-2</v>
      </c>
    </row>
    <row r="19" spans="1:27" x14ac:dyDescent="0.3">
      <c r="A19" s="29" t="s">
        <v>20</v>
      </c>
      <c r="B19" s="30" t="s">
        <v>41</v>
      </c>
      <c r="C19" s="29">
        <v>1</v>
      </c>
      <c r="D19" s="29">
        <v>1</v>
      </c>
      <c r="E19" s="29">
        <v>1</v>
      </c>
      <c r="F19" s="29">
        <v>1</v>
      </c>
      <c r="G19" s="29">
        <v>1</v>
      </c>
      <c r="H19" s="29">
        <v>1</v>
      </c>
      <c r="I19" s="29">
        <v>1</v>
      </c>
      <c r="J19" s="29">
        <v>1</v>
      </c>
      <c r="K19" s="29">
        <v>1</v>
      </c>
      <c r="L19" s="29">
        <v>1</v>
      </c>
      <c r="M19" s="29">
        <v>1</v>
      </c>
      <c r="N19" s="29">
        <v>1</v>
      </c>
      <c r="O19" s="29">
        <v>1</v>
      </c>
      <c r="P19" s="29">
        <v>1</v>
      </c>
      <c r="Q19" s="29">
        <v>1</v>
      </c>
      <c r="R19" s="29">
        <v>1</v>
      </c>
      <c r="S19" s="29">
        <v>1</v>
      </c>
      <c r="T19" s="29">
        <v>1</v>
      </c>
      <c r="U19" s="29">
        <v>1</v>
      </c>
      <c r="V19" s="29">
        <v>1</v>
      </c>
      <c r="AA19" s="2"/>
    </row>
    <row r="20" spans="1:27" x14ac:dyDescent="0.3">
      <c r="A20" s="29" t="s">
        <v>21</v>
      </c>
      <c r="B20" s="30" t="s">
        <v>41</v>
      </c>
      <c r="C20" s="29">
        <v>1</v>
      </c>
      <c r="D20" s="29">
        <v>1</v>
      </c>
      <c r="E20" s="29">
        <v>1</v>
      </c>
      <c r="F20" s="29">
        <v>1</v>
      </c>
      <c r="G20" s="29">
        <v>1</v>
      </c>
      <c r="H20" s="29">
        <v>0</v>
      </c>
      <c r="I20" s="29">
        <v>0</v>
      </c>
      <c r="J20" s="29">
        <v>0</v>
      </c>
      <c r="K20" s="29">
        <v>0</v>
      </c>
      <c r="L20" s="29">
        <v>0</v>
      </c>
      <c r="M20" s="29">
        <v>0</v>
      </c>
      <c r="N20" s="29">
        <v>0</v>
      </c>
      <c r="O20" s="29">
        <v>0</v>
      </c>
      <c r="P20" s="29">
        <v>0</v>
      </c>
      <c r="Q20" s="29">
        <v>0</v>
      </c>
      <c r="R20" s="29">
        <v>0</v>
      </c>
      <c r="S20" s="29">
        <v>0</v>
      </c>
      <c r="T20" s="29">
        <v>0</v>
      </c>
      <c r="U20" s="29">
        <v>0</v>
      </c>
      <c r="V20" s="29">
        <v>0</v>
      </c>
      <c r="Y20" s="40" t="s">
        <v>84</v>
      </c>
      <c r="Z20" s="34">
        <f>SUM(Z11:Z18)</f>
        <v>41</v>
      </c>
      <c r="AA20" s="16">
        <f>SUM(AA11:AA18)</f>
        <v>1</v>
      </c>
    </row>
    <row r="21" spans="1:27" x14ac:dyDescent="0.3">
      <c r="A21" s="29" t="s">
        <v>24</v>
      </c>
      <c r="B21" s="42" t="s">
        <v>42</v>
      </c>
      <c r="C21" s="29">
        <v>0</v>
      </c>
      <c r="D21" s="29">
        <v>0</v>
      </c>
      <c r="E21" s="29">
        <v>0</v>
      </c>
      <c r="F21" s="29">
        <v>0</v>
      </c>
      <c r="G21" s="29">
        <v>0</v>
      </c>
      <c r="H21" s="29">
        <v>0</v>
      </c>
      <c r="I21" s="29">
        <v>0</v>
      </c>
      <c r="J21" s="29">
        <v>0</v>
      </c>
      <c r="K21" s="29">
        <v>0</v>
      </c>
      <c r="L21" s="29">
        <v>0</v>
      </c>
      <c r="M21" s="29">
        <v>0</v>
      </c>
      <c r="N21" s="29">
        <v>0</v>
      </c>
      <c r="O21" s="29">
        <v>0</v>
      </c>
      <c r="P21" s="29">
        <v>0</v>
      </c>
      <c r="Q21" s="29">
        <v>0</v>
      </c>
      <c r="R21" s="29">
        <v>0</v>
      </c>
      <c r="S21" s="29">
        <v>0</v>
      </c>
      <c r="T21" s="29">
        <v>0</v>
      </c>
      <c r="U21" s="29">
        <v>0</v>
      </c>
      <c r="V21" s="29">
        <v>0</v>
      </c>
    </row>
    <row r="22" spans="1:27" x14ac:dyDescent="0.3">
      <c r="A22" s="29" t="s">
        <v>57</v>
      </c>
      <c r="B22" s="30" t="s">
        <v>41</v>
      </c>
      <c r="C22" s="29">
        <v>1</v>
      </c>
      <c r="D22" s="29">
        <v>1</v>
      </c>
      <c r="E22" s="29">
        <v>1</v>
      </c>
      <c r="F22" s="29">
        <v>1</v>
      </c>
      <c r="G22" s="29">
        <v>1</v>
      </c>
      <c r="H22" s="29">
        <v>0</v>
      </c>
      <c r="I22" s="29">
        <v>0</v>
      </c>
      <c r="J22" s="29">
        <v>0</v>
      </c>
      <c r="K22" s="29">
        <v>0</v>
      </c>
      <c r="L22" s="29">
        <v>0</v>
      </c>
      <c r="M22" s="29">
        <v>0</v>
      </c>
      <c r="N22" s="29">
        <v>0</v>
      </c>
      <c r="O22" s="29">
        <v>0</v>
      </c>
      <c r="P22" s="29">
        <v>0</v>
      </c>
      <c r="Q22" s="29">
        <v>0</v>
      </c>
      <c r="R22" s="29">
        <v>0</v>
      </c>
      <c r="S22" s="29">
        <v>0</v>
      </c>
      <c r="T22" s="29">
        <v>0</v>
      </c>
      <c r="U22" s="29">
        <v>0</v>
      </c>
      <c r="V22" s="29">
        <v>0</v>
      </c>
    </row>
    <row r="23" spans="1:27" x14ac:dyDescent="0.3">
      <c r="A23" s="29" t="s">
        <v>22</v>
      </c>
      <c r="B23" s="30" t="s">
        <v>41</v>
      </c>
      <c r="C23" s="29">
        <v>1</v>
      </c>
      <c r="D23" s="29">
        <v>1</v>
      </c>
      <c r="E23" s="29">
        <v>1</v>
      </c>
      <c r="F23" s="29">
        <v>1</v>
      </c>
      <c r="G23" s="29">
        <v>0</v>
      </c>
      <c r="H23" s="29">
        <v>0</v>
      </c>
      <c r="I23" s="29">
        <v>0</v>
      </c>
      <c r="J23" s="29">
        <v>0</v>
      </c>
      <c r="K23" s="29">
        <v>0</v>
      </c>
      <c r="L23" s="29">
        <v>0</v>
      </c>
      <c r="M23" s="29">
        <v>0</v>
      </c>
      <c r="N23" s="29">
        <v>0</v>
      </c>
      <c r="O23" s="29">
        <v>0</v>
      </c>
      <c r="P23" s="29">
        <v>0</v>
      </c>
      <c r="Q23" s="29">
        <v>0</v>
      </c>
      <c r="R23" s="29">
        <v>0</v>
      </c>
      <c r="S23" s="29">
        <v>0</v>
      </c>
      <c r="T23" s="29">
        <v>0</v>
      </c>
      <c r="U23" s="29">
        <v>0</v>
      </c>
      <c r="V23" s="29">
        <v>0</v>
      </c>
    </row>
    <row r="24" spans="1:27" x14ac:dyDescent="0.3">
      <c r="A24" s="29" t="s">
        <v>23</v>
      </c>
      <c r="B24" s="37" t="s">
        <v>43</v>
      </c>
      <c r="C24" s="29">
        <v>1</v>
      </c>
      <c r="D24" s="29">
        <v>1</v>
      </c>
      <c r="E24" s="29">
        <v>1</v>
      </c>
      <c r="F24" s="29">
        <v>1</v>
      </c>
      <c r="G24" s="29">
        <v>1</v>
      </c>
      <c r="H24" s="29">
        <v>1</v>
      </c>
      <c r="I24" s="29">
        <v>1</v>
      </c>
      <c r="J24" s="29">
        <v>1</v>
      </c>
      <c r="K24" s="29">
        <v>1</v>
      </c>
      <c r="L24" s="29">
        <v>1</v>
      </c>
      <c r="M24" s="29">
        <v>0</v>
      </c>
      <c r="N24" s="29">
        <v>0</v>
      </c>
      <c r="O24" s="29">
        <v>0</v>
      </c>
      <c r="P24" s="29">
        <v>0</v>
      </c>
      <c r="Q24" s="29">
        <v>0</v>
      </c>
      <c r="R24" s="29">
        <v>0</v>
      </c>
      <c r="S24" s="29">
        <v>0</v>
      </c>
      <c r="T24" s="29">
        <v>0</v>
      </c>
      <c r="U24" s="29">
        <v>0</v>
      </c>
      <c r="V24" s="29">
        <v>0</v>
      </c>
    </row>
    <row r="25" spans="1:27" x14ac:dyDescent="0.3">
      <c r="A25" s="29" t="s">
        <v>25</v>
      </c>
      <c r="B25" s="30" t="s">
        <v>44</v>
      </c>
      <c r="C25" s="29">
        <v>1</v>
      </c>
      <c r="D25" s="29">
        <v>1</v>
      </c>
      <c r="E25" s="29">
        <v>1</v>
      </c>
      <c r="F25" s="29">
        <v>1</v>
      </c>
      <c r="G25" s="29">
        <v>0</v>
      </c>
      <c r="H25" s="29">
        <v>0</v>
      </c>
      <c r="I25" s="29">
        <v>0</v>
      </c>
      <c r="J25" s="29">
        <v>0</v>
      </c>
      <c r="K25" s="29">
        <v>0</v>
      </c>
      <c r="L25" s="29">
        <v>0</v>
      </c>
      <c r="M25" s="29">
        <v>0</v>
      </c>
      <c r="N25" s="29">
        <v>0</v>
      </c>
      <c r="O25" s="29">
        <v>0</v>
      </c>
      <c r="P25" s="29">
        <v>0</v>
      </c>
      <c r="Q25" s="29">
        <v>0</v>
      </c>
      <c r="R25" s="29">
        <v>0</v>
      </c>
      <c r="S25" s="29">
        <v>0</v>
      </c>
      <c r="T25" s="29">
        <v>0</v>
      </c>
      <c r="U25" s="29">
        <v>0</v>
      </c>
      <c r="V25" s="29">
        <v>0</v>
      </c>
    </row>
    <row r="26" spans="1:27" x14ac:dyDescent="0.3">
      <c r="A26" s="29" t="s">
        <v>58</v>
      </c>
      <c r="B26" s="30" t="s">
        <v>41</v>
      </c>
      <c r="C26" s="29">
        <v>1</v>
      </c>
      <c r="D26" s="29">
        <v>0</v>
      </c>
      <c r="E26" s="29">
        <v>0</v>
      </c>
      <c r="F26" s="29">
        <v>0</v>
      </c>
      <c r="G26" s="29">
        <v>0</v>
      </c>
      <c r="H26" s="29">
        <v>0</v>
      </c>
      <c r="I26" s="29">
        <v>0</v>
      </c>
      <c r="J26" s="29">
        <v>0</v>
      </c>
      <c r="K26" s="29">
        <v>0</v>
      </c>
      <c r="L26" s="29">
        <v>0</v>
      </c>
      <c r="M26" s="29">
        <v>0</v>
      </c>
      <c r="N26" s="29">
        <v>0</v>
      </c>
      <c r="O26" s="29">
        <v>0</v>
      </c>
      <c r="P26" s="29">
        <v>0</v>
      </c>
      <c r="Q26" s="29">
        <v>0</v>
      </c>
      <c r="R26" s="29">
        <v>0</v>
      </c>
      <c r="S26" s="29">
        <v>0</v>
      </c>
      <c r="T26" s="29">
        <v>0</v>
      </c>
      <c r="U26" s="29">
        <v>0</v>
      </c>
      <c r="V26" s="29">
        <v>0</v>
      </c>
    </row>
    <row r="27" spans="1:27" x14ac:dyDescent="0.3">
      <c r="A27" s="29" t="s">
        <v>59</v>
      </c>
      <c r="B27" s="30" t="s">
        <v>41</v>
      </c>
      <c r="C27" s="29">
        <v>1</v>
      </c>
      <c r="D27" s="29">
        <v>1</v>
      </c>
      <c r="E27" s="29">
        <v>1</v>
      </c>
      <c r="F27" s="29">
        <v>0</v>
      </c>
      <c r="G27" s="29">
        <v>0</v>
      </c>
      <c r="H27" s="29">
        <v>0</v>
      </c>
      <c r="I27" s="29">
        <v>0</v>
      </c>
      <c r="J27" s="29">
        <v>0</v>
      </c>
      <c r="K27" s="29">
        <v>0</v>
      </c>
      <c r="L27" s="29">
        <v>0</v>
      </c>
      <c r="M27" s="29">
        <v>0</v>
      </c>
      <c r="N27" s="29">
        <v>0</v>
      </c>
      <c r="O27" s="29">
        <v>0</v>
      </c>
      <c r="P27" s="29">
        <v>0</v>
      </c>
      <c r="Q27" s="29">
        <v>0</v>
      </c>
      <c r="R27" s="29">
        <v>0</v>
      </c>
      <c r="S27" s="29">
        <v>0</v>
      </c>
      <c r="T27" s="29">
        <v>0</v>
      </c>
      <c r="U27" s="29">
        <v>0</v>
      </c>
      <c r="V27" s="29">
        <v>0</v>
      </c>
    </row>
    <row r="28" spans="1:27" x14ac:dyDescent="0.3">
      <c r="A28" s="29" t="s">
        <v>60</v>
      </c>
      <c r="B28" s="30" t="s">
        <v>41</v>
      </c>
      <c r="C28" s="29">
        <v>1</v>
      </c>
      <c r="D28" s="29">
        <v>1</v>
      </c>
      <c r="E28" s="29">
        <v>1</v>
      </c>
      <c r="F28" s="29">
        <v>1</v>
      </c>
      <c r="G28" s="29">
        <v>1</v>
      </c>
      <c r="H28" s="29">
        <v>1</v>
      </c>
      <c r="I28" s="29">
        <v>0</v>
      </c>
      <c r="J28" s="29">
        <v>0</v>
      </c>
      <c r="K28" s="29">
        <v>0</v>
      </c>
      <c r="L28" s="29">
        <v>0</v>
      </c>
      <c r="M28" s="29">
        <v>0</v>
      </c>
      <c r="N28" s="29">
        <v>0</v>
      </c>
      <c r="O28" s="29">
        <v>0</v>
      </c>
      <c r="P28" s="29">
        <v>0</v>
      </c>
      <c r="Q28" s="29">
        <v>0</v>
      </c>
      <c r="R28" s="29">
        <v>0</v>
      </c>
      <c r="S28" s="29">
        <v>0</v>
      </c>
      <c r="T28" s="29">
        <v>0</v>
      </c>
      <c r="U28" s="29">
        <v>0</v>
      </c>
      <c r="V28" s="29">
        <v>0</v>
      </c>
    </row>
    <row r="29" spans="1:27" x14ac:dyDescent="0.3">
      <c r="A29" s="29" t="s">
        <v>26</v>
      </c>
      <c r="B29" s="37" t="s">
        <v>45</v>
      </c>
      <c r="C29" s="29">
        <v>1</v>
      </c>
      <c r="D29" s="29">
        <v>1</v>
      </c>
      <c r="E29" s="29">
        <v>1</v>
      </c>
      <c r="F29" s="29">
        <v>1</v>
      </c>
      <c r="G29" s="29">
        <v>1</v>
      </c>
      <c r="H29" s="29">
        <v>1</v>
      </c>
      <c r="I29" s="29">
        <v>1</v>
      </c>
      <c r="J29" s="29">
        <v>1</v>
      </c>
      <c r="K29" s="29">
        <v>1</v>
      </c>
      <c r="L29" s="29">
        <v>1</v>
      </c>
      <c r="M29" s="29">
        <v>1</v>
      </c>
      <c r="N29" s="29">
        <v>1</v>
      </c>
      <c r="O29" s="29">
        <v>1</v>
      </c>
      <c r="P29" s="29">
        <v>1</v>
      </c>
      <c r="Q29" s="29">
        <v>1</v>
      </c>
      <c r="R29" s="29">
        <v>1</v>
      </c>
      <c r="S29" s="29">
        <v>1</v>
      </c>
      <c r="T29" s="29">
        <v>1</v>
      </c>
      <c r="U29" s="29">
        <v>1</v>
      </c>
      <c r="V29" s="29">
        <v>1</v>
      </c>
    </row>
    <row r="30" spans="1:27" x14ac:dyDescent="0.3">
      <c r="A30" s="29" t="s">
        <v>61</v>
      </c>
      <c r="B30" s="37" t="s">
        <v>42</v>
      </c>
      <c r="C30" s="29">
        <v>1</v>
      </c>
      <c r="D30" s="29">
        <v>1</v>
      </c>
      <c r="E30" s="29">
        <v>1</v>
      </c>
      <c r="F30" s="29">
        <v>1</v>
      </c>
      <c r="G30" s="29">
        <v>1</v>
      </c>
      <c r="H30" s="29">
        <v>1</v>
      </c>
      <c r="I30" s="29">
        <v>1</v>
      </c>
      <c r="J30" s="29">
        <v>1</v>
      </c>
      <c r="K30" s="29">
        <v>1</v>
      </c>
      <c r="L30" s="29">
        <v>1</v>
      </c>
      <c r="M30" s="29">
        <v>1</v>
      </c>
      <c r="N30" s="29">
        <v>1</v>
      </c>
      <c r="O30" s="29">
        <v>1</v>
      </c>
      <c r="P30" s="29">
        <v>1</v>
      </c>
      <c r="Q30" s="29">
        <v>1</v>
      </c>
      <c r="R30" s="29">
        <v>1</v>
      </c>
      <c r="S30" s="29">
        <v>1</v>
      </c>
      <c r="T30" s="29">
        <v>1</v>
      </c>
      <c r="U30" s="29">
        <v>1</v>
      </c>
      <c r="V30" s="29">
        <v>1</v>
      </c>
    </row>
    <row r="31" spans="1:27" x14ac:dyDescent="0.3">
      <c r="A31" s="29" t="s">
        <v>71</v>
      </c>
      <c r="B31" s="30" t="s">
        <v>40</v>
      </c>
      <c r="C31" s="29">
        <v>1</v>
      </c>
      <c r="D31" s="29">
        <v>1</v>
      </c>
      <c r="E31" s="29">
        <v>0</v>
      </c>
      <c r="F31" s="29">
        <v>0</v>
      </c>
      <c r="G31" s="29">
        <v>0</v>
      </c>
      <c r="H31" s="29">
        <v>0</v>
      </c>
      <c r="I31" s="29">
        <v>0</v>
      </c>
      <c r="J31" s="29">
        <v>0</v>
      </c>
      <c r="K31" s="29">
        <v>0</v>
      </c>
      <c r="L31" s="29">
        <v>0</v>
      </c>
      <c r="M31" s="29">
        <v>0</v>
      </c>
      <c r="N31" s="29">
        <v>0</v>
      </c>
      <c r="O31" s="29">
        <v>0</v>
      </c>
      <c r="P31" s="29">
        <v>0</v>
      </c>
      <c r="Q31" s="29">
        <v>0</v>
      </c>
      <c r="R31" s="29">
        <v>0</v>
      </c>
      <c r="S31" s="29">
        <v>0</v>
      </c>
      <c r="T31" s="29">
        <v>0</v>
      </c>
      <c r="U31" s="29">
        <v>0</v>
      </c>
      <c r="V31" s="29">
        <v>0</v>
      </c>
    </row>
    <row r="32" spans="1:27" x14ac:dyDescent="0.3">
      <c r="A32" s="29" t="s">
        <v>27</v>
      </c>
      <c r="B32" s="37" t="s">
        <v>45</v>
      </c>
      <c r="C32" s="29">
        <v>1</v>
      </c>
      <c r="D32" s="29">
        <v>0</v>
      </c>
      <c r="E32" s="29">
        <v>0</v>
      </c>
      <c r="F32" s="29">
        <v>0</v>
      </c>
      <c r="G32" s="29">
        <v>0</v>
      </c>
      <c r="H32" s="29">
        <v>0</v>
      </c>
      <c r="I32" s="29">
        <v>0</v>
      </c>
      <c r="J32" s="29">
        <v>0</v>
      </c>
      <c r="K32" s="29">
        <v>0</v>
      </c>
      <c r="L32" s="29">
        <v>0</v>
      </c>
      <c r="M32" s="29">
        <v>0</v>
      </c>
      <c r="N32" s="29">
        <v>0</v>
      </c>
      <c r="O32" s="29">
        <v>0</v>
      </c>
      <c r="P32" s="29">
        <v>0</v>
      </c>
      <c r="Q32" s="29">
        <v>0</v>
      </c>
      <c r="R32" s="29">
        <v>0</v>
      </c>
      <c r="S32" s="29">
        <v>0</v>
      </c>
      <c r="T32" s="29">
        <v>0</v>
      </c>
      <c r="U32" s="29">
        <v>0</v>
      </c>
      <c r="V32" s="29">
        <v>0</v>
      </c>
    </row>
    <row r="33" spans="1:22" x14ac:dyDescent="0.3">
      <c r="A33" s="29" t="s">
        <v>39</v>
      </c>
      <c r="B33" s="30" t="s">
        <v>41</v>
      </c>
      <c r="C33" s="29">
        <v>1</v>
      </c>
      <c r="D33" s="29">
        <v>1</v>
      </c>
      <c r="E33" s="29">
        <v>1</v>
      </c>
      <c r="F33" s="29">
        <v>1</v>
      </c>
      <c r="G33" s="29">
        <v>0</v>
      </c>
      <c r="H33" s="29">
        <v>0</v>
      </c>
      <c r="I33" s="29">
        <v>0</v>
      </c>
      <c r="J33" s="29">
        <v>0</v>
      </c>
      <c r="K33" s="29">
        <v>0</v>
      </c>
      <c r="L33" s="29">
        <v>0</v>
      </c>
      <c r="M33" s="29">
        <v>0</v>
      </c>
      <c r="N33" s="29">
        <v>0</v>
      </c>
      <c r="O33" s="29">
        <v>0</v>
      </c>
      <c r="P33" s="29">
        <v>0</v>
      </c>
      <c r="Q33" s="29">
        <v>0</v>
      </c>
      <c r="R33" s="29">
        <v>0</v>
      </c>
      <c r="S33" s="29">
        <v>0</v>
      </c>
      <c r="T33" s="29">
        <v>0</v>
      </c>
      <c r="U33" s="29">
        <v>0</v>
      </c>
      <c r="V33" s="29">
        <v>0</v>
      </c>
    </row>
    <row r="34" spans="1:22" x14ac:dyDescent="0.3">
      <c r="A34" s="29" t="s">
        <v>28</v>
      </c>
      <c r="B34" s="29"/>
      <c r="C34" s="29">
        <v>1</v>
      </c>
      <c r="D34" s="29">
        <v>0</v>
      </c>
      <c r="E34" s="29">
        <v>0</v>
      </c>
      <c r="F34" s="29">
        <v>0</v>
      </c>
      <c r="G34" s="29">
        <v>0</v>
      </c>
      <c r="H34" s="29">
        <v>0</v>
      </c>
      <c r="I34" s="29">
        <v>0</v>
      </c>
      <c r="J34" s="29">
        <v>0</v>
      </c>
      <c r="K34" s="29">
        <v>0</v>
      </c>
      <c r="L34" s="29">
        <v>0</v>
      </c>
      <c r="M34" s="29">
        <v>0</v>
      </c>
      <c r="N34" s="29">
        <v>0</v>
      </c>
      <c r="O34" s="29">
        <v>0</v>
      </c>
      <c r="P34" s="29">
        <v>0</v>
      </c>
      <c r="Q34" s="29">
        <v>0</v>
      </c>
      <c r="R34" s="29">
        <v>0</v>
      </c>
      <c r="S34" s="29">
        <v>0</v>
      </c>
      <c r="T34" s="29">
        <v>0</v>
      </c>
      <c r="U34" s="29">
        <v>0</v>
      </c>
      <c r="V34" s="29">
        <v>0</v>
      </c>
    </row>
    <row r="35" spans="1:22" x14ac:dyDescent="0.3">
      <c r="A35" s="29" t="s">
        <v>62</v>
      </c>
      <c r="B35" s="30" t="s">
        <v>41</v>
      </c>
      <c r="C35" s="29">
        <v>1</v>
      </c>
      <c r="D35" s="29">
        <v>1</v>
      </c>
      <c r="E35" s="29">
        <v>1</v>
      </c>
      <c r="F35" s="29">
        <v>1</v>
      </c>
      <c r="G35" s="29">
        <v>1</v>
      </c>
      <c r="H35" s="29">
        <v>0</v>
      </c>
      <c r="I35" s="29">
        <v>0</v>
      </c>
      <c r="J35" s="29">
        <v>0</v>
      </c>
      <c r="K35" s="29">
        <v>0</v>
      </c>
      <c r="L35" s="29">
        <v>0</v>
      </c>
      <c r="M35" s="29">
        <v>0</v>
      </c>
      <c r="N35" s="29">
        <v>0</v>
      </c>
      <c r="O35" s="29">
        <v>0</v>
      </c>
      <c r="P35" s="29">
        <v>0</v>
      </c>
      <c r="Q35" s="29">
        <v>0</v>
      </c>
      <c r="R35" s="29">
        <v>0</v>
      </c>
      <c r="S35" s="29">
        <v>0</v>
      </c>
      <c r="T35" s="29">
        <v>0</v>
      </c>
      <c r="U35" s="29">
        <v>0</v>
      </c>
      <c r="V35" s="29">
        <v>0</v>
      </c>
    </row>
    <row r="36" spans="1:22" x14ac:dyDescent="0.3">
      <c r="A36" s="29" t="s">
        <v>29</v>
      </c>
      <c r="B36" s="30" t="s">
        <v>41</v>
      </c>
      <c r="C36" s="29">
        <v>1</v>
      </c>
      <c r="D36" s="29">
        <v>1</v>
      </c>
      <c r="E36" s="29">
        <v>1</v>
      </c>
      <c r="F36" s="29">
        <v>0</v>
      </c>
      <c r="G36" s="29">
        <v>0</v>
      </c>
      <c r="H36" s="29">
        <v>0</v>
      </c>
      <c r="I36" s="29">
        <v>0</v>
      </c>
      <c r="J36" s="29">
        <v>0</v>
      </c>
      <c r="K36" s="29">
        <v>0</v>
      </c>
      <c r="L36" s="29">
        <v>0</v>
      </c>
      <c r="M36" s="29">
        <v>0</v>
      </c>
      <c r="N36" s="29">
        <v>0</v>
      </c>
      <c r="O36" s="29">
        <v>0</v>
      </c>
      <c r="P36" s="29">
        <v>0</v>
      </c>
      <c r="Q36" s="29">
        <v>0</v>
      </c>
      <c r="R36" s="29">
        <v>0</v>
      </c>
      <c r="S36" s="29">
        <v>0</v>
      </c>
      <c r="T36" s="29">
        <v>0</v>
      </c>
      <c r="U36" s="29">
        <v>0</v>
      </c>
      <c r="V36" s="29">
        <v>0</v>
      </c>
    </row>
    <row r="37" spans="1:22" x14ac:dyDescent="0.3">
      <c r="A37" s="29" t="s">
        <v>30</v>
      </c>
      <c r="B37" s="37" t="s">
        <v>43</v>
      </c>
      <c r="C37" s="29">
        <v>1</v>
      </c>
      <c r="D37" s="29">
        <v>1</v>
      </c>
      <c r="E37" s="29">
        <v>1</v>
      </c>
      <c r="F37" s="29">
        <v>1</v>
      </c>
      <c r="G37" s="29">
        <v>1</v>
      </c>
      <c r="H37" s="29">
        <v>1</v>
      </c>
      <c r="I37" s="29">
        <v>1</v>
      </c>
      <c r="J37" s="29">
        <v>1</v>
      </c>
      <c r="K37" s="29">
        <v>1</v>
      </c>
      <c r="L37" s="29">
        <v>1</v>
      </c>
      <c r="M37" s="29">
        <v>1</v>
      </c>
      <c r="N37" s="29">
        <v>1</v>
      </c>
      <c r="O37" s="29">
        <v>1</v>
      </c>
      <c r="P37" s="29">
        <v>1</v>
      </c>
      <c r="Q37" s="29">
        <v>1</v>
      </c>
      <c r="R37" s="29">
        <v>1</v>
      </c>
      <c r="S37" s="29">
        <v>1</v>
      </c>
      <c r="T37" s="29">
        <v>1</v>
      </c>
      <c r="U37" s="29">
        <v>1</v>
      </c>
      <c r="V37" s="29">
        <v>1</v>
      </c>
    </row>
    <row r="38" spans="1:22" x14ac:dyDescent="0.3">
      <c r="A38" s="29" t="s">
        <v>31</v>
      </c>
      <c r="B38" s="38" t="s">
        <v>48</v>
      </c>
      <c r="C38" s="29">
        <v>0</v>
      </c>
      <c r="D38" s="29">
        <v>0</v>
      </c>
      <c r="E38" s="29">
        <v>0</v>
      </c>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row>
    <row r="39" spans="1:22" x14ac:dyDescent="0.3">
      <c r="A39" s="29" t="s">
        <v>32</v>
      </c>
      <c r="B39" s="38" t="s">
        <v>48</v>
      </c>
      <c r="C39" s="29">
        <v>0</v>
      </c>
      <c r="D39" s="29">
        <v>0</v>
      </c>
      <c r="E39" s="29">
        <v>0</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row>
    <row r="40" spans="1:22" x14ac:dyDescent="0.3">
      <c r="A40" s="29" t="s">
        <v>33</v>
      </c>
      <c r="B40" s="30" t="s">
        <v>41</v>
      </c>
      <c r="C40" s="29">
        <v>0</v>
      </c>
      <c r="D40" s="29">
        <v>0</v>
      </c>
      <c r="E40" s="29">
        <v>0</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row>
    <row r="41" spans="1:22" x14ac:dyDescent="0.3">
      <c r="A41" s="29" t="s">
        <v>34</v>
      </c>
      <c r="B41" s="37" t="s">
        <v>45</v>
      </c>
      <c r="C41" s="29">
        <v>1</v>
      </c>
      <c r="D41" s="29">
        <v>1</v>
      </c>
      <c r="E41" s="29">
        <v>1</v>
      </c>
      <c r="F41" s="29">
        <v>1</v>
      </c>
      <c r="G41" s="29">
        <v>1</v>
      </c>
      <c r="H41" s="29">
        <v>0</v>
      </c>
      <c r="I41" s="29">
        <v>0</v>
      </c>
      <c r="J41" s="29">
        <v>0</v>
      </c>
      <c r="K41" s="29">
        <v>0</v>
      </c>
      <c r="L41" s="29">
        <v>0</v>
      </c>
      <c r="M41" s="29">
        <v>0</v>
      </c>
      <c r="N41" s="29">
        <v>0</v>
      </c>
      <c r="O41" s="29">
        <v>0</v>
      </c>
      <c r="P41" s="29">
        <v>0</v>
      </c>
      <c r="Q41" s="29">
        <v>0</v>
      </c>
      <c r="R41" s="29">
        <v>0</v>
      </c>
      <c r="S41" s="29">
        <v>0</v>
      </c>
      <c r="T41" s="29">
        <v>0</v>
      </c>
      <c r="U41" s="29">
        <v>0</v>
      </c>
      <c r="V41" s="29">
        <v>0</v>
      </c>
    </row>
    <row r="42" spans="1:22" x14ac:dyDescent="0.3">
      <c r="A42" s="29" t="s">
        <v>63</v>
      </c>
      <c r="B42" s="37" t="s">
        <v>43</v>
      </c>
      <c r="C42" s="29">
        <v>1</v>
      </c>
      <c r="D42" s="29">
        <v>1</v>
      </c>
      <c r="E42" s="29">
        <v>1</v>
      </c>
      <c r="F42" s="29">
        <v>1</v>
      </c>
      <c r="G42" s="29">
        <v>1</v>
      </c>
      <c r="H42" s="29">
        <v>1</v>
      </c>
      <c r="I42" s="29">
        <v>1</v>
      </c>
      <c r="J42" s="29">
        <v>1</v>
      </c>
      <c r="K42" s="29">
        <v>1</v>
      </c>
      <c r="L42" s="29">
        <v>1</v>
      </c>
      <c r="M42" s="29">
        <v>1</v>
      </c>
      <c r="N42" s="29">
        <v>1</v>
      </c>
      <c r="O42" s="29">
        <v>1</v>
      </c>
      <c r="P42" s="29">
        <v>1</v>
      </c>
      <c r="Q42" s="29">
        <v>1</v>
      </c>
      <c r="R42" s="29">
        <v>1</v>
      </c>
      <c r="S42" s="29">
        <v>1</v>
      </c>
      <c r="T42" s="29">
        <v>1</v>
      </c>
      <c r="U42" s="29">
        <v>1</v>
      </c>
      <c r="V42" s="29">
        <v>1</v>
      </c>
    </row>
    <row r="43" spans="1:22" x14ac:dyDescent="0.3">
      <c r="A43" s="29" t="s">
        <v>64</v>
      </c>
      <c r="B43" s="30" t="s">
        <v>46</v>
      </c>
      <c r="C43" s="29">
        <v>1</v>
      </c>
      <c r="D43" s="29">
        <v>1</v>
      </c>
      <c r="E43" s="29">
        <v>0</v>
      </c>
      <c r="F43" s="29">
        <v>0</v>
      </c>
      <c r="G43" s="29">
        <v>0</v>
      </c>
      <c r="H43" s="29">
        <v>0</v>
      </c>
      <c r="I43" s="29">
        <v>0</v>
      </c>
      <c r="J43" s="29">
        <v>0</v>
      </c>
      <c r="K43" s="29">
        <v>0</v>
      </c>
      <c r="L43" s="29">
        <v>0</v>
      </c>
      <c r="M43" s="29">
        <v>0</v>
      </c>
      <c r="N43" s="29">
        <v>0</v>
      </c>
      <c r="O43" s="29">
        <v>0</v>
      </c>
      <c r="P43" s="29">
        <v>0</v>
      </c>
      <c r="Q43" s="29">
        <v>0</v>
      </c>
      <c r="R43" s="29">
        <v>0</v>
      </c>
      <c r="S43" s="29">
        <v>0</v>
      </c>
      <c r="T43" s="29">
        <v>0</v>
      </c>
      <c r="U43" s="29">
        <v>0</v>
      </c>
      <c r="V43" s="29">
        <v>0</v>
      </c>
    </row>
    <row r="44" spans="1:22" x14ac:dyDescent="0.3">
      <c r="A44" s="29" t="s">
        <v>65</v>
      </c>
      <c r="B44" s="30" t="s">
        <v>41</v>
      </c>
      <c r="C44" s="29">
        <v>1</v>
      </c>
      <c r="D44" s="29">
        <v>1</v>
      </c>
      <c r="E44" s="29">
        <v>1</v>
      </c>
      <c r="F44" s="29">
        <v>1</v>
      </c>
      <c r="G44" s="29">
        <v>1</v>
      </c>
      <c r="H44" s="29">
        <v>1</v>
      </c>
      <c r="I44" s="29">
        <v>1</v>
      </c>
      <c r="J44" s="29">
        <v>0</v>
      </c>
      <c r="K44" s="29">
        <v>0</v>
      </c>
      <c r="L44" s="29">
        <v>0</v>
      </c>
      <c r="M44" s="29">
        <v>0</v>
      </c>
      <c r="N44" s="29">
        <v>0</v>
      </c>
      <c r="O44" s="29">
        <v>0</v>
      </c>
      <c r="P44" s="29">
        <v>0</v>
      </c>
      <c r="Q44" s="29">
        <v>0</v>
      </c>
      <c r="R44" s="29">
        <v>0</v>
      </c>
      <c r="S44" s="29">
        <v>0</v>
      </c>
      <c r="T44" s="29">
        <v>0</v>
      </c>
      <c r="U44" s="29">
        <v>0</v>
      </c>
      <c r="V44" s="29">
        <v>0</v>
      </c>
    </row>
    <row r="45" spans="1:22" x14ac:dyDescent="0.3">
      <c r="A45" s="29" t="s">
        <v>35</v>
      </c>
      <c r="B45" s="30" t="s">
        <v>40</v>
      </c>
      <c r="C45" s="29">
        <v>1</v>
      </c>
      <c r="D45" s="29">
        <v>1</v>
      </c>
      <c r="E45" s="29">
        <v>0</v>
      </c>
      <c r="F45" s="29">
        <v>0</v>
      </c>
      <c r="G45" s="29">
        <v>0</v>
      </c>
      <c r="H45" s="29">
        <v>0</v>
      </c>
      <c r="I45" s="29">
        <v>0</v>
      </c>
      <c r="J45" s="29">
        <v>0</v>
      </c>
      <c r="K45" s="29">
        <v>0</v>
      </c>
      <c r="L45" s="29">
        <v>0</v>
      </c>
      <c r="M45" s="29">
        <v>0</v>
      </c>
      <c r="N45" s="29">
        <v>0</v>
      </c>
      <c r="O45" s="29">
        <v>0</v>
      </c>
      <c r="P45" s="29">
        <v>0</v>
      </c>
      <c r="Q45" s="29">
        <v>0</v>
      </c>
      <c r="R45" s="29">
        <v>0</v>
      </c>
      <c r="S45" s="29">
        <v>0</v>
      </c>
      <c r="T45" s="29">
        <v>0</v>
      </c>
      <c r="U45" s="29">
        <v>0</v>
      </c>
      <c r="V45" s="29">
        <v>0</v>
      </c>
    </row>
    <row r="46" spans="1:22" x14ac:dyDescent="0.3">
      <c r="A46" s="29" t="s">
        <v>36</v>
      </c>
      <c r="B46" s="30" t="s">
        <v>40</v>
      </c>
      <c r="C46" s="29">
        <v>1</v>
      </c>
      <c r="D46" s="29">
        <v>1</v>
      </c>
      <c r="E46" s="29">
        <v>0</v>
      </c>
      <c r="F46" s="29">
        <v>0</v>
      </c>
      <c r="G46" s="29">
        <v>0</v>
      </c>
      <c r="H46" s="29">
        <v>0</v>
      </c>
      <c r="I46" s="29">
        <v>0</v>
      </c>
      <c r="J46" s="29">
        <v>0</v>
      </c>
      <c r="K46" s="29">
        <v>0</v>
      </c>
      <c r="L46" s="29">
        <v>0</v>
      </c>
      <c r="M46" s="29">
        <v>0</v>
      </c>
      <c r="N46" s="29">
        <v>0</v>
      </c>
      <c r="O46" s="29">
        <v>0</v>
      </c>
      <c r="P46" s="29">
        <v>0</v>
      </c>
      <c r="Q46" s="29">
        <v>0</v>
      </c>
      <c r="R46" s="29">
        <v>0</v>
      </c>
      <c r="S46" s="29">
        <v>0</v>
      </c>
      <c r="T46" s="29">
        <v>0</v>
      </c>
      <c r="U46" s="29">
        <v>0</v>
      </c>
      <c r="V46" s="29">
        <v>0</v>
      </c>
    </row>
    <row r="47" spans="1:22" x14ac:dyDescent="0.3">
      <c r="A47" s="29" t="s">
        <v>37</v>
      </c>
      <c r="B47" s="30" t="s">
        <v>40</v>
      </c>
      <c r="C47" s="29">
        <v>1</v>
      </c>
      <c r="D47" s="29">
        <v>1</v>
      </c>
      <c r="E47" s="29">
        <v>0</v>
      </c>
      <c r="F47" s="29">
        <v>0</v>
      </c>
      <c r="G47" s="29">
        <v>0</v>
      </c>
      <c r="H47" s="29">
        <v>0</v>
      </c>
      <c r="I47" s="29">
        <v>0</v>
      </c>
      <c r="J47" s="29">
        <v>0</v>
      </c>
      <c r="K47" s="29">
        <v>0</v>
      </c>
      <c r="L47" s="29">
        <v>0</v>
      </c>
      <c r="M47" s="29">
        <v>0</v>
      </c>
      <c r="N47" s="29">
        <v>0</v>
      </c>
      <c r="O47" s="29">
        <v>0</v>
      </c>
      <c r="P47" s="29">
        <v>0</v>
      </c>
      <c r="Q47" s="29">
        <v>0</v>
      </c>
      <c r="R47" s="29">
        <v>0</v>
      </c>
      <c r="S47" s="29">
        <v>0</v>
      </c>
      <c r="T47" s="29">
        <v>0</v>
      </c>
      <c r="U47" s="29">
        <v>0</v>
      </c>
      <c r="V47" s="29">
        <v>0</v>
      </c>
    </row>
    <row r="48" spans="1:22" x14ac:dyDescent="0.3">
      <c r="A48" s="29" t="s">
        <v>38</v>
      </c>
      <c r="B48" s="30" t="s">
        <v>41</v>
      </c>
      <c r="C48" s="29">
        <v>1</v>
      </c>
      <c r="D48" s="29">
        <v>0</v>
      </c>
      <c r="E48" s="29">
        <v>0</v>
      </c>
      <c r="F48" s="29">
        <v>0</v>
      </c>
      <c r="G48" s="29">
        <v>0</v>
      </c>
      <c r="H48" s="29">
        <v>0</v>
      </c>
      <c r="I48" s="29">
        <v>0</v>
      </c>
      <c r="J48" s="29">
        <v>0</v>
      </c>
      <c r="K48" s="29">
        <v>0</v>
      </c>
      <c r="L48" s="29">
        <v>0</v>
      </c>
      <c r="M48" s="29">
        <v>0</v>
      </c>
      <c r="N48" s="29">
        <v>0</v>
      </c>
      <c r="O48" s="29">
        <v>0</v>
      </c>
      <c r="P48" s="29">
        <v>0</v>
      </c>
      <c r="Q48" s="29">
        <v>0</v>
      </c>
      <c r="R48" s="29">
        <v>0</v>
      </c>
      <c r="S48" s="29">
        <v>0</v>
      </c>
      <c r="T48" s="29">
        <v>0</v>
      </c>
      <c r="U48" s="29">
        <v>0</v>
      </c>
      <c r="V48" s="29">
        <v>0</v>
      </c>
    </row>
    <row r="49" spans="1:2" x14ac:dyDescent="0.3">
      <c r="A49" s="86"/>
      <c r="B49" s="86"/>
    </row>
    <row r="50" spans="1:2" x14ac:dyDescent="0.3">
      <c r="A50" s="87" t="s">
        <v>124</v>
      </c>
      <c r="B50" s="86"/>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60529-8F5E-41C4-887E-3BCA723618E8}">
  <sheetPr codeName="Sheet19">
    <tabColor rgb="FF92D050"/>
  </sheetPr>
  <dimension ref="A1:V50"/>
  <sheetViews>
    <sheetView zoomScaleNormal="100" workbookViewId="0">
      <selection activeCell="D24" sqref="D24"/>
    </sheetView>
  </sheetViews>
  <sheetFormatPr defaultRowHeight="14.4" x14ac:dyDescent="0.3"/>
  <cols>
    <col min="1" max="1" width="12.6640625" style="32" customWidth="1"/>
    <col min="2" max="2" width="51.88671875" style="32" bestFit="1" customWidth="1"/>
    <col min="3" max="4" width="51.88671875" style="52" bestFit="1" customWidth="1"/>
    <col min="5" max="6" width="49.88671875" style="52" bestFit="1" customWidth="1"/>
    <col min="7" max="22" width="40" style="52" bestFit="1" customWidth="1"/>
    <col min="23" max="16384" width="8.88671875" style="32"/>
  </cols>
  <sheetData>
    <row r="1" spans="1:22" s="11" customFormat="1" ht="13.8" x14ac:dyDescent="0.25">
      <c r="A1" s="27" t="s">
        <v>16</v>
      </c>
      <c r="B1" s="27" t="s">
        <v>121</v>
      </c>
      <c r="C1" s="84">
        <v>2021</v>
      </c>
      <c r="D1" s="28">
        <v>2022</v>
      </c>
      <c r="E1" s="84">
        <v>2023</v>
      </c>
      <c r="F1" s="28">
        <v>2024</v>
      </c>
      <c r="G1" s="84">
        <v>2025</v>
      </c>
      <c r="H1" s="28">
        <v>2026</v>
      </c>
      <c r="I1" s="84">
        <v>2027</v>
      </c>
      <c r="J1" s="28">
        <v>2028</v>
      </c>
      <c r="K1" s="84">
        <v>2029</v>
      </c>
      <c r="L1" s="28">
        <v>2030</v>
      </c>
      <c r="M1" s="84">
        <v>2031</v>
      </c>
      <c r="N1" s="28">
        <v>2032</v>
      </c>
      <c r="O1" s="84">
        <v>2033</v>
      </c>
      <c r="P1" s="28">
        <v>2034</v>
      </c>
      <c r="Q1" s="84">
        <v>2035</v>
      </c>
      <c r="R1" s="28">
        <v>2036</v>
      </c>
      <c r="S1" s="84">
        <v>2037</v>
      </c>
      <c r="T1" s="28">
        <v>2038</v>
      </c>
      <c r="U1" s="84">
        <v>2039</v>
      </c>
      <c r="V1" s="28">
        <v>2040</v>
      </c>
    </row>
    <row r="2" spans="1:22" x14ac:dyDescent="0.3">
      <c r="A2" s="29" t="s">
        <v>47</v>
      </c>
      <c r="B2" s="30" t="s">
        <v>41</v>
      </c>
      <c r="C2" s="85" t="str">
        <f>IF(DTE_Lifespans_existing!C2=1,Use_case_lifespans!$B2,0)</f>
        <v>Near Earth Robotic - LEO Science</v>
      </c>
      <c r="D2" s="85" t="str">
        <f>IF(DTE_Lifespans_existing!D2=1,Use_case_lifespans!$B2,0)</f>
        <v>Near Earth Robotic - LEO Science</v>
      </c>
      <c r="E2" s="85">
        <f>IF(DTE_Lifespans_existing!E2=1,Use_case_lifespans!$B2,0)</f>
        <v>0</v>
      </c>
      <c r="F2" s="85">
        <f>IF(DTE_Lifespans_existing!F2=1,Use_case_lifespans!$B2,0)</f>
        <v>0</v>
      </c>
      <c r="G2" s="85">
        <f>IF(DTE_Lifespans_existing!G2=1,Use_case_lifespans!$B2,0)</f>
        <v>0</v>
      </c>
      <c r="H2" s="85">
        <f>IF(DTE_Lifespans_existing!H2=1,Use_case_lifespans!$B2,0)</f>
        <v>0</v>
      </c>
      <c r="I2" s="85">
        <f>IF(DTE_Lifespans_existing!I2=1,Use_case_lifespans!$B2,0)</f>
        <v>0</v>
      </c>
      <c r="J2" s="85">
        <f>IF(DTE_Lifespans_existing!J2=1,Use_case_lifespans!$B2,0)</f>
        <v>0</v>
      </c>
      <c r="K2" s="85">
        <f>IF(DTE_Lifespans_existing!K2=1,Use_case_lifespans!$B2,0)</f>
        <v>0</v>
      </c>
      <c r="L2" s="85">
        <f>IF(DTE_Lifespans_existing!L2=1,Use_case_lifespans!$B2,0)</f>
        <v>0</v>
      </c>
      <c r="M2" s="85">
        <f>IF(DTE_Lifespans_existing!M2=1,Use_case_lifespans!$B2,0)</f>
        <v>0</v>
      </c>
      <c r="N2" s="85">
        <f>IF(DTE_Lifespans_existing!N2=1,Use_case_lifespans!$B2,0)</f>
        <v>0</v>
      </c>
      <c r="O2" s="85">
        <f>IF(DTE_Lifespans_existing!O2=1,Use_case_lifespans!$B2,0)</f>
        <v>0</v>
      </c>
      <c r="P2" s="85">
        <f>IF(DTE_Lifespans_existing!P2=1,Use_case_lifespans!$B2,0)</f>
        <v>0</v>
      </c>
      <c r="Q2" s="85">
        <f>IF(DTE_Lifespans_existing!Q2=1,Use_case_lifespans!$B2,0)</f>
        <v>0</v>
      </c>
      <c r="R2" s="85">
        <f>IF(DTE_Lifespans_existing!R2=1,Use_case_lifespans!$B2,0)</f>
        <v>0</v>
      </c>
      <c r="S2" s="85">
        <f>IF(DTE_Lifespans_existing!S2=1,Use_case_lifespans!$B2,0)</f>
        <v>0</v>
      </c>
      <c r="T2" s="85">
        <f>IF(DTE_Lifespans_existing!T2=1,Use_case_lifespans!$B2,0)</f>
        <v>0</v>
      </c>
      <c r="U2" s="85">
        <f>IF(DTE_Lifespans_existing!U2=1,Use_case_lifespans!$B2,0)</f>
        <v>0</v>
      </c>
      <c r="V2" s="85">
        <f>IF(DTE_Lifespans_existing!V2=1,Use_case_lifespans!$B2,0)</f>
        <v>0</v>
      </c>
    </row>
    <row r="3" spans="1:22" x14ac:dyDescent="0.3">
      <c r="A3" s="29" t="s">
        <v>17</v>
      </c>
      <c r="B3" s="30" t="s">
        <v>41</v>
      </c>
      <c r="C3" s="85" t="str">
        <f>IF(DTE_Lifespans_existing!C3=1,Use_case_lifespans!$B3,0)</f>
        <v>Near Earth Robotic - LEO Science</v>
      </c>
      <c r="D3" s="85" t="str">
        <f>IF(DTE_Lifespans_existing!D3=1,Use_case_lifespans!$B3,0)</f>
        <v>Near Earth Robotic - LEO Science</v>
      </c>
      <c r="E3" s="85" t="str">
        <f>IF(DTE_Lifespans_existing!E3=1,Use_case_lifespans!$B3,0)</f>
        <v>Near Earth Robotic - LEO Science</v>
      </c>
      <c r="F3" s="85" t="str">
        <f>IF(DTE_Lifespans_existing!F3=1,Use_case_lifespans!$B3,0)</f>
        <v>Near Earth Robotic - LEO Science</v>
      </c>
      <c r="G3" s="85">
        <f>IF(DTE_Lifespans_existing!G3=1,Use_case_lifespans!$B3,0)</f>
        <v>0</v>
      </c>
      <c r="H3" s="85">
        <f>IF(DTE_Lifespans_existing!H3=1,Use_case_lifespans!$B3,0)</f>
        <v>0</v>
      </c>
      <c r="I3" s="85">
        <f>IF(DTE_Lifespans_existing!I3=1,Use_case_lifespans!$B3,0)</f>
        <v>0</v>
      </c>
      <c r="J3" s="85">
        <f>IF(DTE_Lifespans_existing!J3=1,Use_case_lifespans!$B3,0)</f>
        <v>0</v>
      </c>
      <c r="K3" s="85">
        <f>IF(DTE_Lifespans_existing!K3=1,Use_case_lifespans!$B3,0)</f>
        <v>0</v>
      </c>
      <c r="L3" s="85">
        <f>IF(DTE_Lifespans_existing!L3=1,Use_case_lifespans!$B3,0)</f>
        <v>0</v>
      </c>
      <c r="M3" s="85">
        <f>IF(DTE_Lifespans_existing!M3=1,Use_case_lifespans!$B3,0)</f>
        <v>0</v>
      </c>
      <c r="N3" s="85">
        <f>IF(DTE_Lifespans_existing!N3=1,Use_case_lifespans!$B3,0)</f>
        <v>0</v>
      </c>
      <c r="O3" s="85">
        <f>IF(DTE_Lifespans_existing!O3=1,Use_case_lifespans!$B3,0)</f>
        <v>0</v>
      </c>
      <c r="P3" s="85">
        <f>IF(DTE_Lifespans_existing!P3=1,Use_case_lifespans!$B3,0)</f>
        <v>0</v>
      </c>
      <c r="Q3" s="85">
        <f>IF(DTE_Lifespans_existing!Q3=1,Use_case_lifespans!$B3,0)</f>
        <v>0</v>
      </c>
      <c r="R3" s="85">
        <f>IF(DTE_Lifespans_existing!R3=1,Use_case_lifespans!$B3,0)</f>
        <v>0</v>
      </c>
      <c r="S3" s="85">
        <f>IF(DTE_Lifespans_existing!S3=1,Use_case_lifespans!$B3,0)</f>
        <v>0</v>
      </c>
      <c r="T3" s="85">
        <f>IF(DTE_Lifespans_existing!T3=1,Use_case_lifespans!$B3,0)</f>
        <v>0</v>
      </c>
      <c r="U3" s="85">
        <f>IF(DTE_Lifespans_existing!U3=1,Use_case_lifespans!$B3,0)</f>
        <v>0</v>
      </c>
      <c r="V3" s="85">
        <f>IF(DTE_Lifespans_existing!V3=1,Use_case_lifespans!$B3,0)</f>
        <v>0</v>
      </c>
    </row>
    <row r="4" spans="1:22" x14ac:dyDescent="0.3">
      <c r="A4" s="29" t="s">
        <v>49</v>
      </c>
      <c r="B4" s="30" t="s">
        <v>41</v>
      </c>
      <c r="C4" s="85" t="str">
        <f>IF(DTE_Lifespans_existing!C4=1,Use_case_lifespans!$B4,0)</f>
        <v>Near Earth Robotic - LEO Science</v>
      </c>
      <c r="D4" s="85" t="str">
        <f>IF(DTE_Lifespans_existing!D4=1,Use_case_lifespans!$B4,0)</f>
        <v>Near Earth Robotic - LEO Science</v>
      </c>
      <c r="E4" s="85" t="str">
        <f>IF(DTE_Lifespans_existing!E4=1,Use_case_lifespans!$B4,0)</f>
        <v>Near Earth Robotic - LEO Science</v>
      </c>
      <c r="F4" s="85" t="str">
        <f>IF(DTE_Lifespans_existing!F4=1,Use_case_lifespans!$B4,0)</f>
        <v>Near Earth Robotic - LEO Science</v>
      </c>
      <c r="G4" s="85" t="str">
        <f>IF(DTE_Lifespans_existing!G4=1,Use_case_lifespans!$B4,0)</f>
        <v>Near Earth Robotic - LEO Science</v>
      </c>
      <c r="H4" s="85" t="str">
        <f>IF(DTE_Lifespans_existing!H4=1,Use_case_lifespans!$B4,0)</f>
        <v>Near Earth Robotic - LEO Science</v>
      </c>
      <c r="I4" s="85">
        <f>IF(DTE_Lifespans_existing!I4=1,Use_case_lifespans!$B4,0)</f>
        <v>0</v>
      </c>
      <c r="J4" s="85">
        <f>IF(DTE_Lifespans_existing!J4=1,Use_case_lifespans!$B4,0)</f>
        <v>0</v>
      </c>
      <c r="K4" s="85">
        <f>IF(DTE_Lifespans_existing!K4=1,Use_case_lifespans!$B4,0)</f>
        <v>0</v>
      </c>
      <c r="L4" s="85">
        <f>IF(DTE_Lifespans_existing!L4=1,Use_case_lifespans!$B4,0)</f>
        <v>0</v>
      </c>
      <c r="M4" s="85">
        <f>IF(DTE_Lifespans_existing!M4=1,Use_case_lifespans!$B4,0)</f>
        <v>0</v>
      </c>
      <c r="N4" s="85">
        <f>IF(DTE_Lifespans_existing!N4=1,Use_case_lifespans!$B4,0)</f>
        <v>0</v>
      </c>
      <c r="O4" s="85">
        <f>IF(DTE_Lifespans_existing!O4=1,Use_case_lifespans!$B4,0)</f>
        <v>0</v>
      </c>
      <c r="P4" s="85">
        <f>IF(DTE_Lifespans_existing!P4=1,Use_case_lifespans!$B4,0)</f>
        <v>0</v>
      </c>
      <c r="Q4" s="85">
        <f>IF(DTE_Lifespans_existing!Q4=1,Use_case_lifespans!$B4,0)</f>
        <v>0</v>
      </c>
      <c r="R4" s="85">
        <f>IF(DTE_Lifespans_existing!R4=1,Use_case_lifespans!$B4,0)</f>
        <v>0</v>
      </c>
      <c r="S4" s="85">
        <f>IF(DTE_Lifespans_existing!S4=1,Use_case_lifespans!$B4,0)</f>
        <v>0</v>
      </c>
      <c r="T4" s="85">
        <f>IF(DTE_Lifespans_existing!T4=1,Use_case_lifespans!$B4,0)</f>
        <v>0</v>
      </c>
      <c r="U4" s="85">
        <f>IF(DTE_Lifespans_existing!U4=1,Use_case_lifespans!$B4,0)</f>
        <v>0</v>
      </c>
      <c r="V4" s="85">
        <f>IF(DTE_Lifespans_existing!V4=1,Use_case_lifespans!$B4,0)</f>
        <v>0</v>
      </c>
    </row>
    <row r="5" spans="1:22" x14ac:dyDescent="0.3">
      <c r="A5" s="29" t="s">
        <v>50</v>
      </c>
      <c r="B5" s="36" t="s">
        <v>43</v>
      </c>
      <c r="C5" s="85" t="str">
        <f>IF(DTE_Lifespans_existing!C5=1,Use_case_lifespans!$B5,0)</f>
        <v>Human Space Flight</v>
      </c>
      <c r="D5" s="85" t="str">
        <f>IF(DTE_Lifespans_existing!D5=1,Use_case_lifespans!$B5,0)</f>
        <v>Human Space Flight</v>
      </c>
      <c r="E5" s="85" t="str">
        <f>IF(DTE_Lifespans_existing!E5=1,Use_case_lifespans!$B5,0)</f>
        <v>Human Space Flight</v>
      </c>
      <c r="F5" s="85" t="str">
        <f>IF(DTE_Lifespans_existing!F5=1,Use_case_lifespans!$B5,0)</f>
        <v>Human Space Flight</v>
      </c>
      <c r="G5" s="85" t="str">
        <f>IF(DTE_Lifespans_existing!G5=1,Use_case_lifespans!$B5,0)</f>
        <v>Human Space Flight</v>
      </c>
      <c r="H5" s="85" t="str">
        <f>IF(DTE_Lifespans_existing!H5=1,Use_case_lifespans!$B5,0)</f>
        <v>Human Space Flight</v>
      </c>
      <c r="I5" s="85" t="str">
        <f>IF(DTE_Lifespans_existing!I5=1,Use_case_lifespans!$B5,0)</f>
        <v>Human Space Flight</v>
      </c>
      <c r="J5" s="85" t="str">
        <f>IF(DTE_Lifespans_existing!J5=1,Use_case_lifespans!$B5,0)</f>
        <v>Human Space Flight</v>
      </c>
      <c r="K5" s="85" t="str">
        <f>IF(DTE_Lifespans_existing!K5=1,Use_case_lifespans!$B5,0)</f>
        <v>Human Space Flight</v>
      </c>
      <c r="L5" s="85" t="str">
        <f>IF(DTE_Lifespans_existing!L5=1,Use_case_lifespans!$B5,0)</f>
        <v>Human Space Flight</v>
      </c>
      <c r="M5" s="85" t="str">
        <f>IF(DTE_Lifespans_existing!M5=1,Use_case_lifespans!$B5,0)</f>
        <v>Human Space Flight</v>
      </c>
      <c r="N5" s="85" t="str">
        <f>IF(DTE_Lifespans_existing!N5=1,Use_case_lifespans!$B5,0)</f>
        <v>Human Space Flight</v>
      </c>
      <c r="O5" s="85" t="str">
        <f>IF(DTE_Lifespans_existing!O5=1,Use_case_lifespans!$B5,0)</f>
        <v>Human Space Flight</v>
      </c>
      <c r="P5" s="85" t="str">
        <f>IF(DTE_Lifespans_existing!P5=1,Use_case_lifespans!$B5,0)</f>
        <v>Human Space Flight</v>
      </c>
      <c r="Q5" s="85" t="str">
        <f>IF(DTE_Lifespans_existing!Q5=1,Use_case_lifespans!$B5,0)</f>
        <v>Human Space Flight</v>
      </c>
      <c r="R5" s="85" t="str">
        <f>IF(DTE_Lifespans_existing!R5=1,Use_case_lifespans!$B5,0)</f>
        <v>Human Space Flight</v>
      </c>
      <c r="S5" s="85" t="str">
        <f>IF(DTE_Lifespans_existing!S5=1,Use_case_lifespans!$B5,0)</f>
        <v>Human Space Flight</v>
      </c>
      <c r="T5" s="85" t="str">
        <f>IF(DTE_Lifespans_existing!T5=1,Use_case_lifespans!$B5,0)</f>
        <v>Human Space Flight</v>
      </c>
      <c r="U5" s="85" t="str">
        <f>IF(DTE_Lifespans_existing!U5=1,Use_case_lifespans!$B5,0)</f>
        <v>Human Space Flight</v>
      </c>
      <c r="V5" s="85" t="str">
        <f>IF(DTE_Lifespans_existing!V5=1,Use_case_lifespans!$B5,0)</f>
        <v>Human Space Flight</v>
      </c>
    </row>
    <row r="6" spans="1:22" x14ac:dyDescent="0.3">
      <c r="A6" s="29" t="s">
        <v>51</v>
      </c>
      <c r="B6" s="37" t="s">
        <v>42</v>
      </c>
      <c r="C6" s="85" t="str">
        <f>IF(DTE_Lifespans_existing!C6=1,Use_case_lifespans!$B6,0)</f>
        <v>Launch Events</v>
      </c>
      <c r="D6" s="85" t="str">
        <f>IF(DTE_Lifespans_existing!D6=1,Use_case_lifespans!$B6,0)</f>
        <v>Launch Events</v>
      </c>
      <c r="E6" s="85" t="str">
        <f>IF(DTE_Lifespans_existing!E6=1,Use_case_lifespans!$B6,0)</f>
        <v>Launch Events</v>
      </c>
      <c r="F6" s="85" t="str">
        <f>IF(DTE_Lifespans_existing!F6=1,Use_case_lifespans!$B6,0)</f>
        <v>Launch Events</v>
      </c>
      <c r="G6" s="85">
        <f>IF(DTE_Lifespans_existing!G6=1,Use_case_lifespans!$B6,0)</f>
        <v>0</v>
      </c>
      <c r="H6" s="85">
        <f>IF(DTE_Lifespans_existing!H6=1,Use_case_lifespans!$B6,0)</f>
        <v>0</v>
      </c>
      <c r="I6" s="85">
        <f>IF(DTE_Lifespans_existing!I6=1,Use_case_lifespans!$B6,0)</f>
        <v>0</v>
      </c>
      <c r="J6" s="85">
        <f>IF(DTE_Lifespans_existing!J6=1,Use_case_lifespans!$B6,0)</f>
        <v>0</v>
      </c>
      <c r="K6" s="85">
        <f>IF(DTE_Lifespans_existing!K6=1,Use_case_lifespans!$B6,0)</f>
        <v>0</v>
      </c>
      <c r="L6" s="85">
        <f>IF(DTE_Lifespans_existing!L6=1,Use_case_lifespans!$B6,0)</f>
        <v>0</v>
      </c>
      <c r="M6" s="85">
        <f>IF(DTE_Lifespans_existing!M6=1,Use_case_lifespans!$B6,0)</f>
        <v>0</v>
      </c>
      <c r="N6" s="85">
        <f>IF(DTE_Lifespans_existing!N6=1,Use_case_lifespans!$B6,0)</f>
        <v>0</v>
      </c>
      <c r="O6" s="85">
        <f>IF(DTE_Lifespans_existing!O6=1,Use_case_lifespans!$B6,0)</f>
        <v>0</v>
      </c>
      <c r="P6" s="85">
        <f>IF(DTE_Lifespans_existing!P6=1,Use_case_lifespans!$B6,0)</f>
        <v>0</v>
      </c>
      <c r="Q6" s="85">
        <f>IF(DTE_Lifespans_existing!Q6=1,Use_case_lifespans!$B6,0)</f>
        <v>0</v>
      </c>
      <c r="R6" s="85">
        <f>IF(DTE_Lifespans_existing!R6=1,Use_case_lifespans!$B6,0)</f>
        <v>0</v>
      </c>
      <c r="S6" s="85">
        <f>IF(DTE_Lifespans_existing!S6=1,Use_case_lifespans!$B6,0)</f>
        <v>0</v>
      </c>
      <c r="T6" s="85">
        <f>IF(DTE_Lifespans_existing!T6=1,Use_case_lifespans!$B6,0)</f>
        <v>0</v>
      </c>
      <c r="U6" s="85">
        <f>IF(DTE_Lifespans_existing!U6=1,Use_case_lifespans!$B6,0)</f>
        <v>0</v>
      </c>
      <c r="V6" s="85">
        <f>IF(DTE_Lifespans_existing!V6=1,Use_case_lifespans!$B6,0)</f>
        <v>0</v>
      </c>
    </row>
    <row r="7" spans="1:22" x14ac:dyDescent="0.3">
      <c r="A7" s="29" t="s">
        <v>52</v>
      </c>
      <c r="B7" s="30" t="s">
        <v>41</v>
      </c>
      <c r="C7" s="85" t="str">
        <f>IF(DTE_Lifespans_existing!C7=1,Use_case_lifespans!$B7,0)</f>
        <v>Near Earth Robotic - LEO Science</v>
      </c>
      <c r="D7" s="85" t="str">
        <f>IF(DTE_Lifespans_existing!D7=1,Use_case_lifespans!$B7,0)</f>
        <v>Near Earth Robotic - LEO Science</v>
      </c>
      <c r="E7" s="85" t="str">
        <f>IF(DTE_Lifespans_existing!E7=1,Use_case_lifespans!$B7,0)</f>
        <v>Near Earth Robotic - LEO Science</v>
      </c>
      <c r="F7" s="85" t="str">
        <f>IF(DTE_Lifespans_existing!F7=1,Use_case_lifespans!$B7,0)</f>
        <v>Near Earth Robotic - LEO Science</v>
      </c>
      <c r="G7" s="85" t="str">
        <f>IF(DTE_Lifespans_existing!G7=1,Use_case_lifespans!$B7,0)</f>
        <v>Near Earth Robotic - LEO Science</v>
      </c>
      <c r="H7" s="85" t="str">
        <f>IF(DTE_Lifespans_existing!H7=1,Use_case_lifespans!$B7,0)</f>
        <v>Near Earth Robotic - LEO Science</v>
      </c>
      <c r="I7" s="85">
        <f>IF(DTE_Lifespans_existing!I7=1,Use_case_lifespans!$B7,0)</f>
        <v>0</v>
      </c>
      <c r="J7" s="85">
        <f>IF(DTE_Lifespans_existing!J7=1,Use_case_lifespans!$B7,0)</f>
        <v>0</v>
      </c>
      <c r="K7" s="85">
        <f>IF(DTE_Lifespans_existing!K7=1,Use_case_lifespans!$B7,0)</f>
        <v>0</v>
      </c>
      <c r="L7" s="85">
        <f>IF(DTE_Lifespans_existing!L7=1,Use_case_lifespans!$B7,0)</f>
        <v>0</v>
      </c>
      <c r="M7" s="85">
        <f>IF(DTE_Lifespans_existing!M7=1,Use_case_lifespans!$B7,0)</f>
        <v>0</v>
      </c>
      <c r="N7" s="85">
        <f>IF(DTE_Lifespans_existing!N7=1,Use_case_lifespans!$B7,0)</f>
        <v>0</v>
      </c>
      <c r="O7" s="85">
        <f>IF(DTE_Lifespans_existing!O7=1,Use_case_lifespans!$B7,0)</f>
        <v>0</v>
      </c>
      <c r="P7" s="85">
        <f>IF(DTE_Lifespans_existing!P7=1,Use_case_lifespans!$B7,0)</f>
        <v>0</v>
      </c>
      <c r="Q7" s="85">
        <f>IF(DTE_Lifespans_existing!Q7=1,Use_case_lifespans!$B7,0)</f>
        <v>0</v>
      </c>
      <c r="R7" s="85">
        <f>IF(DTE_Lifespans_existing!R7=1,Use_case_lifespans!$B7,0)</f>
        <v>0</v>
      </c>
      <c r="S7" s="85">
        <f>IF(DTE_Lifespans_existing!S7=1,Use_case_lifespans!$B7,0)</f>
        <v>0</v>
      </c>
      <c r="T7" s="85">
        <f>IF(DTE_Lifespans_existing!T7=1,Use_case_lifespans!$B7,0)</f>
        <v>0</v>
      </c>
      <c r="U7" s="85">
        <f>IF(DTE_Lifespans_existing!U7=1,Use_case_lifespans!$B7,0)</f>
        <v>0</v>
      </c>
      <c r="V7" s="85">
        <f>IF(DTE_Lifespans_existing!V7=1,Use_case_lifespans!$B7,0)</f>
        <v>0</v>
      </c>
    </row>
    <row r="8" spans="1:22" x14ac:dyDescent="0.3">
      <c r="A8" s="29" t="s">
        <v>18</v>
      </c>
      <c r="B8" s="38" t="s">
        <v>48</v>
      </c>
      <c r="C8" s="85" t="str">
        <f>IF(DTE_Lifespans_existing!C8=1,Use_case_lifespans!$B8,0)</f>
        <v>???</v>
      </c>
      <c r="D8" s="85" t="str">
        <f>IF(DTE_Lifespans_existing!D8=1,Use_case_lifespans!$B8,0)</f>
        <v>???</v>
      </c>
      <c r="E8" s="85" t="str">
        <f>IF(DTE_Lifespans_existing!E8=1,Use_case_lifespans!$B8,0)</f>
        <v>???</v>
      </c>
      <c r="F8" s="85" t="str">
        <f>IF(DTE_Lifespans_existing!F8=1,Use_case_lifespans!$B8,0)</f>
        <v>???</v>
      </c>
      <c r="G8" s="85" t="str">
        <f>IF(DTE_Lifespans_existing!G8=1,Use_case_lifespans!$B8,0)</f>
        <v>???</v>
      </c>
      <c r="H8" s="85" t="str">
        <f>IF(DTE_Lifespans_existing!H8=1,Use_case_lifespans!$B8,0)</f>
        <v>???</v>
      </c>
      <c r="I8" s="85" t="str">
        <f>IF(DTE_Lifespans_existing!I8=1,Use_case_lifespans!$B8,0)</f>
        <v>???</v>
      </c>
      <c r="J8" s="85" t="str">
        <f>IF(DTE_Lifespans_existing!J8=1,Use_case_lifespans!$B8,0)</f>
        <v>???</v>
      </c>
      <c r="K8" s="85" t="str">
        <f>IF(DTE_Lifespans_existing!K8=1,Use_case_lifespans!$B8,0)</f>
        <v>???</v>
      </c>
      <c r="L8" s="85" t="str">
        <f>IF(DTE_Lifespans_existing!L8=1,Use_case_lifespans!$B8,0)</f>
        <v>???</v>
      </c>
      <c r="M8" s="85" t="str">
        <f>IF(DTE_Lifespans_existing!M8=1,Use_case_lifespans!$B8,0)</f>
        <v>???</v>
      </c>
      <c r="N8" s="85" t="str">
        <f>IF(DTE_Lifespans_existing!N8=1,Use_case_lifespans!$B8,0)</f>
        <v>???</v>
      </c>
      <c r="O8" s="85" t="str">
        <f>IF(DTE_Lifespans_existing!O8=1,Use_case_lifespans!$B8,0)</f>
        <v>???</v>
      </c>
      <c r="P8" s="85" t="str">
        <f>IF(DTE_Lifespans_existing!P8=1,Use_case_lifespans!$B8,0)</f>
        <v>???</v>
      </c>
      <c r="Q8" s="85" t="str">
        <f>IF(DTE_Lifespans_existing!Q8=1,Use_case_lifespans!$B8,0)</f>
        <v>???</v>
      </c>
      <c r="R8" s="85" t="str">
        <f>IF(DTE_Lifespans_existing!R8=1,Use_case_lifespans!$B8,0)</f>
        <v>???</v>
      </c>
      <c r="S8" s="85" t="str">
        <f>IF(DTE_Lifespans_existing!S8=1,Use_case_lifespans!$B8,0)</f>
        <v>???</v>
      </c>
      <c r="T8" s="85" t="str">
        <f>IF(DTE_Lifespans_existing!T8=1,Use_case_lifespans!$B8,0)</f>
        <v>???</v>
      </c>
      <c r="U8" s="85" t="str">
        <f>IF(DTE_Lifespans_existing!U8=1,Use_case_lifespans!$B8,0)</f>
        <v>???</v>
      </c>
      <c r="V8" s="85" t="str">
        <f>IF(DTE_Lifespans_existing!V8=1,Use_case_lifespans!$B8,0)</f>
        <v>???</v>
      </c>
    </row>
    <row r="9" spans="1:22" x14ac:dyDescent="0.3">
      <c r="A9" s="29" t="s">
        <v>53</v>
      </c>
      <c r="B9" s="30" t="s">
        <v>41</v>
      </c>
      <c r="C9" s="85">
        <f>IF(DTE_Lifespans_existing!C9=1,Use_case_lifespans!$B9,0)</f>
        <v>0</v>
      </c>
      <c r="D9" s="85">
        <f>IF(DTE_Lifespans_existing!D9=1,Use_case_lifespans!$B9,0)</f>
        <v>0</v>
      </c>
      <c r="E9" s="85">
        <f>IF(DTE_Lifespans_existing!E9=1,Use_case_lifespans!$B9,0)</f>
        <v>0</v>
      </c>
      <c r="F9" s="85">
        <f>IF(DTE_Lifespans_existing!F9=1,Use_case_lifespans!$B9,0)</f>
        <v>0</v>
      </c>
      <c r="G9" s="85">
        <f>IF(DTE_Lifespans_existing!G9=1,Use_case_lifespans!$B9,0)</f>
        <v>0</v>
      </c>
      <c r="H9" s="85">
        <f>IF(DTE_Lifespans_existing!H9=1,Use_case_lifespans!$B9,0)</f>
        <v>0</v>
      </c>
      <c r="I9" s="85">
        <f>IF(DTE_Lifespans_existing!I9=1,Use_case_lifespans!$B9,0)</f>
        <v>0</v>
      </c>
      <c r="J9" s="85">
        <f>IF(DTE_Lifespans_existing!J9=1,Use_case_lifespans!$B9,0)</f>
        <v>0</v>
      </c>
      <c r="K9" s="85">
        <f>IF(DTE_Lifespans_existing!K9=1,Use_case_lifespans!$B9,0)</f>
        <v>0</v>
      </c>
      <c r="L9" s="85">
        <f>IF(DTE_Lifespans_existing!L9=1,Use_case_lifespans!$B9,0)</f>
        <v>0</v>
      </c>
      <c r="M9" s="85">
        <f>IF(DTE_Lifespans_existing!M9=1,Use_case_lifespans!$B9,0)</f>
        <v>0</v>
      </c>
      <c r="N9" s="85">
        <f>IF(DTE_Lifespans_existing!N9=1,Use_case_lifespans!$B9,0)</f>
        <v>0</v>
      </c>
      <c r="O9" s="85">
        <f>IF(DTE_Lifespans_existing!O9=1,Use_case_lifespans!$B9,0)</f>
        <v>0</v>
      </c>
      <c r="P9" s="85">
        <f>IF(DTE_Lifespans_existing!P9=1,Use_case_lifespans!$B9,0)</f>
        <v>0</v>
      </c>
      <c r="Q9" s="85">
        <f>IF(DTE_Lifespans_existing!Q9=1,Use_case_lifespans!$B9,0)</f>
        <v>0</v>
      </c>
      <c r="R9" s="85">
        <f>IF(DTE_Lifespans_existing!R9=1,Use_case_lifespans!$B9,0)</f>
        <v>0</v>
      </c>
      <c r="S9" s="85">
        <f>IF(DTE_Lifespans_existing!S9=1,Use_case_lifespans!$B9,0)</f>
        <v>0</v>
      </c>
      <c r="T9" s="85">
        <f>IF(DTE_Lifespans_existing!T9=1,Use_case_lifespans!$B9,0)</f>
        <v>0</v>
      </c>
      <c r="U9" s="85">
        <f>IF(DTE_Lifespans_existing!U9=1,Use_case_lifespans!$B9,0)</f>
        <v>0</v>
      </c>
      <c r="V9" s="85">
        <f>IF(DTE_Lifespans_existing!V9=1,Use_case_lifespans!$B9,0)</f>
        <v>0</v>
      </c>
    </row>
    <row r="10" spans="1:22" x14ac:dyDescent="0.3">
      <c r="A10" s="29" t="s">
        <v>54</v>
      </c>
      <c r="B10" s="37" t="s">
        <v>43</v>
      </c>
      <c r="C10" s="85" t="str">
        <f>IF(DTE_Lifespans_existing!C10=1,Use_case_lifespans!$B10,0)</f>
        <v>Human Space Flight</v>
      </c>
      <c r="D10" s="85" t="str">
        <f>IF(DTE_Lifespans_existing!D10=1,Use_case_lifespans!$B10,0)</f>
        <v>Human Space Flight</v>
      </c>
      <c r="E10" s="85" t="str">
        <f>IF(DTE_Lifespans_existing!E10=1,Use_case_lifespans!$B10,0)</f>
        <v>Human Space Flight</v>
      </c>
      <c r="F10" s="85" t="str">
        <f>IF(DTE_Lifespans_existing!F10=1,Use_case_lifespans!$B10,0)</f>
        <v>Human Space Flight</v>
      </c>
      <c r="G10" s="85" t="str">
        <f>IF(DTE_Lifespans_existing!G10=1,Use_case_lifespans!$B10,0)</f>
        <v>Human Space Flight</v>
      </c>
      <c r="H10" s="85" t="str">
        <f>IF(DTE_Lifespans_existing!H10=1,Use_case_lifespans!$B10,0)</f>
        <v>Human Space Flight</v>
      </c>
      <c r="I10" s="85" t="str">
        <f>IF(DTE_Lifespans_existing!I10=1,Use_case_lifespans!$B10,0)</f>
        <v>Human Space Flight</v>
      </c>
      <c r="J10" s="85" t="str">
        <f>IF(DTE_Lifespans_existing!J10=1,Use_case_lifespans!$B10,0)</f>
        <v>Human Space Flight</v>
      </c>
      <c r="K10" s="85" t="str">
        <f>IF(DTE_Lifespans_existing!K10=1,Use_case_lifespans!$B10,0)</f>
        <v>Human Space Flight</v>
      </c>
      <c r="L10" s="85" t="str">
        <f>IF(DTE_Lifespans_existing!L10=1,Use_case_lifespans!$B10,0)</f>
        <v>Human Space Flight</v>
      </c>
      <c r="M10" s="85">
        <f>IF(DTE_Lifespans_existing!M10=1,Use_case_lifespans!$B10,0)</f>
        <v>0</v>
      </c>
      <c r="N10" s="85">
        <f>IF(DTE_Lifespans_existing!N10=1,Use_case_lifespans!$B10,0)</f>
        <v>0</v>
      </c>
      <c r="O10" s="85">
        <f>IF(DTE_Lifespans_existing!O10=1,Use_case_lifespans!$B10,0)</f>
        <v>0</v>
      </c>
      <c r="P10" s="85">
        <f>IF(DTE_Lifespans_existing!P10=1,Use_case_lifespans!$B10,0)</f>
        <v>0</v>
      </c>
      <c r="Q10" s="85">
        <f>IF(DTE_Lifespans_existing!Q10=1,Use_case_lifespans!$B10,0)</f>
        <v>0</v>
      </c>
      <c r="R10" s="85">
        <f>IF(DTE_Lifespans_existing!R10=1,Use_case_lifespans!$B10,0)</f>
        <v>0</v>
      </c>
      <c r="S10" s="85">
        <f>IF(DTE_Lifespans_existing!S10=1,Use_case_lifespans!$B10,0)</f>
        <v>0</v>
      </c>
      <c r="T10" s="85">
        <f>IF(DTE_Lifespans_existing!T10=1,Use_case_lifespans!$B10,0)</f>
        <v>0</v>
      </c>
      <c r="U10" s="85">
        <f>IF(DTE_Lifespans_existing!U10=1,Use_case_lifespans!$B10,0)</f>
        <v>0</v>
      </c>
      <c r="V10" s="85">
        <f>IF(DTE_Lifespans_existing!V10=1,Use_case_lifespans!$B10,0)</f>
        <v>0</v>
      </c>
    </row>
    <row r="11" spans="1:22" x14ac:dyDescent="0.3">
      <c r="A11" s="29" t="s">
        <v>55</v>
      </c>
      <c r="B11" s="37" t="s">
        <v>42</v>
      </c>
      <c r="C11" s="85" t="str">
        <f>IF(DTE_Lifespans_existing!C11=1,Use_case_lifespans!$B11,0)</f>
        <v>Launch Events</v>
      </c>
      <c r="D11" s="85" t="str">
        <f>IF(DTE_Lifespans_existing!D11=1,Use_case_lifespans!$B11,0)</f>
        <v>Launch Events</v>
      </c>
      <c r="E11" s="85" t="str">
        <f>IF(DTE_Lifespans_existing!E11=1,Use_case_lifespans!$B11,0)</f>
        <v>Launch Events</v>
      </c>
      <c r="F11" s="85" t="str">
        <f>IF(DTE_Lifespans_existing!F11=1,Use_case_lifespans!$B11,0)</f>
        <v>Launch Events</v>
      </c>
      <c r="G11" s="85" t="str">
        <f>IF(DTE_Lifespans_existing!G11=1,Use_case_lifespans!$B11,0)</f>
        <v>Launch Events</v>
      </c>
      <c r="H11" s="85" t="str">
        <f>IF(DTE_Lifespans_existing!H11=1,Use_case_lifespans!$B11,0)</f>
        <v>Launch Events</v>
      </c>
      <c r="I11" s="85" t="str">
        <f>IF(DTE_Lifespans_existing!I11=1,Use_case_lifespans!$B11,0)</f>
        <v>Launch Events</v>
      </c>
      <c r="J11" s="85" t="str">
        <f>IF(DTE_Lifespans_existing!J11=1,Use_case_lifespans!$B11,0)</f>
        <v>Launch Events</v>
      </c>
      <c r="K11" s="85" t="str">
        <f>IF(DTE_Lifespans_existing!K11=1,Use_case_lifespans!$B11,0)</f>
        <v>Launch Events</v>
      </c>
      <c r="L11" s="85" t="str">
        <f>IF(DTE_Lifespans_existing!L11=1,Use_case_lifespans!$B11,0)</f>
        <v>Launch Events</v>
      </c>
      <c r="M11" s="85" t="str">
        <f>IF(DTE_Lifespans_existing!M11=1,Use_case_lifespans!$B11,0)</f>
        <v>Launch Events</v>
      </c>
      <c r="N11" s="85" t="str">
        <f>IF(DTE_Lifespans_existing!N11=1,Use_case_lifespans!$B11,0)</f>
        <v>Launch Events</v>
      </c>
      <c r="O11" s="85" t="str">
        <f>IF(DTE_Lifespans_existing!O11=1,Use_case_lifespans!$B11,0)</f>
        <v>Launch Events</v>
      </c>
      <c r="P11" s="85" t="str">
        <f>IF(DTE_Lifespans_existing!P11=1,Use_case_lifespans!$B11,0)</f>
        <v>Launch Events</v>
      </c>
      <c r="Q11" s="85" t="str">
        <f>IF(DTE_Lifespans_existing!Q11=1,Use_case_lifespans!$B11,0)</f>
        <v>Launch Events</v>
      </c>
      <c r="R11" s="85" t="str">
        <f>IF(DTE_Lifespans_existing!R11=1,Use_case_lifespans!$B11,0)</f>
        <v>Launch Events</v>
      </c>
      <c r="S11" s="85" t="str">
        <f>IF(DTE_Lifespans_existing!S11=1,Use_case_lifespans!$B11,0)</f>
        <v>Launch Events</v>
      </c>
      <c r="T11" s="85" t="str">
        <f>IF(DTE_Lifespans_existing!T11=1,Use_case_lifespans!$B11,0)</f>
        <v>Launch Events</v>
      </c>
      <c r="U11" s="85" t="str">
        <f>IF(DTE_Lifespans_existing!U11=1,Use_case_lifespans!$B11,0)</f>
        <v>Launch Events</v>
      </c>
      <c r="V11" s="85" t="str">
        <f>IF(DTE_Lifespans_existing!V11=1,Use_case_lifespans!$B11,0)</f>
        <v>Launch Events</v>
      </c>
    </row>
    <row r="12" spans="1:22" x14ac:dyDescent="0.3">
      <c r="A12" s="29" t="s">
        <v>56</v>
      </c>
      <c r="B12" s="36" t="s">
        <v>43</v>
      </c>
      <c r="C12" s="85" t="str">
        <f>IF(DTE_Lifespans_existing!C12=1,Use_case_lifespans!$B12,0)</f>
        <v>Human Space Flight</v>
      </c>
      <c r="D12" s="85" t="str">
        <f>IF(DTE_Lifespans_existing!D12=1,Use_case_lifespans!$B12,0)</f>
        <v>Human Space Flight</v>
      </c>
      <c r="E12" s="85" t="str">
        <f>IF(DTE_Lifespans_existing!E12=1,Use_case_lifespans!$B12,0)</f>
        <v>Human Space Flight</v>
      </c>
      <c r="F12" s="85" t="str">
        <f>IF(DTE_Lifespans_existing!F12=1,Use_case_lifespans!$B12,0)</f>
        <v>Human Space Flight</v>
      </c>
      <c r="G12" s="85" t="str">
        <f>IF(DTE_Lifespans_existing!G12=1,Use_case_lifespans!$B12,0)</f>
        <v>Human Space Flight</v>
      </c>
      <c r="H12" s="85" t="str">
        <f>IF(DTE_Lifespans_existing!H12=1,Use_case_lifespans!$B12,0)</f>
        <v>Human Space Flight</v>
      </c>
      <c r="I12" s="85" t="str">
        <f>IF(DTE_Lifespans_existing!I12=1,Use_case_lifespans!$B12,0)</f>
        <v>Human Space Flight</v>
      </c>
      <c r="J12" s="85" t="str">
        <f>IF(DTE_Lifespans_existing!J12=1,Use_case_lifespans!$B12,0)</f>
        <v>Human Space Flight</v>
      </c>
      <c r="K12" s="85" t="str">
        <f>IF(DTE_Lifespans_existing!K12=1,Use_case_lifespans!$B12,0)</f>
        <v>Human Space Flight</v>
      </c>
      <c r="L12" s="85" t="str">
        <f>IF(DTE_Lifespans_existing!L12=1,Use_case_lifespans!$B12,0)</f>
        <v>Human Space Flight</v>
      </c>
      <c r="M12" s="85" t="str">
        <f>IF(DTE_Lifespans_existing!M12=1,Use_case_lifespans!$B12,0)</f>
        <v>Human Space Flight</v>
      </c>
      <c r="N12" s="85" t="str">
        <f>IF(DTE_Lifespans_existing!N12=1,Use_case_lifespans!$B12,0)</f>
        <v>Human Space Flight</v>
      </c>
      <c r="O12" s="85" t="str">
        <f>IF(DTE_Lifespans_existing!O12=1,Use_case_lifespans!$B12,0)</f>
        <v>Human Space Flight</v>
      </c>
      <c r="P12" s="85" t="str">
        <f>IF(DTE_Lifespans_existing!P12=1,Use_case_lifespans!$B12,0)</f>
        <v>Human Space Flight</v>
      </c>
      <c r="Q12" s="85" t="str">
        <f>IF(DTE_Lifespans_existing!Q12=1,Use_case_lifespans!$B12,0)</f>
        <v>Human Space Flight</v>
      </c>
      <c r="R12" s="85" t="str">
        <f>IF(DTE_Lifespans_existing!R12=1,Use_case_lifespans!$B12,0)</f>
        <v>Human Space Flight</v>
      </c>
      <c r="S12" s="85" t="str">
        <f>IF(DTE_Lifespans_existing!S12=1,Use_case_lifespans!$B12,0)</f>
        <v>Human Space Flight</v>
      </c>
      <c r="T12" s="85" t="str">
        <f>IF(DTE_Lifespans_existing!T12=1,Use_case_lifespans!$B12,0)</f>
        <v>Human Space Flight</v>
      </c>
      <c r="U12" s="85" t="str">
        <f>IF(DTE_Lifespans_existing!U12=1,Use_case_lifespans!$B12,0)</f>
        <v>Human Space Flight</v>
      </c>
      <c r="V12" s="85" t="str">
        <f>IF(DTE_Lifespans_existing!V12=1,Use_case_lifespans!$B12,0)</f>
        <v>Human Space Flight</v>
      </c>
    </row>
    <row r="13" spans="1:22" x14ac:dyDescent="0.3">
      <c r="A13" s="29" t="s">
        <v>66</v>
      </c>
      <c r="B13" s="38" t="s">
        <v>48</v>
      </c>
      <c r="C13" s="85" t="str">
        <f>IF(DTE_Lifespans_existing!C13=1,Use_case_lifespans!$B13,0)</f>
        <v>???</v>
      </c>
      <c r="D13" s="85" t="str">
        <f>IF(DTE_Lifespans_existing!D13=1,Use_case_lifespans!$B13,0)</f>
        <v>???</v>
      </c>
      <c r="E13" s="85" t="str">
        <f>IF(DTE_Lifespans_existing!E13=1,Use_case_lifespans!$B13,0)</f>
        <v>???</v>
      </c>
      <c r="F13" s="85">
        <f>IF(DTE_Lifespans_existing!F13=1,Use_case_lifespans!$B13,0)</f>
        <v>0</v>
      </c>
      <c r="G13" s="85">
        <f>IF(DTE_Lifespans_existing!G13=1,Use_case_lifespans!$B13,0)</f>
        <v>0</v>
      </c>
      <c r="H13" s="85">
        <f>IF(DTE_Lifespans_existing!H13=1,Use_case_lifespans!$B13,0)</f>
        <v>0</v>
      </c>
      <c r="I13" s="85">
        <f>IF(DTE_Lifespans_existing!I13=1,Use_case_lifespans!$B13,0)</f>
        <v>0</v>
      </c>
      <c r="J13" s="85">
        <f>IF(DTE_Lifespans_existing!J13=1,Use_case_lifespans!$B13,0)</f>
        <v>0</v>
      </c>
      <c r="K13" s="85">
        <f>IF(DTE_Lifespans_existing!K13=1,Use_case_lifespans!$B13,0)</f>
        <v>0</v>
      </c>
      <c r="L13" s="85">
        <f>IF(DTE_Lifespans_existing!L13=1,Use_case_lifespans!$B13,0)</f>
        <v>0</v>
      </c>
      <c r="M13" s="85">
        <f>IF(DTE_Lifespans_existing!M13=1,Use_case_lifespans!$B13,0)</f>
        <v>0</v>
      </c>
      <c r="N13" s="85">
        <f>IF(DTE_Lifespans_existing!N13=1,Use_case_lifespans!$B13,0)</f>
        <v>0</v>
      </c>
      <c r="O13" s="85">
        <f>IF(DTE_Lifespans_existing!O13=1,Use_case_lifespans!$B13,0)</f>
        <v>0</v>
      </c>
      <c r="P13" s="85">
        <f>IF(DTE_Lifespans_existing!P13=1,Use_case_lifespans!$B13,0)</f>
        <v>0</v>
      </c>
      <c r="Q13" s="85">
        <f>IF(DTE_Lifespans_existing!Q13=1,Use_case_lifespans!$B13,0)</f>
        <v>0</v>
      </c>
      <c r="R13" s="85">
        <f>IF(DTE_Lifespans_existing!R13=1,Use_case_lifespans!$B13,0)</f>
        <v>0</v>
      </c>
      <c r="S13" s="85">
        <f>IF(DTE_Lifespans_existing!S13=1,Use_case_lifespans!$B13,0)</f>
        <v>0</v>
      </c>
      <c r="T13" s="85">
        <f>IF(DTE_Lifespans_existing!T13=1,Use_case_lifespans!$B13,0)</f>
        <v>0</v>
      </c>
      <c r="U13" s="85">
        <f>IF(DTE_Lifespans_existing!U13=1,Use_case_lifespans!$B13,0)</f>
        <v>0</v>
      </c>
      <c r="V13" s="85">
        <f>IF(DTE_Lifespans_existing!V13=1,Use_case_lifespans!$B13,0)</f>
        <v>0</v>
      </c>
    </row>
    <row r="14" spans="1:22" x14ac:dyDescent="0.3">
      <c r="A14" s="29" t="s">
        <v>19</v>
      </c>
      <c r="B14" s="30" t="s">
        <v>41</v>
      </c>
      <c r="C14" s="85" t="str">
        <f>IF(DTE_Lifespans_existing!C14=1,Use_case_lifespans!$B14,0)</f>
        <v>Near Earth Robotic - LEO Science</v>
      </c>
      <c r="D14" s="85" t="str">
        <f>IF(DTE_Lifespans_existing!D14=1,Use_case_lifespans!$B14,0)</f>
        <v>Near Earth Robotic - LEO Science</v>
      </c>
      <c r="E14" s="85" t="str">
        <f>IF(DTE_Lifespans_existing!E14=1,Use_case_lifespans!$B14,0)</f>
        <v>Near Earth Robotic - LEO Science</v>
      </c>
      <c r="F14" s="85" t="str">
        <f>IF(DTE_Lifespans_existing!F14=1,Use_case_lifespans!$B14,0)</f>
        <v>Near Earth Robotic - LEO Science</v>
      </c>
      <c r="G14" s="85" t="str">
        <f>IF(DTE_Lifespans_existing!G14=1,Use_case_lifespans!$B14,0)</f>
        <v>Near Earth Robotic - LEO Science</v>
      </c>
      <c r="H14" s="85" t="str">
        <f>IF(DTE_Lifespans_existing!H14=1,Use_case_lifespans!$B14,0)</f>
        <v>Near Earth Robotic - LEO Science</v>
      </c>
      <c r="I14" s="85" t="str">
        <f>IF(DTE_Lifespans_existing!I14=1,Use_case_lifespans!$B14,0)</f>
        <v>Near Earth Robotic - LEO Science</v>
      </c>
      <c r="J14" s="85">
        <f>IF(DTE_Lifespans_existing!J14=1,Use_case_lifespans!$B14,0)</f>
        <v>0</v>
      </c>
      <c r="K14" s="85">
        <f>IF(DTE_Lifespans_existing!K14=1,Use_case_lifespans!$B14,0)</f>
        <v>0</v>
      </c>
      <c r="L14" s="85">
        <f>IF(DTE_Lifespans_existing!L14=1,Use_case_lifespans!$B14,0)</f>
        <v>0</v>
      </c>
      <c r="M14" s="85">
        <f>IF(DTE_Lifespans_existing!M14=1,Use_case_lifespans!$B14,0)</f>
        <v>0</v>
      </c>
      <c r="N14" s="85">
        <f>IF(DTE_Lifespans_existing!N14=1,Use_case_lifespans!$B14,0)</f>
        <v>0</v>
      </c>
      <c r="O14" s="85">
        <f>IF(DTE_Lifespans_existing!O14=1,Use_case_lifespans!$B14,0)</f>
        <v>0</v>
      </c>
      <c r="P14" s="85">
        <f>IF(DTE_Lifespans_existing!P14=1,Use_case_lifespans!$B14,0)</f>
        <v>0</v>
      </c>
      <c r="Q14" s="85">
        <f>IF(DTE_Lifespans_existing!Q14=1,Use_case_lifespans!$B14,0)</f>
        <v>0</v>
      </c>
      <c r="R14" s="85">
        <f>IF(DTE_Lifespans_existing!R14=1,Use_case_lifespans!$B14,0)</f>
        <v>0</v>
      </c>
      <c r="S14" s="85">
        <f>IF(DTE_Lifespans_existing!S14=1,Use_case_lifespans!$B14,0)</f>
        <v>0</v>
      </c>
      <c r="T14" s="85">
        <f>IF(DTE_Lifespans_existing!T14=1,Use_case_lifespans!$B14,0)</f>
        <v>0</v>
      </c>
      <c r="U14" s="85">
        <f>IF(DTE_Lifespans_existing!U14=1,Use_case_lifespans!$B14,0)</f>
        <v>0</v>
      </c>
      <c r="V14" s="85">
        <f>IF(DTE_Lifespans_existing!V14=1,Use_case_lifespans!$B14,0)</f>
        <v>0</v>
      </c>
    </row>
    <row r="15" spans="1:22" x14ac:dyDescent="0.3">
      <c r="A15" s="41" t="s">
        <v>67</v>
      </c>
      <c r="B15" s="30" t="s">
        <v>40</v>
      </c>
      <c r="C15" s="85" t="str">
        <f>IF(DTE_Lifespans_existing!C15=1,Use_case_lifespans!$B15,0)</f>
        <v>Near Earth Robotic - GEO and Near Earth</v>
      </c>
      <c r="D15" s="85" t="str">
        <f>IF(DTE_Lifespans_existing!D15=1,Use_case_lifespans!$B15,0)</f>
        <v>Near Earth Robotic - GEO and Near Earth</v>
      </c>
      <c r="E15" s="85" t="str">
        <f>IF(DTE_Lifespans_existing!E15=1,Use_case_lifespans!$B15,0)</f>
        <v>Near Earth Robotic - GEO and Near Earth</v>
      </c>
      <c r="F15" s="85" t="str">
        <f>IF(DTE_Lifespans_existing!F15=1,Use_case_lifespans!$B15,0)</f>
        <v>Near Earth Robotic - GEO and Near Earth</v>
      </c>
      <c r="G15" s="85" t="str">
        <f>IF(DTE_Lifespans_existing!G15=1,Use_case_lifespans!$B15,0)</f>
        <v>Near Earth Robotic - GEO and Near Earth</v>
      </c>
      <c r="H15" s="85" t="str">
        <f>IF(DTE_Lifespans_existing!H15=1,Use_case_lifespans!$B15,0)</f>
        <v>Near Earth Robotic - GEO and Near Earth</v>
      </c>
      <c r="I15" s="85" t="str">
        <f>IF(DTE_Lifespans_existing!I15=1,Use_case_lifespans!$B15,0)</f>
        <v>Near Earth Robotic - GEO and Near Earth</v>
      </c>
      <c r="J15" s="85" t="str">
        <f>IF(DTE_Lifespans_existing!J15=1,Use_case_lifespans!$B15,0)</f>
        <v>Near Earth Robotic - GEO and Near Earth</v>
      </c>
      <c r="K15" s="85" t="str">
        <f>IF(DTE_Lifespans_existing!K15=1,Use_case_lifespans!$B15,0)</f>
        <v>Near Earth Robotic - GEO and Near Earth</v>
      </c>
      <c r="L15" s="85" t="str">
        <f>IF(DTE_Lifespans_existing!L15=1,Use_case_lifespans!$B15,0)</f>
        <v>Near Earth Robotic - GEO and Near Earth</v>
      </c>
      <c r="M15" s="85" t="str">
        <f>IF(DTE_Lifespans_existing!M15=1,Use_case_lifespans!$B15,0)</f>
        <v>Near Earth Robotic - GEO and Near Earth</v>
      </c>
      <c r="N15" s="85" t="str">
        <f>IF(DTE_Lifespans_existing!N15=1,Use_case_lifespans!$B15,0)</f>
        <v>Near Earth Robotic - GEO and Near Earth</v>
      </c>
      <c r="O15" s="85" t="str">
        <f>IF(DTE_Lifespans_existing!O15=1,Use_case_lifespans!$B15,0)</f>
        <v>Near Earth Robotic - GEO and Near Earth</v>
      </c>
      <c r="P15" s="85" t="str">
        <f>IF(DTE_Lifespans_existing!P15=1,Use_case_lifespans!$B15,0)</f>
        <v>Near Earth Robotic - GEO and Near Earth</v>
      </c>
      <c r="Q15" s="85" t="str">
        <f>IF(DTE_Lifespans_existing!Q15=1,Use_case_lifespans!$B15,0)</f>
        <v>Near Earth Robotic - GEO and Near Earth</v>
      </c>
      <c r="R15" s="85" t="str">
        <f>IF(DTE_Lifespans_existing!R15=1,Use_case_lifespans!$B15,0)</f>
        <v>Near Earth Robotic - GEO and Near Earth</v>
      </c>
      <c r="S15" s="85" t="str">
        <f>IF(DTE_Lifespans_existing!S15=1,Use_case_lifespans!$B15,0)</f>
        <v>Near Earth Robotic - GEO and Near Earth</v>
      </c>
      <c r="T15" s="85" t="str">
        <f>IF(DTE_Lifespans_existing!T15=1,Use_case_lifespans!$B15,0)</f>
        <v>Near Earth Robotic - GEO and Near Earth</v>
      </c>
      <c r="U15" s="85" t="str">
        <f>IF(DTE_Lifespans_existing!U15=1,Use_case_lifespans!$B15,0)</f>
        <v>Near Earth Robotic - GEO and Near Earth</v>
      </c>
      <c r="V15" s="85" t="str">
        <f>IF(DTE_Lifespans_existing!V15=1,Use_case_lifespans!$B15,0)</f>
        <v>Near Earth Robotic - GEO and Near Earth</v>
      </c>
    </row>
    <row r="16" spans="1:22" x14ac:dyDescent="0.3">
      <c r="A16" s="41" t="s">
        <v>68</v>
      </c>
      <c r="B16" s="30" t="s">
        <v>40</v>
      </c>
      <c r="C16" s="85" t="str">
        <f>IF(DTE_Lifespans_existing!C16=1,Use_case_lifespans!$B16,0)</f>
        <v>Near Earth Robotic - GEO and Near Earth</v>
      </c>
      <c r="D16" s="85" t="str">
        <f>IF(DTE_Lifespans_existing!D16=1,Use_case_lifespans!$B16,0)</f>
        <v>Near Earth Robotic - GEO and Near Earth</v>
      </c>
      <c r="E16" s="85" t="str">
        <f>IF(DTE_Lifespans_existing!E16=1,Use_case_lifespans!$B16,0)</f>
        <v>Near Earth Robotic - GEO and Near Earth</v>
      </c>
      <c r="F16" s="85" t="str">
        <f>IF(DTE_Lifespans_existing!F16=1,Use_case_lifespans!$B16,0)</f>
        <v>Near Earth Robotic - GEO and Near Earth</v>
      </c>
      <c r="G16" s="85" t="str">
        <f>IF(DTE_Lifespans_existing!G16=1,Use_case_lifespans!$B16,0)</f>
        <v>Near Earth Robotic - GEO and Near Earth</v>
      </c>
      <c r="H16" s="85" t="str">
        <f>IF(DTE_Lifespans_existing!H16=1,Use_case_lifespans!$B16,0)</f>
        <v>Near Earth Robotic - GEO and Near Earth</v>
      </c>
      <c r="I16" s="85" t="str">
        <f>IF(DTE_Lifespans_existing!I16=1,Use_case_lifespans!$B16,0)</f>
        <v>Near Earth Robotic - GEO and Near Earth</v>
      </c>
      <c r="J16" s="85" t="str">
        <f>IF(DTE_Lifespans_existing!J16=1,Use_case_lifespans!$B16,0)</f>
        <v>Near Earth Robotic - GEO and Near Earth</v>
      </c>
      <c r="K16" s="85" t="str">
        <f>IF(DTE_Lifespans_existing!K16=1,Use_case_lifespans!$B16,0)</f>
        <v>Near Earth Robotic - GEO and Near Earth</v>
      </c>
      <c r="L16" s="85" t="str">
        <f>IF(DTE_Lifespans_existing!L16=1,Use_case_lifespans!$B16,0)</f>
        <v>Near Earth Robotic - GEO and Near Earth</v>
      </c>
      <c r="M16" s="85" t="str">
        <f>IF(DTE_Lifespans_existing!M16=1,Use_case_lifespans!$B16,0)</f>
        <v>Near Earth Robotic - GEO and Near Earth</v>
      </c>
      <c r="N16" s="85" t="str">
        <f>IF(DTE_Lifespans_existing!N16=1,Use_case_lifespans!$B16,0)</f>
        <v>Near Earth Robotic - GEO and Near Earth</v>
      </c>
      <c r="O16" s="85" t="str">
        <f>IF(DTE_Lifespans_existing!O16=1,Use_case_lifespans!$B16,0)</f>
        <v>Near Earth Robotic - GEO and Near Earth</v>
      </c>
      <c r="P16" s="85" t="str">
        <f>IF(DTE_Lifespans_existing!P16=1,Use_case_lifespans!$B16,0)</f>
        <v>Near Earth Robotic - GEO and Near Earth</v>
      </c>
      <c r="Q16" s="85" t="str">
        <f>IF(DTE_Lifespans_existing!Q16=1,Use_case_lifespans!$B16,0)</f>
        <v>Near Earth Robotic - GEO and Near Earth</v>
      </c>
      <c r="R16" s="85" t="str">
        <f>IF(DTE_Lifespans_existing!R16=1,Use_case_lifespans!$B16,0)</f>
        <v>Near Earth Robotic - GEO and Near Earth</v>
      </c>
      <c r="S16" s="85" t="str">
        <f>IF(DTE_Lifespans_existing!S16=1,Use_case_lifespans!$B16,0)</f>
        <v>Near Earth Robotic - GEO and Near Earth</v>
      </c>
      <c r="T16" s="85" t="str">
        <f>IF(DTE_Lifespans_existing!T16=1,Use_case_lifespans!$B16,0)</f>
        <v>Near Earth Robotic - GEO and Near Earth</v>
      </c>
      <c r="U16" s="85" t="str">
        <f>IF(DTE_Lifespans_existing!U16=1,Use_case_lifespans!$B16,0)</f>
        <v>Near Earth Robotic - GEO and Near Earth</v>
      </c>
      <c r="V16" s="85" t="str">
        <f>IF(DTE_Lifespans_existing!V16=1,Use_case_lifespans!$B16,0)</f>
        <v>Near Earth Robotic - GEO and Near Earth</v>
      </c>
    </row>
    <row r="17" spans="1:22" x14ac:dyDescent="0.3">
      <c r="A17" s="41" t="s">
        <v>69</v>
      </c>
      <c r="B17" s="30" t="s">
        <v>40</v>
      </c>
      <c r="C17" s="85" t="str">
        <f>IF(DTE_Lifespans_existing!C17=1,Use_case_lifespans!$B17,0)</f>
        <v>Near Earth Robotic - GEO and Near Earth</v>
      </c>
      <c r="D17" s="85" t="str">
        <f>IF(DTE_Lifespans_existing!D17=1,Use_case_lifespans!$B17,0)</f>
        <v>Near Earth Robotic - GEO and Near Earth</v>
      </c>
      <c r="E17" s="85" t="str">
        <f>IF(DTE_Lifespans_existing!E17=1,Use_case_lifespans!$B17,0)</f>
        <v>Near Earth Robotic - GEO and Near Earth</v>
      </c>
      <c r="F17" s="85" t="str">
        <f>IF(DTE_Lifespans_existing!F17=1,Use_case_lifespans!$B17,0)</f>
        <v>Near Earth Robotic - GEO and Near Earth</v>
      </c>
      <c r="G17" s="85" t="str">
        <f>IF(DTE_Lifespans_existing!G17=1,Use_case_lifespans!$B17,0)</f>
        <v>Near Earth Robotic - GEO and Near Earth</v>
      </c>
      <c r="H17" s="85" t="str">
        <f>IF(DTE_Lifespans_existing!H17=1,Use_case_lifespans!$B17,0)</f>
        <v>Near Earth Robotic - GEO and Near Earth</v>
      </c>
      <c r="I17" s="85" t="str">
        <f>IF(DTE_Lifespans_existing!I17=1,Use_case_lifespans!$B17,0)</f>
        <v>Near Earth Robotic - GEO and Near Earth</v>
      </c>
      <c r="J17" s="85" t="str">
        <f>IF(DTE_Lifespans_existing!J17=1,Use_case_lifespans!$B17,0)</f>
        <v>Near Earth Robotic - GEO and Near Earth</v>
      </c>
      <c r="K17" s="85" t="str">
        <f>IF(DTE_Lifespans_existing!K17=1,Use_case_lifespans!$B17,0)</f>
        <v>Near Earth Robotic - GEO and Near Earth</v>
      </c>
      <c r="L17" s="85" t="str">
        <f>IF(DTE_Lifespans_existing!L17=1,Use_case_lifespans!$B17,0)</f>
        <v>Near Earth Robotic - GEO and Near Earth</v>
      </c>
      <c r="M17" s="85" t="str">
        <f>IF(DTE_Lifespans_existing!M17=1,Use_case_lifespans!$B17,0)</f>
        <v>Near Earth Robotic - GEO and Near Earth</v>
      </c>
      <c r="N17" s="85" t="str">
        <f>IF(DTE_Lifespans_existing!N17=1,Use_case_lifespans!$B17,0)</f>
        <v>Near Earth Robotic - GEO and Near Earth</v>
      </c>
      <c r="O17" s="85" t="str">
        <f>IF(DTE_Lifespans_existing!O17=1,Use_case_lifespans!$B17,0)</f>
        <v>Near Earth Robotic - GEO and Near Earth</v>
      </c>
      <c r="P17" s="85" t="str">
        <f>IF(DTE_Lifespans_existing!P17=1,Use_case_lifespans!$B17,0)</f>
        <v>Near Earth Robotic - GEO and Near Earth</v>
      </c>
      <c r="Q17" s="85" t="str">
        <f>IF(DTE_Lifespans_existing!Q17=1,Use_case_lifespans!$B17,0)</f>
        <v>Near Earth Robotic - GEO and Near Earth</v>
      </c>
      <c r="R17" s="85" t="str">
        <f>IF(DTE_Lifespans_existing!R17=1,Use_case_lifespans!$B17,0)</f>
        <v>Near Earth Robotic - GEO and Near Earth</v>
      </c>
      <c r="S17" s="85" t="str">
        <f>IF(DTE_Lifespans_existing!S17=1,Use_case_lifespans!$B17,0)</f>
        <v>Near Earth Robotic - GEO and Near Earth</v>
      </c>
      <c r="T17" s="85" t="str">
        <f>IF(DTE_Lifespans_existing!T17=1,Use_case_lifespans!$B17,0)</f>
        <v>Near Earth Robotic - GEO and Near Earth</v>
      </c>
      <c r="U17" s="85" t="str">
        <f>IF(DTE_Lifespans_existing!U17=1,Use_case_lifespans!$B17,0)</f>
        <v>Near Earth Robotic - GEO and Near Earth</v>
      </c>
      <c r="V17" s="85" t="str">
        <f>IF(DTE_Lifespans_existing!V17=1,Use_case_lifespans!$B17,0)</f>
        <v>Near Earth Robotic - GEO and Near Earth</v>
      </c>
    </row>
    <row r="18" spans="1:22" x14ac:dyDescent="0.3">
      <c r="A18" s="41" t="s">
        <v>70</v>
      </c>
      <c r="B18" s="30" t="s">
        <v>40</v>
      </c>
      <c r="C18" s="85" t="str">
        <f>IF(DTE_Lifespans_existing!C18=1,Use_case_lifespans!$B18,0)</f>
        <v>Near Earth Robotic - GEO and Near Earth</v>
      </c>
      <c r="D18" s="85" t="str">
        <f>IF(DTE_Lifespans_existing!D18=1,Use_case_lifespans!$B18,0)</f>
        <v>Near Earth Robotic - GEO and Near Earth</v>
      </c>
      <c r="E18" s="85" t="str">
        <f>IF(DTE_Lifespans_existing!E18=1,Use_case_lifespans!$B18,0)</f>
        <v>Near Earth Robotic - GEO and Near Earth</v>
      </c>
      <c r="F18" s="85" t="str">
        <f>IF(DTE_Lifespans_existing!F18=1,Use_case_lifespans!$B18,0)</f>
        <v>Near Earth Robotic - GEO and Near Earth</v>
      </c>
      <c r="G18" s="85" t="str">
        <f>IF(DTE_Lifespans_existing!G18=1,Use_case_lifespans!$B18,0)</f>
        <v>Near Earth Robotic - GEO and Near Earth</v>
      </c>
      <c r="H18" s="85" t="str">
        <f>IF(DTE_Lifespans_existing!H18=1,Use_case_lifespans!$B18,0)</f>
        <v>Near Earth Robotic - GEO and Near Earth</v>
      </c>
      <c r="I18" s="85" t="str">
        <f>IF(DTE_Lifespans_existing!I18=1,Use_case_lifespans!$B18,0)</f>
        <v>Near Earth Robotic - GEO and Near Earth</v>
      </c>
      <c r="J18" s="85" t="str">
        <f>IF(DTE_Lifespans_existing!J18=1,Use_case_lifespans!$B18,0)</f>
        <v>Near Earth Robotic - GEO and Near Earth</v>
      </c>
      <c r="K18" s="85" t="str">
        <f>IF(DTE_Lifespans_existing!K18=1,Use_case_lifespans!$B18,0)</f>
        <v>Near Earth Robotic - GEO and Near Earth</v>
      </c>
      <c r="L18" s="85" t="str">
        <f>IF(DTE_Lifespans_existing!L18=1,Use_case_lifespans!$B18,0)</f>
        <v>Near Earth Robotic - GEO and Near Earth</v>
      </c>
      <c r="M18" s="85" t="str">
        <f>IF(DTE_Lifespans_existing!M18=1,Use_case_lifespans!$B18,0)</f>
        <v>Near Earth Robotic - GEO and Near Earth</v>
      </c>
      <c r="N18" s="85" t="str">
        <f>IF(DTE_Lifespans_existing!N18=1,Use_case_lifespans!$B18,0)</f>
        <v>Near Earth Robotic - GEO and Near Earth</v>
      </c>
      <c r="O18" s="85" t="str">
        <f>IF(DTE_Lifespans_existing!O18=1,Use_case_lifespans!$B18,0)</f>
        <v>Near Earth Robotic - GEO and Near Earth</v>
      </c>
      <c r="P18" s="85" t="str">
        <f>IF(DTE_Lifespans_existing!P18=1,Use_case_lifespans!$B18,0)</f>
        <v>Near Earth Robotic - GEO and Near Earth</v>
      </c>
      <c r="Q18" s="85" t="str">
        <f>IF(DTE_Lifespans_existing!Q18=1,Use_case_lifespans!$B18,0)</f>
        <v>Near Earth Robotic - GEO and Near Earth</v>
      </c>
      <c r="R18" s="85" t="str">
        <f>IF(DTE_Lifespans_existing!R18=1,Use_case_lifespans!$B18,0)</f>
        <v>Near Earth Robotic - GEO and Near Earth</v>
      </c>
      <c r="S18" s="85" t="str">
        <f>IF(DTE_Lifespans_existing!S18=1,Use_case_lifespans!$B18,0)</f>
        <v>Near Earth Robotic - GEO and Near Earth</v>
      </c>
      <c r="T18" s="85" t="str">
        <f>IF(DTE_Lifespans_existing!T18=1,Use_case_lifespans!$B18,0)</f>
        <v>Near Earth Robotic - GEO and Near Earth</v>
      </c>
      <c r="U18" s="85" t="str">
        <f>IF(DTE_Lifespans_existing!U18=1,Use_case_lifespans!$B18,0)</f>
        <v>Near Earth Robotic - GEO and Near Earth</v>
      </c>
      <c r="V18" s="85" t="str">
        <f>IF(DTE_Lifespans_existing!V18=1,Use_case_lifespans!$B18,0)</f>
        <v>Near Earth Robotic - GEO and Near Earth</v>
      </c>
    </row>
    <row r="19" spans="1:22" x14ac:dyDescent="0.3">
      <c r="A19" s="29" t="s">
        <v>20</v>
      </c>
      <c r="B19" s="30" t="s">
        <v>41</v>
      </c>
      <c r="C19" s="85" t="str">
        <f>IF(DTE_Lifespans_existing!C19=1,Use_case_lifespans!$B19,0)</f>
        <v>Near Earth Robotic - LEO Science</v>
      </c>
      <c r="D19" s="85" t="str">
        <f>IF(DTE_Lifespans_existing!D19=1,Use_case_lifespans!$B19,0)</f>
        <v>Near Earth Robotic - LEO Science</v>
      </c>
      <c r="E19" s="85" t="str">
        <f>IF(DTE_Lifespans_existing!E19=1,Use_case_lifespans!$B19,0)</f>
        <v>Near Earth Robotic - LEO Science</v>
      </c>
      <c r="F19" s="85" t="str">
        <f>IF(DTE_Lifespans_existing!F19=1,Use_case_lifespans!$B19,0)</f>
        <v>Near Earth Robotic - LEO Science</v>
      </c>
      <c r="G19" s="85" t="str">
        <f>IF(DTE_Lifespans_existing!G19=1,Use_case_lifespans!$B19,0)</f>
        <v>Near Earth Robotic - LEO Science</v>
      </c>
      <c r="H19" s="85" t="str">
        <f>IF(DTE_Lifespans_existing!H19=1,Use_case_lifespans!$B19,0)</f>
        <v>Near Earth Robotic - LEO Science</v>
      </c>
      <c r="I19" s="85" t="str">
        <f>IF(DTE_Lifespans_existing!I19=1,Use_case_lifespans!$B19,0)</f>
        <v>Near Earth Robotic - LEO Science</v>
      </c>
      <c r="J19" s="85" t="str">
        <f>IF(DTE_Lifespans_existing!J19=1,Use_case_lifespans!$B19,0)</f>
        <v>Near Earth Robotic - LEO Science</v>
      </c>
      <c r="K19" s="85" t="str">
        <f>IF(DTE_Lifespans_existing!K19=1,Use_case_lifespans!$B19,0)</f>
        <v>Near Earth Robotic - LEO Science</v>
      </c>
      <c r="L19" s="85" t="str">
        <f>IF(DTE_Lifespans_existing!L19=1,Use_case_lifespans!$B19,0)</f>
        <v>Near Earth Robotic - LEO Science</v>
      </c>
      <c r="M19" s="85" t="str">
        <f>IF(DTE_Lifespans_existing!M19=1,Use_case_lifespans!$B19,0)</f>
        <v>Near Earth Robotic - LEO Science</v>
      </c>
      <c r="N19" s="85" t="str">
        <f>IF(DTE_Lifespans_existing!N19=1,Use_case_lifespans!$B19,0)</f>
        <v>Near Earth Robotic - LEO Science</v>
      </c>
      <c r="O19" s="85" t="str">
        <f>IF(DTE_Lifespans_existing!O19=1,Use_case_lifespans!$B19,0)</f>
        <v>Near Earth Robotic - LEO Science</v>
      </c>
      <c r="P19" s="85" t="str">
        <f>IF(DTE_Lifespans_existing!P19=1,Use_case_lifespans!$B19,0)</f>
        <v>Near Earth Robotic - LEO Science</v>
      </c>
      <c r="Q19" s="85" t="str">
        <f>IF(DTE_Lifespans_existing!Q19=1,Use_case_lifespans!$B19,0)</f>
        <v>Near Earth Robotic - LEO Science</v>
      </c>
      <c r="R19" s="85" t="str">
        <f>IF(DTE_Lifespans_existing!R19=1,Use_case_lifespans!$B19,0)</f>
        <v>Near Earth Robotic - LEO Science</v>
      </c>
      <c r="S19" s="85" t="str">
        <f>IF(DTE_Lifespans_existing!S19=1,Use_case_lifespans!$B19,0)</f>
        <v>Near Earth Robotic - LEO Science</v>
      </c>
      <c r="T19" s="85" t="str">
        <f>IF(DTE_Lifespans_existing!T19=1,Use_case_lifespans!$B19,0)</f>
        <v>Near Earth Robotic - LEO Science</v>
      </c>
      <c r="U19" s="85" t="str">
        <f>IF(DTE_Lifespans_existing!U19=1,Use_case_lifespans!$B19,0)</f>
        <v>Near Earth Robotic - LEO Science</v>
      </c>
      <c r="V19" s="85" t="str">
        <f>IF(DTE_Lifespans_existing!V19=1,Use_case_lifespans!$B19,0)</f>
        <v>Near Earth Robotic - LEO Science</v>
      </c>
    </row>
    <row r="20" spans="1:22" x14ac:dyDescent="0.3">
      <c r="A20" s="29" t="s">
        <v>21</v>
      </c>
      <c r="B20" s="30" t="s">
        <v>41</v>
      </c>
      <c r="C20" s="85" t="str">
        <f>IF(DTE_Lifespans_existing!C20=1,Use_case_lifespans!$B20,0)</f>
        <v>Near Earth Robotic - LEO Science</v>
      </c>
      <c r="D20" s="85" t="str">
        <f>IF(DTE_Lifespans_existing!D20=1,Use_case_lifespans!$B20,0)</f>
        <v>Near Earth Robotic - LEO Science</v>
      </c>
      <c r="E20" s="85" t="str">
        <f>IF(DTE_Lifespans_existing!E20=1,Use_case_lifespans!$B20,0)</f>
        <v>Near Earth Robotic - LEO Science</v>
      </c>
      <c r="F20" s="85" t="str">
        <f>IF(DTE_Lifespans_existing!F20=1,Use_case_lifespans!$B20,0)</f>
        <v>Near Earth Robotic - LEO Science</v>
      </c>
      <c r="G20" s="85" t="str">
        <f>IF(DTE_Lifespans_existing!G20=1,Use_case_lifespans!$B20,0)</f>
        <v>Near Earth Robotic - LEO Science</v>
      </c>
      <c r="H20" s="85">
        <f>IF(DTE_Lifespans_existing!H20=1,Use_case_lifespans!$B20,0)</f>
        <v>0</v>
      </c>
      <c r="I20" s="85">
        <f>IF(DTE_Lifespans_existing!I20=1,Use_case_lifespans!$B20,0)</f>
        <v>0</v>
      </c>
      <c r="J20" s="85">
        <f>IF(DTE_Lifespans_existing!J20=1,Use_case_lifespans!$B20,0)</f>
        <v>0</v>
      </c>
      <c r="K20" s="85">
        <f>IF(DTE_Lifespans_existing!K20=1,Use_case_lifespans!$B20,0)</f>
        <v>0</v>
      </c>
      <c r="L20" s="85">
        <f>IF(DTE_Lifespans_existing!L20=1,Use_case_lifespans!$B20,0)</f>
        <v>0</v>
      </c>
      <c r="M20" s="85">
        <f>IF(DTE_Lifespans_existing!M20=1,Use_case_lifespans!$B20,0)</f>
        <v>0</v>
      </c>
      <c r="N20" s="85">
        <f>IF(DTE_Lifespans_existing!N20=1,Use_case_lifespans!$B20,0)</f>
        <v>0</v>
      </c>
      <c r="O20" s="85">
        <f>IF(DTE_Lifespans_existing!O20=1,Use_case_lifespans!$B20,0)</f>
        <v>0</v>
      </c>
      <c r="P20" s="85">
        <f>IF(DTE_Lifespans_existing!P20=1,Use_case_lifespans!$B20,0)</f>
        <v>0</v>
      </c>
      <c r="Q20" s="85">
        <f>IF(DTE_Lifespans_existing!Q20=1,Use_case_lifespans!$B20,0)</f>
        <v>0</v>
      </c>
      <c r="R20" s="85">
        <f>IF(DTE_Lifespans_existing!R20=1,Use_case_lifespans!$B20,0)</f>
        <v>0</v>
      </c>
      <c r="S20" s="85">
        <f>IF(DTE_Lifespans_existing!S20=1,Use_case_lifespans!$B20,0)</f>
        <v>0</v>
      </c>
      <c r="T20" s="85">
        <f>IF(DTE_Lifespans_existing!T20=1,Use_case_lifespans!$B20,0)</f>
        <v>0</v>
      </c>
      <c r="U20" s="85">
        <f>IF(DTE_Lifespans_existing!U20=1,Use_case_lifespans!$B20,0)</f>
        <v>0</v>
      </c>
      <c r="V20" s="85">
        <f>IF(DTE_Lifespans_existing!V20=1,Use_case_lifespans!$B20,0)</f>
        <v>0</v>
      </c>
    </row>
    <row r="21" spans="1:22" x14ac:dyDescent="0.3">
      <c r="A21" s="29" t="s">
        <v>24</v>
      </c>
      <c r="B21" s="42" t="s">
        <v>42</v>
      </c>
      <c r="C21" s="85">
        <f>IF(DTE_Lifespans_existing!C21=1,Use_case_lifespans!$B21,0)</f>
        <v>0</v>
      </c>
      <c r="D21" s="85">
        <f>IF(DTE_Lifespans_existing!D21=1,Use_case_lifespans!$B21,0)</f>
        <v>0</v>
      </c>
      <c r="E21" s="85">
        <f>IF(DTE_Lifespans_existing!E21=1,Use_case_lifespans!$B21,0)</f>
        <v>0</v>
      </c>
      <c r="F21" s="85">
        <f>IF(DTE_Lifespans_existing!F21=1,Use_case_lifespans!$B21,0)</f>
        <v>0</v>
      </c>
      <c r="G21" s="85">
        <f>IF(DTE_Lifespans_existing!G21=1,Use_case_lifespans!$B21,0)</f>
        <v>0</v>
      </c>
      <c r="H21" s="85">
        <f>IF(DTE_Lifespans_existing!H21=1,Use_case_lifespans!$B21,0)</f>
        <v>0</v>
      </c>
      <c r="I21" s="85">
        <f>IF(DTE_Lifespans_existing!I21=1,Use_case_lifespans!$B21,0)</f>
        <v>0</v>
      </c>
      <c r="J21" s="85">
        <f>IF(DTE_Lifespans_existing!J21=1,Use_case_lifespans!$B21,0)</f>
        <v>0</v>
      </c>
      <c r="K21" s="85">
        <f>IF(DTE_Lifespans_existing!K21=1,Use_case_lifespans!$B21,0)</f>
        <v>0</v>
      </c>
      <c r="L21" s="85">
        <f>IF(DTE_Lifespans_existing!L21=1,Use_case_lifespans!$B21,0)</f>
        <v>0</v>
      </c>
      <c r="M21" s="85">
        <f>IF(DTE_Lifespans_existing!M21=1,Use_case_lifespans!$B21,0)</f>
        <v>0</v>
      </c>
      <c r="N21" s="85">
        <f>IF(DTE_Lifespans_existing!N21=1,Use_case_lifespans!$B21,0)</f>
        <v>0</v>
      </c>
      <c r="O21" s="85">
        <f>IF(DTE_Lifespans_existing!O21=1,Use_case_lifespans!$B21,0)</f>
        <v>0</v>
      </c>
      <c r="P21" s="85">
        <f>IF(DTE_Lifespans_existing!P21=1,Use_case_lifespans!$B21,0)</f>
        <v>0</v>
      </c>
      <c r="Q21" s="85">
        <f>IF(DTE_Lifespans_existing!Q21=1,Use_case_lifespans!$B21,0)</f>
        <v>0</v>
      </c>
      <c r="R21" s="85">
        <f>IF(DTE_Lifespans_existing!R21=1,Use_case_lifespans!$B21,0)</f>
        <v>0</v>
      </c>
      <c r="S21" s="85">
        <f>IF(DTE_Lifespans_existing!S21=1,Use_case_lifespans!$B21,0)</f>
        <v>0</v>
      </c>
      <c r="T21" s="85">
        <f>IF(DTE_Lifespans_existing!T21=1,Use_case_lifespans!$B21,0)</f>
        <v>0</v>
      </c>
      <c r="U21" s="85">
        <f>IF(DTE_Lifespans_existing!U21=1,Use_case_lifespans!$B21,0)</f>
        <v>0</v>
      </c>
      <c r="V21" s="85">
        <f>IF(DTE_Lifespans_existing!V21=1,Use_case_lifespans!$B21,0)</f>
        <v>0</v>
      </c>
    </row>
    <row r="22" spans="1:22" x14ac:dyDescent="0.3">
      <c r="A22" s="29" t="s">
        <v>57</v>
      </c>
      <c r="B22" s="30" t="s">
        <v>41</v>
      </c>
      <c r="C22" s="85" t="str">
        <f>IF(DTE_Lifespans_existing!C22=1,Use_case_lifespans!$B22,0)</f>
        <v>Near Earth Robotic - LEO Science</v>
      </c>
      <c r="D22" s="85" t="str">
        <f>IF(DTE_Lifespans_existing!D22=1,Use_case_lifespans!$B22,0)</f>
        <v>Near Earth Robotic - LEO Science</v>
      </c>
      <c r="E22" s="85" t="str">
        <f>IF(DTE_Lifespans_existing!E22=1,Use_case_lifespans!$B22,0)</f>
        <v>Near Earth Robotic - LEO Science</v>
      </c>
      <c r="F22" s="85" t="str">
        <f>IF(DTE_Lifespans_existing!F22=1,Use_case_lifespans!$B22,0)</f>
        <v>Near Earth Robotic - LEO Science</v>
      </c>
      <c r="G22" s="85" t="str">
        <f>IF(DTE_Lifespans_existing!G22=1,Use_case_lifespans!$B22,0)</f>
        <v>Near Earth Robotic - LEO Science</v>
      </c>
      <c r="H22" s="85">
        <f>IF(DTE_Lifespans_existing!H22=1,Use_case_lifespans!$B22,0)</f>
        <v>0</v>
      </c>
      <c r="I22" s="85">
        <f>IF(DTE_Lifespans_existing!I22=1,Use_case_lifespans!$B22,0)</f>
        <v>0</v>
      </c>
      <c r="J22" s="85">
        <f>IF(DTE_Lifespans_existing!J22=1,Use_case_lifespans!$B22,0)</f>
        <v>0</v>
      </c>
      <c r="K22" s="85">
        <f>IF(DTE_Lifespans_existing!K22=1,Use_case_lifespans!$B22,0)</f>
        <v>0</v>
      </c>
      <c r="L22" s="85">
        <f>IF(DTE_Lifespans_existing!L22=1,Use_case_lifespans!$B22,0)</f>
        <v>0</v>
      </c>
      <c r="M22" s="85">
        <f>IF(DTE_Lifespans_existing!M22=1,Use_case_lifespans!$B22,0)</f>
        <v>0</v>
      </c>
      <c r="N22" s="85">
        <f>IF(DTE_Lifespans_existing!N22=1,Use_case_lifespans!$B22,0)</f>
        <v>0</v>
      </c>
      <c r="O22" s="85">
        <f>IF(DTE_Lifespans_existing!O22=1,Use_case_lifespans!$B22,0)</f>
        <v>0</v>
      </c>
      <c r="P22" s="85">
        <f>IF(DTE_Lifespans_existing!P22=1,Use_case_lifespans!$B22,0)</f>
        <v>0</v>
      </c>
      <c r="Q22" s="85">
        <f>IF(DTE_Lifespans_existing!Q22=1,Use_case_lifespans!$B22,0)</f>
        <v>0</v>
      </c>
      <c r="R22" s="85">
        <f>IF(DTE_Lifespans_existing!R22=1,Use_case_lifespans!$B22,0)</f>
        <v>0</v>
      </c>
      <c r="S22" s="85">
        <f>IF(DTE_Lifespans_existing!S22=1,Use_case_lifespans!$B22,0)</f>
        <v>0</v>
      </c>
      <c r="T22" s="85">
        <f>IF(DTE_Lifespans_existing!T22=1,Use_case_lifespans!$B22,0)</f>
        <v>0</v>
      </c>
      <c r="U22" s="85">
        <f>IF(DTE_Lifespans_existing!U22=1,Use_case_lifespans!$B22,0)</f>
        <v>0</v>
      </c>
      <c r="V22" s="85">
        <f>IF(DTE_Lifespans_existing!V22=1,Use_case_lifespans!$B22,0)</f>
        <v>0</v>
      </c>
    </row>
    <row r="23" spans="1:22" x14ac:dyDescent="0.3">
      <c r="A23" s="29" t="s">
        <v>22</v>
      </c>
      <c r="B23" s="30" t="s">
        <v>41</v>
      </c>
      <c r="C23" s="85" t="str">
        <f>IF(DTE_Lifespans_existing!C23=1,Use_case_lifespans!$B23,0)</f>
        <v>Near Earth Robotic - LEO Science</v>
      </c>
      <c r="D23" s="85" t="str">
        <f>IF(DTE_Lifespans_existing!D23=1,Use_case_lifespans!$B23,0)</f>
        <v>Near Earth Robotic - LEO Science</v>
      </c>
      <c r="E23" s="85" t="str">
        <f>IF(DTE_Lifespans_existing!E23=1,Use_case_lifespans!$B23,0)</f>
        <v>Near Earth Robotic - LEO Science</v>
      </c>
      <c r="F23" s="85" t="str">
        <f>IF(DTE_Lifespans_existing!F23=1,Use_case_lifespans!$B23,0)</f>
        <v>Near Earth Robotic - LEO Science</v>
      </c>
      <c r="G23" s="85">
        <f>IF(DTE_Lifespans_existing!G23=1,Use_case_lifespans!$B23,0)</f>
        <v>0</v>
      </c>
      <c r="H23" s="85">
        <f>IF(DTE_Lifespans_existing!H23=1,Use_case_lifespans!$B23,0)</f>
        <v>0</v>
      </c>
      <c r="I23" s="85">
        <f>IF(DTE_Lifespans_existing!I23=1,Use_case_lifespans!$B23,0)</f>
        <v>0</v>
      </c>
      <c r="J23" s="85">
        <f>IF(DTE_Lifespans_existing!J23=1,Use_case_lifespans!$B23,0)</f>
        <v>0</v>
      </c>
      <c r="K23" s="85">
        <f>IF(DTE_Lifespans_existing!K23=1,Use_case_lifespans!$B23,0)</f>
        <v>0</v>
      </c>
      <c r="L23" s="85">
        <f>IF(DTE_Lifespans_existing!L23=1,Use_case_lifespans!$B23,0)</f>
        <v>0</v>
      </c>
      <c r="M23" s="85">
        <f>IF(DTE_Lifespans_existing!M23=1,Use_case_lifespans!$B23,0)</f>
        <v>0</v>
      </c>
      <c r="N23" s="85">
        <f>IF(DTE_Lifespans_existing!N23=1,Use_case_lifespans!$B23,0)</f>
        <v>0</v>
      </c>
      <c r="O23" s="85">
        <f>IF(DTE_Lifespans_existing!O23=1,Use_case_lifespans!$B23,0)</f>
        <v>0</v>
      </c>
      <c r="P23" s="85">
        <f>IF(DTE_Lifespans_existing!P23=1,Use_case_lifespans!$B23,0)</f>
        <v>0</v>
      </c>
      <c r="Q23" s="85">
        <f>IF(DTE_Lifespans_existing!Q23=1,Use_case_lifespans!$B23,0)</f>
        <v>0</v>
      </c>
      <c r="R23" s="85">
        <f>IF(DTE_Lifespans_existing!R23=1,Use_case_lifespans!$B23,0)</f>
        <v>0</v>
      </c>
      <c r="S23" s="85">
        <f>IF(DTE_Lifespans_existing!S23=1,Use_case_lifespans!$B23,0)</f>
        <v>0</v>
      </c>
      <c r="T23" s="85">
        <f>IF(DTE_Lifespans_existing!T23=1,Use_case_lifespans!$B23,0)</f>
        <v>0</v>
      </c>
      <c r="U23" s="85">
        <f>IF(DTE_Lifespans_existing!U23=1,Use_case_lifespans!$B23,0)</f>
        <v>0</v>
      </c>
      <c r="V23" s="85">
        <f>IF(DTE_Lifespans_existing!V23=1,Use_case_lifespans!$B23,0)</f>
        <v>0</v>
      </c>
    </row>
    <row r="24" spans="1:22" x14ac:dyDescent="0.3">
      <c r="A24" s="29" t="s">
        <v>23</v>
      </c>
      <c r="B24" s="37" t="s">
        <v>43</v>
      </c>
      <c r="C24" s="85" t="str">
        <f>IF(DTE_Lifespans_existing!C24=1,Use_case_lifespans!$B24,0)</f>
        <v>Human Space Flight</v>
      </c>
      <c r="D24" s="85" t="str">
        <f>IF(DTE_Lifespans_existing!D24=1,Use_case_lifespans!$B24,0)</f>
        <v>Human Space Flight</v>
      </c>
      <c r="E24" s="85" t="str">
        <f>IF(DTE_Lifespans_existing!E24=1,Use_case_lifespans!$B24,0)</f>
        <v>Human Space Flight</v>
      </c>
      <c r="F24" s="85" t="str">
        <f>IF(DTE_Lifespans_existing!F24=1,Use_case_lifespans!$B24,0)</f>
        <v>Human Space Flight</v>
      </c>
      <c r="G24" s="85" t="str">
        <f>IF(DTE_Lifespans_existing!G24=1,Use_case_lifespans!$B24,0)</f>
        <v>Human Space Flight</v>
      </c>
      <c r="H24" s="85" t="str">
        <f>IF(DTE_Lifespans_existing!H24=1,Use_case_lifespans!$B24,0)</f>
        <v>Human Space Flight</v>
      </c>
      <c r="I24" s="85" t="str">
        <f>IF(DTE_Lifespans_existing!I24=1,Use_case_lifespans!$B24,0)</f>
        <v>Human Space Flight</v>
      </c>
      <c r="J24" s="85" t="str">
        <f>IF(DTE_Lifespans_existing!J24=1,Use_case_lifespans!$B24,0)</f>
        <v>Human Space Flight</v>
      </c>
      <c r="K24" s="85" t="str">
        <f>IF(DTE_Lifespans_existing!K24=1,Use_case_lifespans!$B24,0)</f>
        <v>Human Space Flight</v>
      </c>
      <c r="L24" s="85" t="str">
        <f>IF(DTE_Lifespans_existing!L24=1,Use_case_lifespans!$B24,0)</f>
        <v>Human Space Flight</v>
      </c>
      <c r="M24" s="85">
        <f>IF(DTE_Lifespans_existing!M24=1,Use_case_lifespans!$B24,0)</f>
        <v>0</v>
      </c>
      <c r="N24" s="85">
        <f>IF(DTE_Lifespans_existing!N24=1,Use_case_lifespans!$B24,0)</f>
        <v>0</v>
      </c>
      <c r="O24" s="85">
        <f>IF(DTE_Lifespans_existing!O24=1,Use_case_lifespans!$B24,0)</f>
        <v>0</v>
      </c>
      <c r="P24" s="85">
        <f>IF(DTE_Lifespans_existing!P24=1,Use_case_lifespans!$B24,0)</f>
        <v>0</v>
      </c>
      <c r="Q24" s="85">
        <f>IF(DTE_Lifespans_existing!Q24=1,Use_case_lifespans!$B24,0)</f>
        <v>0</v>
      </c>
      <c r="R24" s="85">
        <f>IF(DTE_Lifespans_existing!R24=1,Use_case_lifespans!$B24,0)</f>
        <v>0</v>
      </c>
      <c r="S24" s="85">
        <f>IF(DTE_Lifespans_existing!S24=1,Use_case_lifespans!$B24,0)</f>
        <v>0</v>
      </c>
      <c r="T24" s="85">
        <f>IF(DTE_Lifespans_existing!T24=1,Use_case_lifespans!$B24,0)</f>
        <v>0</v>
      </c>
      <c r="U24" s="85">
        <f>IF(DTE_Lifespans_existing!U24=1,Use_case_lifespans!$B24,0)</f>
        <v>0</v>
      </c>
      <c r="V24" s="85">
        <f>IF(DTE_Lifespans_existing!V24=1,Use_case_lifespans!$B24,0)</f>
        <v>0</v>
      </c>
    </row>
    <row r="25" spans="1:22" x14ac:dyDescent="0.3">
      <c r="A25" s="29" t="s">
        <v>25</v>
      </c>
      <c r="B25" s="30" t="s">
        <v>44</v>
      </c>
      <c r="C25" s="85" t="str">
        <f>IF(DTE_Lifespans_existing!C25=1,Use_case_lifespans!$B25,0)</f>
        <v>Near Earth Robotic - Low Latency &amp; Complex Needs</v>
      </c>
      <c r="D25" s="85" t="str">
        <f>IF(DTE_Lifespans_existing!D25=1,Use_case_lifespans!$B25,0)</f>
        <v>Near Earth Robotic - Low Latency &amp; Complex Needs</v>
      </c>
      <c r="E25" s="85" t="str">
        <f>IF(DTE_Lifespans_existing!E25=1,Use_case_lifespans!$B25,0)</f>
        <v>Near Earth Robotic - Low Latency &amp; Complex Needs</v>
      </c>
      <c r="F25" s="85" t="str">
        <f>IF(DTE_Lifespans_existing!F25=1,Use_case_lifespans!$B25,0)</f>
        <v>Near Earth Robotic - Low Latency &amp; Complex Needs</v>
      </c>
      <c r="G25" s="85">
        <f>IF(DTE_Lifespans_existing!G25=1,Use_case_lifespans!$B25,0)</f>
        <v>0</v>
      </c>
      <c r="H25" s="85">
        <f>IF(DTE_Lifespans_existing!H25=1,Use_case_lifespans!$B25,0)</f>
        <v>0</v>
      </c>
      <c r="I25" s="85">
        <f>IF(DTE_Lifespans_existing!I25=1,Use_case_lifespans!$B25,0)</f>
        <v>0</v>
      </c>
      <c r="J25" s="85">
        <f>IF(DTE_Lifespans_existing!J25=1,Use_case_lifespans!$B25,0)</f>
        <v>0</v>
      </c>
      <c r="K25" s="85">
        <f>IF(DTE_Lifespans_existing!K25=1,Use_case_lifespans!$B25,0)</f>
        <v>0</v>
      </c>
      <c r="L25" s="85">
        <f>IF(DTE_Lifespans_existing!L25=1,Use_case_lifespans!$B25,0)</f>
        <v>0</v>
      </c>
      <c r="M25" s="85">
        <f>IF(DTE_Lifespans_existing!M25=1,Use_case_lifespans!$B25,0)</f>
        <v>0</v>
      </c>
      <c r="N25" s="85">
        <f>IF(DTE_Lifespans_existing!N25=1,Use_case_lifespans!$B25,0)</f>
        <v>0</v>
      </c>
      <c r="O25" s="85">
        <f>IF(DTE_Lifespans_existing!O25=1,Use_case_lifespans!$B25,0)</f>
        <v>0</v>
      </c>
      <c r="P25" s="85">
        <f>IF(DTE_Lifespans_existing!P25=1,Use_case_lifespans!$B25,0)</f>
        <v>0</v>
      </c>
      <c r="Q25" s="85">
        <f>IF(DTE_Lifespans_existing!Q25=1,Use_case_lifespans!$B25,0)</f>
        <v>0</v>
      </c>
      <c r="R25" s="85">
        <f>IF(DTE_Lifespans_existing!R25=1,Use_case_lifespans!$B25,0)</f>
        <v>0</v>
      </c>
      <c r="S25" s="85">
        <f>IF(DTE_Lifespans_existing!S25=1,Use_case_lifespans!$B25,0)</f>
        <v>0</v>
      </c>
      <c r="T25" s="85">
        <f>IF(DTE_Lifespans_existing!T25=1,Use_case_lifespans!$B25,0)</f>
        <v>0</v>
      </c>
      <c r="U25" s="85">
        <f>IF(DTE_Lifespans_existing!U25=1,Use_case_lifespans!$B25,0)</f>
        <v>0</v>
      </c>
      <c r="V25" s="85">
        <f>IF(DTE_Lifespans_existing!V25=1,Use_case_lifespans!$B25,0)</f>
        <v>0</v>
      </c>
    </row>
    <row r="26" spans="1:22" x14ac:dyDescent="0.3">
      <c r="A26" s="29" t="s">
        <v>58</v>
      </c>
      <c r="B26" s="30" t="s">
        <v>41</v>
      </c>
      <c r="C26" s="85" t="str">
        <f>IF(DTE_Lifespans_existing!C26=1,Use_case_lifespans!$B26,0)</f>
        <v>Near Earth Robotic - LEO Science</v>
      </c>
      <c r="D26" s="85">
        <f>IF(DTE_Lifespans_existing!D26=1,Use_case_lifespans!$B26,0)</f>
        <v>0</v>
      </c>
      <c r="E26" s="85">
        <f>IF(DTE_Lifespans_existing!E26=1,Use_case_lifespans!$B26,0)</f>
        <v>0</v>
      </c>
      <c r="F26" s="85">
        <f>IF(DTE_Lifespans_existing!F26=1,Use_case_lifespans!$B26,0)</f>
        <v>0</v>
      </c>
      <c r="G26" s="85">
        <f>IF(DTE_Lifespans_existing!G26=1,Use_case_lifespans!$B26,0)</f>
        <v>0</v>
      </c>
      <c r="H26" s="85">
        <f>IF(DTE_Lifespans_existing!H26=1,Use_case_lifespans!$B26,0)</f>
        <v>0</v>
      </c>
      <c r="I26" s="85">
        <f>IF(DTE_Lifespans_existing!I26=1,Use_case_lifespans!$B26,0)</f>
        <v>0</v>
      </c>
      <c r="J26" s="85">
        <f>IF(DTE_Lifespans_existing!J26=1,Use_case_lifespans!$B26,0)</f>
        <v>0</v>
      </c>
      <c r="K26" s="85">
        <f>IF(DTE_Lifespans_existing!K26=1,Use_case_lifespans!$B26,0)</f>
        <v>0</v>
      </c>
      <c r="L26" s="85">
        <f>IF(DTE_Lifespans_existing!L26=1,Use_case_lifespans!$B26,0)</f>
        <v>0</v>
      </c>
      <c r="M26" s="85">
        <f>IF(DTE_Lifespans_existing!M26=1,Use_case_lifespans!$B26,0)</f>
        <v>0</v>
      </c>
      <c r="N26" s="85">
        <f>IF(DTE_Lifespans_existing!N26=1,Use_case_lifespans!$B26,0)</f>
        <v>0</v>
      </c>
      <c r="O26" s="85">
        <f>IF(DTE_Lifespans_existing!O26=1,Use_case_lifespans!$B26,0)</f>
        <v>0</v>
      </c>
      <c r="P26" s="85">
        <f>IF(DTE_Lifespans_existing!P26=1,Use_case_lifespans!$B26,0)</f>
        <v>0</v>
      </c>
      <c r="Q26" s="85">
        <f>IF(DTE_Lifespans_existing!Q26=1,Use_case_lifespans!$B26,0)</f>
        <v>0</v>
      </c>
      <c r="R26" s="85">
        <f>IF(DTE_Lifespans_existing!R26=1,Use_case_lifespans!$B26,0)</f>
        <v>0</v>
      </c>
      <c r="S26" s="85">
        <f>IF(DTE_Lifespans_existing!S26=1,Use_case_lifespans!$B26,0)</f>
        <v>0</v>
      </c>
      <c r="T26" s="85">
        <f>IF(DTE_Lifespans_existing!T26=1,Use_case_lifespans!$B26,0)</f>
        <v>0</v>
      </c>
      <c r="U26" s="85">
        <f>IF(DTE_Lifespans_existing!U26=1,Use_case_lifespans!$B26,0)</f>
        <v>0</v>
      </c>
      <c r="V26" s="85">
        <f>IF(DTE_Lifespans_existing!V26=1,Use_case_lifespans!$B26,0)</f>
        <v>0</v>
      </c>
    </row>
    <row r="27" spans="1:22" x14ac:dyDescent="0.3">
      <c r="A27" s="29" t="s">
        <v>59</v>
      </c>
      <c r="B27" s="30" t="s">
        <v>41</v>
      </c>
      <c r="C27" s="85" t="str">
        <f>IF(DTE_Lifespans_existing!C27=1,Use_case_lifespans!$B27,0)</f>
        <v>Near Earth Robotic - LEO Science</v>
      </c>
      <c r="D27" s="85" t="str">
        <f>IF(DTE_Lifespans_existing!D27=1,Use_case_lifespans!$B27,0)</f>
        <v>Near Earth Robotic - LEO Science</v>
      </c>
      <c r="E27" s="85" t="str">
        <f>IF(DTE_Lifespans_existing!E27=1,Use_case_lifespans!$B27,0)</f>
        <v>Near Earth Robotic - LEO Science</v>
      </c>
      <c r="F27" s="85">
        <f>IF(DTE_Lifespans_existing!F27=1,Use_case_lifespans!$B27,0)</f>
        <v>0</v>
      </c>
      <c r="G27" s="85">
        <f>IF(DTE_Lifespans_existing!G27=1,Use_case_lifespans!$B27,0)</f>
        <v>0</v>
      </c>
      <c r="H27" s="85">
        <f>IF(DTE_Lifespans_existing!H27=1,Use_case_lifespans!$B27,0)</f>
        <v>0</v>
      </c>
      <c r="I27" s="85">
        <f>IF(DTE_Lifespans_existing!I27=1,Use_case_lifespans!$B27,0)</f>
        <v>0</v>
      </c>
      <c r="J27" s="85">
        <f>IF(DTE_Lifespans_existing!J27=1,Use_case_lifespans!$B27,0)</f>
        <v>0</v>
      </c>
      <c r="K27" s="85">
        <f>IF(DTE_Lifespans_existing!K27=1,Use_case_lifespans!$B27,0)</f>
        <v>0</v>
      </c>
      <c r="L27" s="85">
        <f>IF(DTE_Lifespans_existing!L27=1,Use_case_lifespans!$B27,0)</f>
        <v>0</v>
      </c>
      <c r="M27" s="85">
        <f>IF(DTE_Lifespans_existing!M27=1,Use_case_lifespans!$B27,0)</f>
        <v>0</v>
      </c>
      <c r="N27" s="85">
        <f>IF(DTE_Lifespans_existing!N27=1,Use_case_lifespans!$B27,0)</f>
        <v>0</v>
      </c>
      <c r="O27" s="85">
        <f>IF(DTE_Lifespans_existing!O27=1,Use_case_lifespans!$B27,0)</f>
        <v>0</v>
      </c>
      <c r="P27" s="85">
        <f>IF(DTE_Lifespans_existing!P27=1,Use_case_lifespans!$B27,0)</f>
        <v>0</v>
      </c>
      <c r="Q27" s="85">
        <f>IF(DTE_Lifespans_existing!Q27=1,Use_case_lifespans!$B27,0)</f>
        <v>0</v>
      </c>
      <c r="R27" s="85">
        <f>IF(DTE_Lifespans_existing!R27=1,Use_case_lifespans!$B27,0)</f>
        <v>0</v>
      </c>
      <c r="S27" s="85">
        <f>IF(DTE_Lifespans_existing!S27=1,Use_case_lifespans!$B27,0)</f>
        <v>0</v>
      </c>
      <c r="T27" s="85">
        <f>IF(DTE_Lifespans_existing!T27=1,Use_case_lifespans!$B27,0)</f>
        <v>0</v>
      </c>
      <c r="U27" s="85">
        <f>IF(DTE_Lifespans_existing!U27=1,Use_case_lifespans!$B27,0)</f>
        <v>0</v>
      </c>
      <c r="V27" s="85">
        <f>IF(DTE_Lifespans_existing!V27=1,Use_case_lifespans!$B27,0)</f>
        <v>0</v>
      </c>
    </row>
    <row r="28" spans="1:22" x14ac:dyDescent="0.3">
      <c r="A28" s="29" t="s">
        <v>60</v>
      </c>
      <c r="B28" s="30" t="s">
        <v>41</v>
      </c>
      <c r="C28" s="85" t="str">
        <f>IF(DTE_Lifespans_existing!C28=1,Use_case_lifespans!$B28,0)</f>
        <v>Near Earth Robotic - LEO Science</v>
      </c>
      <c r="D28" s="85" t="str">
        <f>IF(DTE_Lifespans_existing!D28=1,Use_case_lifespans!$B28,0)</f>
        <v>Near Earth Robotic - LEO Science</v>
      </c>
      <c r="E28" s="85" t="str">
        <f>IF(DTE_Lifespans_existing!E28=1,Use_case_lifespans!$B28,0)</f>
        <v>Near Earth Robotic - LEO Science</v>
      </c>
      <c r="F28" s="85" t="str">
        <f>IF(DTE_Lifespans_existing!F28=1,Use_case_lifespans!$B28,0)</f>
        <v>Near Earth Robotic - LEO Science</v>
      </c>
      <c r="G28" s="85" t="str">
        <f>IF(DTE_Lifespans_existing!G28=1,Use_case_lifespans!$B28,0)</f>
        <v>Near Earth Robotic - LEO Science</v>
      </c>
      <c r="H28" s="85" t="str">
        <f>IF(DTE_Lifespans_existing!H28=1,Use_case_lifespans!$B28,0)</f>
        <v>Near Earth Robotic - LEO Science</v>
      </c>
      <c r="I28" s="85">
        <f>IF(DTE_Lifespans_existing!I28=1,Use_case_lifespans!$B28,0)</f>
        <v>0</v>
      </c>
      <c r="J28" s="85">
        <f>IF(DTE_Lifespans_existing!J28=1,Use_case_lifespans!$B28,0)</f>
        <v>0</v>
      </c>
      <c r="K28" s="85">
        <f>IF(DTE_Lifespans_existing!K28=1,Use_case_lifespans!$B28,0)</f>
        <v>0</v>
      </c>
      <c r="L28" s="85">
        <f>IF(DTE_Lifespans_existing!L28=1,Use_case_lifespans!$B28,0)</f>
        <v>0</v>
      </c>
      <c r="M28" s="85">
        <f>IF(DTE_Lifespans_existing!M28=1,Use_case_lifespans!$B28,0)</f>
        <v>0</v>
      </c>
      <c r="N28" s="85">
        <f>IF(DTE_Lifespans_existing!N28=1,Use_case_lifespans!$B28,0)</f>
        <v>0</v>
      </c>
      <c r="O28" s="85">
        <f>IF(DTE_Lifespans_existing!O28=1,Use_case_lifespans!$B28,0)</f>
        <v>0</v>
      </c>
      <c r="P28" s="85">
        <f>IF(DTE_Lifespans_existing!P28=1,Use_case_lifespans!$B28,0)</f>
        <v>0</v>
      </c>
      <c r="Q28" s="85">
        <f>IF(DTE_Lifespans_existing!Q28=1,Use_case_lifespans!$B28,0)</f>
        <v>0</v>
      </c>
      <c r="R28" s="85">
        <f>IF(DTE_Lifespans_existing!R28=1,Use_case_lifespans!$B28,0)</f>
        <v>0</v>
      </c>
      <c r="S28" s="85">
        <f>IF(DTE_Lifespans_existing!S28=1,Use_case_lifespans!$B28,0)</f>
        <v>0</v>
      </c>
      <c r="T28" s="85">
        <f>IF(DTE_Lifespans_existing!T28=1,Use_case_lifespans!$B28,0)</f>
        <v>0</v>
      </c>
      <c r="U28" s="85">
        <f>IF(DTE_Lifespans_existing!U28=1,Use_case_lifespans!$B28,0)</f>
        <v>0</v>
      </c>
      <c r="V28" s="85">
        <f>IF(DTE_Lifespans_existing!V28=1,Use_case_lifespans!$B28,0)</f>
        <v>0</v>
      </c>
    </row>
    <row r="29" spans="1:22" x14ac:dyDescent="0.3">
      <c r="A29" s="29" t="s">
        <v>26</v>
      </c>
      <c r="B29" s="37" t="s">
        <v>45</v>
      </c>
      <c r="C29" s="85" t="str">
        <f>IF(DTE_Lifespans_existing!C29=1,Use_case_lifespans!$B29,0)</f>
        <v>Terrestrial &amp; Aerial</v>
      </c>
      <c r="D29" s="85" t="str">
        <f>IF(DTE_Lifespans_existing!D29=1,Use_case_lifespans!$B29,0)</f>
        <v>Terrestrial &amp; Aerial</v>
      </c>
      <c r="E29" s="85" t="str">
        <f>IF(DTE_Lifespans_existing!E29=1,Use_case_lifespans!$B29,0)</f>
        <v>Terrestrial &amp; Aerial</v>
      </c>
      <c r="F29" s="85" t="str">
        <f>IF(DTE_Lifespans_existing!F29=1,Use_case_lifespans!$B29,0)</f>
        <v>Terrestrial &amp; Aerial</v>
      </c>
      <c r="G29" s="85" t="str">
        <f>IF(DTE_Lifespans_existing!G29=1,Use_case_lifespans!$B29,0)</f>
        <v>Terrestrial &amp; Aerial</v>
      </c>
      <c r="H29" s="85" t="str">
        <f>IF(DTE_Lifespans_existing!H29=1,Use_case_lifespans!$B29,0)</f>
        <v>Terrestrial &amp; Aerial</v>
      </c>
      <c r="I29" s="85" t="str">
        <f>IF(DTE_Lifespans_existing!I29=1,Use_case_lifespans!$B29,0)</f>
        <v>Terrestrial &amp; Aerial</v>
      </c>
      <c r="J29" s="85" t="str">
        <f>IF(DTE_Lifespans_existing!J29=1,Use_case_lifespans!$B29,0)</f>
        <v>Terrestrial &amp; Aerial</v>
      </c>
      <c r="K29" s="85" t="str">
        <f>IF(DTE_Lifespans_existing!K29=1,Use_case_lifespans!$B29,0)</f>
        <v>Terrestrial &amp; Aerial</v>
      </c>
      <c r="L29" s="85" t="str">
        <f>IF(DTE_Lifespans_existing!L29=1,Use_case_lifespans!$B29,0)</f>
        <v>Terrestrial &amp; Aerial</v>
      </c>
      <c r="M29" s="85" t="str">
        <f>IF(DTE_Lifespans_existing!M29=1,Use_case_lifespans!$B29,0)</f>
        <v>Terrestrial &amp; Aerial</v>
      </c>
      <c r="N29" s="85" t="str">
        <f>IF(DTE_Lifespans_existing!N29=1,Use_case_lifespans!$B29,0)</f>
        <v>Terrestrial &amp; Aerial</v>
      </c>
      <c r="O29" s="85" t="str">
        <f>IF(DTE_Lifespans_existing!O29=1,Use_case_lifespans!$B29,0)</f>
        <v>Terrestrial &amp; Aerial</v>
      </c>
      <c r="P29" s="85" t="str">
        <f>IF(DTE_Lifespans_existing!P29=1,Use_case_lifespans!$B29,0)</f>
        <v>Terrestrial &amp; Aerial</v>
      </c>
      <c r="Q29" s="85" t="str">
        <f>IF(DTE_Lifespans_existing!Q29=1,Use_case_lifespans!$B29,0)</f>
        <v>Terrestrial &amp; Aerial</v>
      </c>
      <c r="R29" s="85" t="str">
        <f>IF(DTE_Lifespans_existing!R29=1,Use_case_lifespans!$B29,0)</f>
        <v>Terrestrial &amp; Aerial</v>
      </c>
      <c r="S29" s="85" t="str">
        <f>IF(DTE_Lifespans_existing!S29=1,Use_case_lifespans!$B29,0)</f>
        <v>Terrestrial &amp; Aerial</v>
      </c>
      <c r="T29" s="85" t="str">
        <f>IF(DTE_Lifespans_existing!T29=1,Use_case_lifespans!$B29,0)</f>
        <v>Terrestrial &amp; Aerial</v>
      </c>
      <c r="U29" s="85" t="str">
        <f>IF(DTE_Lifespans_existing!U29=1,Use_case_lifespans!$B29,0)</f>
        <v>Terrestrial &amp; Aerial</v>
      </c>
      <c r="V29" s="85" t="str">
        <f>IF(DTE_Lifespans_existing!V29=1,Use_case_lifespans!$B29,0)</f>
        <v>Terrestrial &amp; Aerial</v>
      </c>
    </row>
    <row r="30" spans="1:22" x14ac:dyDescent="0.3">
      <c r="A30" s="29" t="s">
        <v>61</v>
      </c>
      <c r="B30" s="37" t="s">
        <v>42</v>
      </c>
      <c r="C30" s="85" t="str">
        <f>IF(DTE_Lifespans_existing!C30=1,Use_case_lifespans!$B30,0)</f>
        <v>Launch Events</v>
      </c>
      <c r="D30" s="85" t="str">
        <f>IF(DTE_Lifespans_existing!D30=1,Use_case_lifespans!$B30,0)</f>
        <v>Launch Events</v>
      </c>
      <c r="E30" s="85" t="str">
        <f>IF(DTE_Lifespans_existing!E30=1,Use_case_lifespans!$B30,0)</f>
        <v>Launch Events</v>
      </c>
      <c r="F30" s="85" t="str">
        <f>IF(DTE_Lifespans_existing!F30=1,Use_case_lifespans!$B30,0)</f>
        <v>Launch Events</v>
      </c>
      <c r="G30" s="85" t="str">
        <f>IF(DTE_Lifespans_existing!G30=1,Use_case_lifespans!$B30,0)</f>
        <v>Launch Events</v>
      </c>
      <c r="H30" s="85" t="str">
        <f>IF(DTE_Lifespans_existing!H30=1,Use_case_lifespans!$B30,0)</f>
        <v>Launch Events</v>
      </c>
      <c r="I30" s="85" t="str">
        <f>IF(DTE_Lifespans_existing!I30=1,Use_case_lifespans!$B30,0)</f>
        <v>Launch Events</v>
      </c>
      <c r="J30" s="85" t="str">
        <f>IF(DTE_Lifespans_existing!J30=1,Use_case_lifespans!$B30,0)</f>
        <v>Launch Events</v>
      </c>
      <c r="K30" s="85" t="str">
        <f>IF(DTE_Lifespans_existing!K30=1,Use_case_lifespans!$B30,0)</f>
        <v>Launch Events</v>
      </c>
      <c r="L30" s="85" t="str">
        <f>IF(DTE_Lifespans_existing!L30=1,Use_case_lifespans!$B30,0)</f>
        <v>Launch Events</v>
      </c>
      <c r="M30" s="85" t="str">
        <f>IF(DTE_Lifespans_existing!M30=1,Use_case_lifespans!$B30,0)</f>
        <v>Launch Events</v>
      </c>
      <c r="N30" s="85" t="str">
        <f>IF(DTE_Lifespans_existing!N30=1,Use_case_lifespans!$B30,0)</f>
        <v>Launch Events</v>
      </c>
      <c r="O30" s="85" t="str">
        <f>IF(DTE_Lifespans_existing!O30=1,Use_case_lifespans!$B30,0)</f>
        <v>Launch Events</v>
      </c>
      <c r="P30" s="85" t="str">
        <f>IF(DTE_Lifespans_existing!P30=1,Use_case_lifespans!$B30,0)</f>
        <v>Launch Events</v>
      </c>
      <c r="Q30" s="85" t="str">
        <f>IF(DTE_Lifespans_existing!Q30=1,Use_case_lifespans!$B30,0)</f>
        <v>Launch Events</v>
      </c>
      <c r="R30" s="85" t="str">
        <f>IF(DTE_Lifespans_existing!R30=1,Use_case_lifespans!$B30,0)</f>
        <v>Launch Events</v>
      </c>
      <c r="S30" s="85" t="str">
        <f>IF(DTE_Lifespans_existing!S30=1,Use_case_lifespans!$B30,0)</f>
        <v>Launch Events</v>
      </c>
      <c r="T30" s="85" t="str">
        <f>IF(DTE_Lifespans_existing!T30=1,Use_case_lifespans!$B30,0)</f>
        <v>Launch Events</v>
      </c>
      <c r="U30" s="85" t="str">
        <f>IF(DTE_Lifespans_existing!U30=1,Use_case_lifespans!$B30,0)</f>
        <v>Launch Events</v>
      </c>
      <c r="V30" s="85" t="str">
        <f>IF(DTE_Lifespans_existing!V30=1,Use_case_lifespans!$B30,0)</f>
        <v>Launch Events</v>
      </c>
    </row>
    <row r="31" spans="1:22" x14ac:dyDescent="0.3">
      <c r="A31" s="29" t="s">
        <v>71</v>
      </c>
      <c r="B31" s="30" t="s">
        <v>40</v>
      </c>
      <c r="C31" s="85" t="str">
        <f>IF(DTE_Lifespans_existing!C31=1,Use_case_lifespans!$B31,0)</f>
        <v>Near Earth Robotic - GEO and Near Earth</v>
      </c>
      <c r="D31" s="85" t="str">
        <f>IF(DTE_Lifespans_existing!D31=1,Use_case_lifespans!$B31,0)</f>
        <v>Near Earth Robotic - GEO and Near Earth</v>
      </c>
      <c r="E31" s="85">
        <f>IF(DTE_Lifespans_existing!E31=1,Use_case_lifespans!$B31,0)</f>
        <v>0</v>
      </c>
      <c r="F31" s="85">
        <f>IF(DTE_Lifespans_existing!F31=1,Use_case_lifespans!$B31,0)</f>
        <v>0</v>
      </c>
      <c r="G31" s="85">
        <f>IF(DTE_Lifespans_existing!G31=1,Use_case_lifespans!$B31,0)</f>
        <v>0</v>
      </c>
      <c r="H31" s="85">
        <f>IF(DTE_Lifespans_existing!H31=1,Use_case_lifespans!$B31,0)</f>
        <v>0</v>
      </c>
      <c r="I31" s="85">
        <f>IF(DTE_Lifespans_existing!I31=1,Use_case_lifespans!$B31,0)</f>
        <v>0</v>
      </c>
      <c r="J31" s="85">
        <f>IF(DTE_Lifespans_existing!J31=1,Use_case_lifespans!$B31,0)</f>
        <v>0</v>
      </c>
      <c r="K31" s="85">
        <f>IF(DTE_Lifespans_existing!K31=1,Use_case_lifespans!$B31,0)</f>
        <v>0</v>
      </c>
      <c r="L31" s="85">
        <f>IF(DTE_Lifespans_existing!L31=1,Use_case_lifespans!$B31,0)</f>
        <v>0</v>
      </c>
      <c r="M31" s="85">
        <f>IF(DTE_Lifespans_existing!M31=1,Use_case_lifespans!$B31,0)</f>
        <v>0</v>
      </c>
      <c r="N31" s="85">
        <f>IF(DTE_Lifespans_existing!N31=1,Use_case_lifespans!$B31,0)</f>
        <v>0</v>
      </c>
      <c r="O31" s="85">
        <f>IF(DTE_Lifespans_existing!O31=1,Use_case_lifespans!$B31,0)</f>
        <v>0</v>
      </c>
      <c r="P31" s="85">
        <f>IF(DTE_Lifespans_existing!P31=1,Use_case_lifespans!$B31,0)</f>
        <v>0</v>
      </c>
      <c r="Q31" s="85">
        <f>IF(DTE_Lifespans_existing!Q31=1,Use_case_lifespans!$B31,0)</f>
        <v>0</v>
      </c>
      <c r="R31" s="85">
        <f>IF(DTE_Lifespans_existing!R31=1,Use_case_lifespans!$B31,0)</f>
        <v>0</v>
      </c>
      <c r="S31" s="85">
        <f>IF(DTE_Lifespans_existing!S31=1,Use_case_lifespans!$B31,0)</f>
        <v>0</v>
      </c>
      <c r="T31" s="85">
        <f>IF(DTE_Lifespans_existing!T31=1,Use_case_lifespans!$B31,0)</f>
        <v>0</v>
      </c>
      <c r="U31" s="85">
        <f>IF(DTE_Lifespans_existing!U31=1,Use_case_lifespans!$B31,0)</f>
        <v>0</v>
      </c>
      <c r="V31" s="85">
        <f>IF(DTE_Lifespans_existing!V31=1,Use_case_lifespans!$B31,0)</f>
        <v>0</v>
      </c>
    </row>
    <row r="32" spans="1:22" x14ac:dyDescent="0.3">
      <c r="A32" s="29" t="s">
        <v>27</v>
      </c>
      <c r="B32" s="37" t="s">
        <v>45</v>
      </c>
      <c r="C32" s="85" t="str">
        <f>IF(DTE_Lifespans_existing!C32=1,Use_case_lifespans!$B32,0)</f>
        <v>Terrestrial &amp; Aerial</v>
      </c>
      <c r="D32" s="85">
        <f>IF(DTE_Lifespans_existing!D32=1,Use_case_lifespans!$B32,0)</f>
        <v>0</v>
      </c>
      <c r="E32" s="85">
        <f>IF(DTE_Lifespans_existing!E32=1,Use_case_lifespans!$B32,0)</f>
        <v>0</v>
      </c>
      <c r="F32" s="85">
        <f>IF(DTE_Lifespans_existing!F32=1,Use_case_lifespans!$B32,0)</f>
        <v>0</v>
      </c>
      <c r="G32" s="85">
        <f>IF(DTE_Lifespans_existing!G32=1,Use_case_lifespans!$B32,0)</f>
        <v>0</v>
      </c>
      <c r="H32" s="85">
        <f>IF(DTE_Lifespans_existing!H32=1,Use_case_lifespans!$B32,0)</f>
        <v>0</v>
      </c>
      <c r="I32" s="85">
        <f>IF(DTE_Lifespans_existing!I32=1,Use_case_lifespans!$B32,0)</f>
        <v>0</v>
      </c>
      <c r="J32" s="85">
        <f>IF(DTE_Lifespans_existing!J32=1,Use_case_lifespans!$B32,0)</f>
        <v>0</v>
      </c>
      <c r="K32" s="85">
        <f>IF(DTE_Lifespans_existing!K32=1,Use_case_lifespans!$B32,0)</f>
        <v>0</v>
      </c>
      <c r="L32" s="85">
        <f>IF(DTE_Lifespans_existing!L32=1,Use_case_lifespans!$B32,0)</f>
        <v>0</v>
      </c>
      <c r="M32" s="85">
        <f>IF(DTE_Lifespans_existing!M32=1,Use_case_lifespans!$B32,0)</f>
        <v>0</v>
      </c>
      <c r="N32" s="85">
        <f>IF(DTE_Lifespans_existing!N32=1,Use_case_lifespans!$B32,0)</f>
        <v>0</v>
      </c>
      <c r="O32" s="85">
        <f>IF(DTE_Lifespans_existing!O32=1,Use_case_lifespans!$B32,0)</f>
        <v>0</v>
      </c>
      <c r="P32" s="85">
        <f>IF(DTE_Lifespans_existing!P32=1,Use_case_lifespans!$B32,0)</f>
        <v>0</v>
      </c>
      <c r="Q32" s="85">
        <f>IF(DTE_Lifespans_existing!Q32=1,Use_case_lifespans!$B32,0)</f>
        <v>0</v>
      </c>
      <c r="R32" s="85">
        <f>IF(DTE_Lifespans_existing!R32=1,Use_case_lifespans!$B32,0)</f>
        <v>0</v>
      </c>
      <c r="S32" s="85">
        <f>IF(DTE_Lifespans_existing!S32=1,Use_case_lifespans!$B32,0)</f>
        <v>0</v>
      </c>
      <c r="T32" s="85">
        <f>IF(DTE_Lifespans_existing!T32=1,Use_case_lifespans!$B32,0)</f>
        <v>0</v>
      </c>
      <c r="U32" s="85">
        <f>IF(DTE_Lifespans_existing!U32=1,Use_case_lifespans!$B32,0)</f>
        <v>0</v>
      </c>
      <c r="V32" s="85">
        <f>IF(DTE_Lifespans_existing!V32=1,Use_case_lifespans!$B32,0)</f>
        <v>0</v>
      </c>
    </row>
    <row r="33" spans="1:22" x14ac:dyDescent="0.3">
      <c r="A33" s="29" t="s">
        <v>39</v>
      </c>
      <c r="B33" s="30" t="s">
        <v>41</v>
      </c>
      <c r="C33" s="85" t="str">
        <f>IF(DTE_Lifespans_existing!C33=1,Use_case_lifespans!$B33,0)</f>
        <v>Near Earth Robotic - LEO Science</v>
      </c>
      <c r="D33" s="85" t="str">
        <f>IF(DTE_Lifespans_existing!D33=1,Use_case_lifespans!$B33,0)</f>
        <v>Near Earth Robotic - LEO Science</v>
      </c>
      <c r="E33" s="85" t="str">
        <f>IF(DTE_Lifespans_existing!E33=1,Use_case_lifespans!$B33,0)</f>
        <v>Near Earth Robotic - LEO Science</v>
      </c>
      <c r="F33" s="85" t="str">
        <f>IF(DTE_Lifespans_existing!F33=1,Use_case_lifespans!$B33,0)</f>
        <v>Near Earth Robotic - LEO Science</v>
      </c>
      <c r="G33" s="85">
        <f>IF(DTE_Lifespans_existing!G33=1,Use_case_lifespans!$B33,0)</f>
        <v>0</v>
      </c>
      <c r="H33" s="85">
        <f>IF(DTE_Lifespans_existing!H33=1,Use_case_lifespans!$B33,0)</f>
        <v>0</v>
      </c>
      <c r="I33" s="85">
        <f>IF(DTE_Lifespans_existing!I33=1,Use_case_lifespans!$B33,0)</f>
        <v>0</v>
      </c>
      <c r="J33" s="85">
        <f>IF(DTE_Lifespans_existing!J33=1,Use_case_lifespans!$B33,0)</f>
        <v>0</v>
      </c>
      <c r="K33" s="85">
        <f>IF(DTE_Lifespans_existing!K33=1,Use_case_lifespans!$B33,0)</f>
        <v>0</v>
      </c>
      <c r="L33" s="85">
        <f>IF(DTE_Lifespans_existing!L33=1,Use_case_lifespans!$B33,0)</f>
        <v>0</v>
      </c>
      <c r="M33" s="85">
        <f>IF(DTE_Lifespans_existing!M33=1,Use_case_lifespans!$B33,0)</f>
        <v>0</v>
      </c>
      <c r="N33" s="85">
        <f>IF(DTE_Lifespans_existing!N33=1,Use_case_lifespans!$B33,0)</f>
        <v>0</v>
      </c>
      <c r="O33" s="85">
        <f>IF(DTE_Lifespans_existing!O33=1,Use_case_lifespans!$B33,0)</f>
        <v>0</v>
      </c>
      <c r="P33" s="85">
        <f>IF(DTE_Lifespans_existing!P33=1,Use_case_lifespans!$B33,0)</f>
        <v>0</v>
      </c>
      <c r="Q33" s="85">
        <f>IF(DTE_Lifespans_existing!Q33=1,Use_case_lifespans!$B33,0)</f>
        <v>0</v>
      </c>
      <c r="R33" s="85">
        <f>IF(DTE_Lifespans_existing!R33=1,Use_case_lifespans!$B33,0)</f>
        <v>0</v>
      </c>
      <c r="S33" s="85">
        <f>IF(DTE_Lifespans_existing!S33=1,Use_case_lifespans!$B33,0)</f>
        <v>0</v>
      </c>
      <c r="T33" s="85">
        <f>IF(DTE_Lifespans_existing!T33=1,Use_case_lifespans!$B33,0)</f>
        <v>0</v>
      </c>
      <c r="U33" s="85">
        <f>IF(DTE_Lifespans_existing!U33=1,Use_case_lifespans!$B33,0)</f>
        <v>0</v>
      </c>
      <c r="V33" s="85">
        <f>IF(DTE_Lifespans_existing!V33=1,Use_case_lifespans!$B33,0)</f>
        <v>0</v>
      </c>
    </row>
    <row r="34" spans="1:22" x14ac:dyDescent="0.3">
      <c r="A34" s="29" t="s">
        <v>28</v>
      </c>
      <c r="B34" s="29"/>
      <c r="C34" s="85">
        <f>IF(DTE_Lifespans_existing!C34=1,Use_case_lifespans!$B34,0)</f>
        <v>0</v>
      </c>
      <c r="D34" s="85">
        <f>IF(DTE_Lifespans_existing!D34=1,Use_case_lifespans!$B34,0)</f>
        <v>0</v>
      </c>
      <c r="E34" s="85">
        <f>IF(DTE_Lifespans_existing!E34=1,Use_case_lifespans!$B34,0)</f>
        <v>0</v>
      </c>
      <c r="F34" s="85">
        <f>IF(DTE_Lifespans_existing!F34=1,Use_case_lifespans!$B34,0)</f>
        <v>0</v>
      </c>
      <c r="G34" s="85">
        <f>IF(DTE_Lifespans_existing!G34=1,Use_case_lifespans!$B34,0)</f>
        <v>0</v>
      </c>
      <c r="H34" s="85">
        <f>IF(DTE_Lifespans_existing!H34=1,Use_case_lifespans!$B34,0)</f>
        <v>0</v>
      </c>
      <c r="I34" s="85">
        <f>IF(DTE_Lifespans_existing!I34=1,Use_case_lifespans!$B34,0)</f>
        <v>0</v>
      </c>
      <c r="J34" s="85">
        <f>IF(DTE_Lifespans_existing!J34=1,Use_case_lifespans!$B34,0)</f>
        <v>0</v>
      </c>
      <c r="K34" s="85">
        <f>IF(DTE_Lifespans_existing!K34=1,Use_case_lifespans!$B34,0)</f>
        <v>0</v>
      </c>
      <c r="L34" s="85">
        <f>IF(DTE_Lifespans_existing!L34=1,Use_case_lifespans!$B34,0)</f>
        <v>0</v>
      </c>
      <c r="M34" s="85">
        <f>IF(DTE_Lifespans_existing!M34=1,Use_case_lifespans!$B34,0)</f>
        <v>0</v>
      </c>
      <c r="N34" s="85">
        <f>IF(DTE_Lifespans_existing!N34=1,Use_case_lifespans!$B34,0)</f>
        <v>0</v>
      </c>
      <c r="O34" s="85">
        <f>IF(DTE_Lifespans_existing!O34=1,Use_case_lifespans!$B34,0)</f>
        <v>0</v>
      </c>
      <c r="P34" s="85">
        <f>IF(DTE_Lifespans_existing!P34=1,Use_case_lifespans!$B34,0)</f>
        <v>0</v>
      </c>
      <c r="Q34" s="85">
        <f>IF(DTE_Lifespans_existing!Q34=1,Use_case_lifespans!$B34,0)</f>
        <v>0</v>
      </c>
      <c r="R34" s="85">
        <f>IF(DTE_Lifespans_existing!R34=1,Use_case_lifespans!$B34,0)</f>
        <v>0</v>
      </c>
      <c r="S34" s="85">
        <f>IF(DTE_Lifespans_existing!S34=1,Use_case_lifespans!$B34,0)</f>
        <v>0</v>
      </c>
      <c r="T34" s="85">
        <f>IF(DTE_Lifespans_existing!T34=1,Use_case_lifespans!$B34,0)</f>
        <v>0</v>
      </c>
      <c r="U34" s="85">
        <f>IF(DTE_Lifespans_existing!U34=1,Use_case_lifespans!$B34,0)</f>
        <v>0</v>
      </c>
      <c r="V34" s="85">
        <f>IF(DTE_Lifespans_existing!V34=1,Use_case_lifespans!$B34,0)</f>
        <v>0</v>
      </c>
    </row>
    <row r="35" spans="1:22" x14ac:dyDescent="0.3">
      <c r="A35" s="29" t="s">
        <v>62</v>
      </c>
      <c r="B35" s="30" t="s">
        <v>41</v>
      </c>
      <c r="C35" s="85" t="str">
        <f>IF(DTE_Lifespans_existing!C35=1,Use_case_lifespans!$B35,0)</f>
        <v>Near Earth Robotic - LEO Science</v>
      </c>
      <c r="D35" s="85" t="str">
        <f>IF(DTE_Lifespans_existing!D35=1,Use_case_lifespans!$B35,0)</f>
        <v>Near Earth Robotic - LEO Science</v>
      </c>
      <c r="E35" s="85" t="str">
        <f>IF(DTE_Lifespans_existing!E35=1,Use_case_lifespans!$B35,0)</f>
        <v>Near Earth Robotic - LEO Science</v>
      </c>
      <c r="F35" s="85" t="str">
        <f>IF(DTE_Lifespans_existing!F35=1,Use_case_lifespans!$B35,0)</f>
        <v>Near Earth Robotic - LEO Science</v>
      </c>
      <c r="G35" s="85" t="str">
        <f>IF(DTE_Lifespans_existing!G35=1,Use_case_lifespans!$B35,0)</f>
        <v>Near Earth Robotic - LEO Science</v>
      </c>
      <c r="H35" s="85">
        <f>IF(DTE_Lifespans_existing!H35=1,Use_case_lifespans!$B35,0)</f>
        <v>0</v>
      </c>
      <c r="I35" s="85">
        <f>IF(DTE_Lifespans_existing!I35=1,Use_case_lifespans!$B35,0)</f>
        <v>0</v>
      </c>
      <c r="J35" s="85">
        <f>IF(DTE_Lifespans_existing!J35=1,Use_case_lifespans!$B35,0)</f>
        <v>0</v>
      </c>
      <c r="K35" s="85">
        <f>IF(DTE_Lifespans_existing!K35=1,Use_case_lifespans!$B35,0)</f>
        <v>0</v>
      </c>
      <c r="L35" s="85">
        <f>IF(DTE_Lifespans_existing!L35=1,Use_case_lifespans!$B35,0)</f>
        <v>0</v>
      </c>
      <c r="M35" s="85">
        <f>IF(DTE_Lifespans_existing!M35=1,Use_case_lifespans!$B35,0)</f>
        <v>0</v>
      </c>
      <c r="N35" s="85">
        <f>IF(DTE_Lifespans_existing!N35=1,Use_case_lifespans!$B35,0)</f>
        <v>0</v>
      </c>
      <c r="O35" s="85">
        <f>IF(DTE_Lifespans_existing!O35=1,Use_case_lifespans!$B35,0)</f>
        <v>0</v>
      </c>
      <c r="P35" s="85">
        <f>IF(DTE_Lifespans_existing!P35=1,Use_case_lifespans!$B35,0)</f>
        <v>0</v>
      </c>
      <c r="Q35" s="85">
        <f>IF(DTE_Lifespans_existing!Q35=1,Use_case_lifespans!$B35,0)</f>
        <v>0</v>
      </c>
      <c r="R35" s="85">
        <f>IF(DTE_Lifespans_existing!R35=1,Use_case_lifespans!$B35,0)</f>
        <v>0</v>
      </c>
      <c r="S35" s="85">
        <f>IF(DTE_Lifespans_existing!S35=1,Use_case_lifespans!$B35,0)</f>
        <v>0</v>
      </c>
      <c r="T35" s="85">
        <f>IF(DTE_Lifespans_existing!T35=1,Use_case_lifespans!$B35,0)</f>
        <v>0</v>
      </c>
      <c r="U35" s="85">
        <f>IF(DTE_Lifespans_existing!U35=1,Use_case_lifespans!$B35,0)</f>
        <v>0</v>
      </c>
      <c r="V35" s="85">
        <f>IF(DTE_Lifespans_existing!V35=1,Use_case_lifespans!$B35,0)</f>
        <v>0</v>
      </c>
    </row>
    <row r="36" spans="1:22" x14ac:dyDescent="0.3">
      <c r="A36" s="29" t="s">
        <v>29</v>
      </c>
      <c r="B36" s="30" t="s">
        <v>41</v>
      </c>
      <c r="C36" s="85" t="str">
        <f>IF(DTE_Lifespans_existing!C36=1,Use_case_lifespans!$B36,0)</f>
        <v>Near Earth Robotic - LEO Science</v>
      </c>
      <c r="D36" s="85" t="str">
        <f>IF(DTE_Lifespans_existing!D36=1,Use_case_lifespans!$B36,0)</f>
        <v>Near Earth Robotic - LEO Science</v>
      </c>
      <c r="E36" s="85" t="str">
        <f>IF(DTE_Lifespans_existing!E36=1,Use_case_lifespans!$B36,0)</f>
        <v>Near Earth Robotic - LEO Science</v>
      </c>
      <c r="F36" s="85">
        <f>IF(DTE_Lifespans_existing!F36=1,Use_case_lifespans!$B36,0)</f>
        <v>0</v>
      </c>
      <c r="G36" s="85">
        <f>IF(DTE_Lifespans_existing!G36=1,Use_case_lifespans!$B36,0)</f>
        <v>0</v>
      </c>
      <c r="H36" s="85">
        <f>IF(DTE_Lifespans_existing!H36=1,Use_case_lifespans!$B36,0)</f>
        <v>0</v>
      </c>
      <c r="I36" s="85">
        <f>IF(DTE_Lifespans_existing!I36=1,Use_case_lifespans!$B36,0)</f>
        <v>0</v>
      </c>
      <c r="J36" s="85">
        <f>IF(DTE_Lifespans_existing!J36=1,Use_case_lifespans!$B36,0)</f>
        <v>0</v>
      </c>
      <c r="K36" s="85">
        <f>IF(DTE_Lifespans_existing!K36=1,Use_case_lifespans!$B36,0)</f>
        <v>0</v>
      </c>
      <c r="L36" s="85">
        <f>IF(DTE_Lifespans_existing!L36=1,Use_case_lifespans!$B36,0)</f>
        <v>0</v>
      </c>
      <c r="M36" s="85">
        <f>IF(DTE_Lifespans_existing!M36=1,Use_case_lifespans!$B36,0)</f>
        <v>0</v>
      </c>
      <c r="N36" s="85">
        <f>IF(DTE_Lifespans_existing!N36=1,Use_case_lifespans!$B36,0)</f>
        <v>0</v>
      </c>
      <c r="O36" s="85">
        <f>IF(DTE_Lifespans_existing!O36=1,Use_case_lifespans!$B36,0)</f>
        <v>0</v>
      </c>
      <c r="P36" s="85">
        <f>IF(DTE_Lifespans_existing!P36=1,Use_case_lifespans!$B36,0)</f>
        <v>0</v>
      </c>
      <c r="Q36" s="85">
        <f>IF(DTE_Lifespans_existing!Q36=1,Use_case_lifespans!$B36,0)</f>
        <v>0</v>
      </c>
      <c r="R36" s="85">
        <f>IF(DTE_Lifespans_existing!R36=1,Use_case_lifespans!$B36,0)</f>
        <v>0</v>
      </c>
      <c r="S36" s="85">
        <f>IF(DTE_Lifespans_existing!S36=1,Use_case_lifespans!$B36,0)</f>
        <v>0</v>
      </c>
      <c r="T36" s="85">
        <f>IF(DTE_Lifespans_existing!T36=1,Use_case_lifespans!$B36,0)</f>
        <v>0</v>
      </c>
      <c r="U36" s="85">
        <f>IF(DTE_Lifespans_existing!U36=1,Use_case_lifespans!$B36,0)</f>
        <v>0</v>
      </c>
      <c r="V36" s="85">
        <f>IF(DTE_Lifespans_existing!V36=1,Use_case_lifespans!$B36,0)</f>
        <v>0</v>
      </c>
    </row>
    <row r="37" spans="1:22" x14ac:dyDescent="0.3">
      <c r="A37" s="29" t="s">
        <v>30</v>
      </c>
      <c r="B37" s="37" t="s">
        <v>43</v>
      </c>
      <c r="C37" s="85" t="str">
        <f>IF(DTE_Lifespans_existing!C37=1,Use_case_lifespans!$B37,0)</f>
        <v>Human Space Flight</v>
      </c>
      <c r="D37" s="85" t="str">
        <f>IF(DTE_Lifespans_existing!D37=1,Use_case_lifespans!$B37,0)</f>
        <v>Human Space Flight</v>
      </c>
      <c r="E37" s="85" t="str">
        <f>IF(DTE_Lifespans_existing!E37=1,Use_case_lifespans!$B37,0)</f>
        <v>Human Space Flight</v>
      </c>
      <c r="F37" s="85" t="str">
        <f>IF(DTE_Lifespans_existing!F37=1,Use_case_lifespans!$B37,0)</f>
        <v>Human Space Flight</v>
      </c>
      <c r="G37" s="85" t="str">
        <f>IF(DTE_Lifespans_existing!G37=1,Use_case_lifespans!$B37,0)</f>
        <v>Human Space Flight</v>
      </c>
      <c r="H37" s="85" t="str">
        <f>IF(DTE_Lifespans_existing!H37=1,Use_case_lifespans!$B37,0)</f>
        <v>Human Space Flight</v>
      </c>
      <c r="I37" s="85" t="str">
        <f>IF(DTE_Lifespans_existing!I37=1,Use_case_lifespans!$B37,0)</f>
        <v>Human Space Flight</v>
      </c>
      <c r="J37" s="85" t="str">
        <f>IF(DTE_Lifespans_existing!J37=1,Use_case_lifespans!$B37,0)</f>
        <v>Human Space Flight</v>
      </c>
      <c r="K37" s="85" t="str">
        <f>IF(DTE_Lifespans_existing!K37=1,Use_case_lifespans!$B37,0)</f>
        <v>Human Space Flight</v>
      </c>
      <c r="L37" s="85" t="str">
        <f>IF(DTE_Lifespans_existing!L37=1,Use_case_lifespans!$B37,0)</f>
        <v>Human Space Flight</v>
      </c>
      <c r="M37" s="85" t="str">
        <f>IF(DTE_Lifespans_existing!M37=1,Use_case_lifespans!$B37,0)</f>
        <v>Human Space Flight</v>
      </c>
      <c r="N37" s="85" t="str">
        <f>IF(DTE_Lifespans_existing!N37=1,Use_case_lifespans!$B37,0)</f>
        <v>Human Space Flight</v>
      </c>
      <c r="O37" s="85" t="str">
        <f>IF(DTE_Lifespans_existing!O37=1,Use_case_lifespans!$B37,0)</f>
        <v>Human Space Flight</v>
      </c>
      <c r="P37" s="85" t="str">
        <f>IF(DTE_Lifespans_existing!P37=1,Use_case_lifespans!$B37,0)</f>
        <v>Human Space Flight</v>
      </c>
      <c r="Q37" s="85" t="str">
        <f>IF(DTE_Lifespans_existing!Q37=1,Use_case_lifespans!$B37,0)</f>
        <v>Human Space Flight</v>
      </c>
      <c r="R37" s="85" t="str">
        <f>IF(DTE_Lifespans_existing!R37=1,Use_case_lifespans!$B37,0)</f>
        <v>Human Space Flight</v>
      </c>
      <c r="S37" s="85" t="str">
        <f>IF(DTE_Lifespans_existing!S37=1,Use_case_lifespans!$B37,0)</f>
        <v>Human Space Flight</v>
      </c>
      <c r="T37" s="85" t="str">
        <f>IF(DTE_Lifespans_existing!T37=1,Use_case_lifespans!$B37,0)</f>
        <v>Human Space Flight</v>
      </c>
      <c r="U37" s="85" t="str">
        <f>IF(DTE_Lifespans_existing!U37=1,Use_case_lifespans!$B37,0)</f>
        <v>Human Space Flight</v>
      </c>
      <c r="V37" s="85" t="str">
        <f>IF(DTE_Lifespans_existing!V37=1,Use_case_lifespans!$B37,0)</f>
        <v>Human Space Flight</v>
      </c>
    </row>
    <row r="38" spans="1:22" x14ac:dyDescent="0.3">
      <c r="A38" s="29" t="s">
        <v>31</v>
      </c>
      <c r="B38" s="38" t="s">
        <v>48</v>
      </c>
      <c r="C38" s="85">
        <f>IF(DTE_Lifespans_existing!C38=1,Use_case_lifespans!$B38,0)</f>
        <v>0</v>
      </c>
      <c r="D38" s="85">
        <f>IF(DTE_Lifespans_existing!D38=1,Use_case_lifespans!$B38,0)</f>
        <v>0</v>
      </c>
      <c r="E38" s="85">
        <f>IF(DTE_Lifespans_existing!E38=1,Use_case_lifespans!$B38,0)</f>
        <v>0</v>
      </c>
      <c r="F38" s="85">
        <f>IF(DTE_Lifespans_existing!F38=1,Use_case_lifespans!$B38,0)</f>
        <v>0</v>
      </c>
      <c r="G38" s="85">
        <f>IF(DTE_Lifespans_existing!G38=1,Use_case_lifespans!$B38,0)</f>
        <v>0</v>
      </c>
      <c r="H38" s="85">
        <f>IF(DTE_Lifespans_existing!H38=1,Use_case_lifespans!$B38,0)</f>
        <v>0</v>
      </c>
      <c r="I38" s="85">
        <f>IF(DTE_Lifespans_existing!I38=1,Use_case_lifespans!$B38,0)</f>
        <v>0</v>
      </c>
      <c r="J38" s="85">
        <f>IF(DTE_Lifespans_existing!J38=1,Use_case_lifespans!$B38,0)</f>
        <v>0</v>
      </c>
      <c r="K38" s="85">
        <f>IF(DTE_Lifespans_existing!K38=1,Use_case_lifespans!$B38,0)</f>
        <v>0</v>
      </c>
      <c r="L38" s="85">
        <f>IF(DTE_Lifespans_existing!L38=1,Use_case_lifespans!$B38,0)</f>
        <v>0</v>
      </c>
      <c r="M38" s="85">
        <f>IF(DTE_Lifespans_existing!M38=1,Use_case_lifespans!$B38,0)</f>
        <v>0</v>
      </c>
      <c r="N38" s="85">
        <f>IF(DTE_Lifespans_existing!N38=1,Use_case_lifespans!$B38,0)</f>
        <v>0</v>
      </c>
      <c r="O38" s="85">
        <f>IF(DTE_Lifespans_existing!O38=1,Use_case_lifespans!$B38,0)</f>
        <v>0</v>
      </c>
      <c r="P38" s="85">
        <f>IF(DTE_Lifespans_existing!P38=1,Use_case_lifespans!$B38,0)</f>
        <v>0</v>
      </c>
      <c r="Q38" s="85">
        <f>IF(DTE_Lifespans_existing!Q38=1,Use_case_lifespans!$B38,0)</f>
        <v>0</v>
      </c>
      <c r="R38" s="85">
        <f>IF(DTE_Lifespans_existing!R38=1,Use_case_lifespans!$B38,0)</f>
        <v>0</v>
      </c>
      <c r="S38" s="85">
        <f>IF(DTE_Lifespans_existing!S38=1,Use_case_lifespans!$B38,0)</f>
        <v>0</v>
      </c>
      <c r="T38" s="85">
        <f>IF(DTE_Lifespans_existing!T38=1,Use_case_lifespans!$B38,0)</f>
        <v>0</v>
      </c>
      <c r="U38" s="85">
        <f>IF(DTE_Lifespans_existing!U38=1,Use_case_lifespans!$B38,0)</f>
        <v>0</v>
      </c>
      <c r="V38" s="85">
        <f>IF(DTE_Lifespans_existing!V38=1,Use_case_lifespans!$B38,0)</f>
        <v>0</v>
      </c>
    </row>
    <row r="39" spans="1:22" x14ac:dyDescent="0.3">
      <c r="A39" s="29" t="s">
        <v>32</v>
      </c>
      <c r="B39" s="38" t="s">
        <v>48</v>
      </c>
      <c r="C39" s="85">
        <f>IF(DTE_Lifespans_existing!C39=1,Use_case_lifespans!$B39,0)</f>
        <v>0</v>
      </c>
      <c r="D39" s="85">
        <f>IF(DTE_Lifespans_existing!D39=1,Use_case_lifespans!$B39,0)</f>
        <v>0</v>
      </c>
      <c r="E39" s="85">
        <f>IF(DTE_Lifespans_existing!E39=1,Use_case_lifespans!$B39,0)</f>
        <v>0</v>
      </c>
      <c r="F39" s="85">
        <f>IF(DTE_Lifespans_existing!F39=1,Use_case_lifespans!$B39,0)</f>
        <v>0</v>
      </c>
      <c r="G39" s="85">
        <f>IF(DTE_Lifespans_existing!G39=1,Use_case_lifespans!$B39,0)</f>
        <v>0</v>
      </c>
      <c r="H39" s="85">
        <f>IF(DTE_Lifespans_existing!H39=1,Use_case_lifespans!$B39,0)</f>
        <v>0</v>
      </c>
      <c r="I39" s="85">
        <f>IF(DTE_Lifespans_existing!I39=1,Use_case_lifespans!$B39,0)</f>
        <v>0</v>
      </c>
      <c r="J39" s="85">
        <f>IF(DTE_Lifespans_existing!J39=1,Use_case_lifespans!$B39,0)</f>
        <v>0</v>
      </c>
      <c r="K39" s="85">
        <f>IF(DTE_Lifespans_existing!K39=1,Use_case_lifespans!$B39,0)</f>
        <v>0</v>
      </c>
      <c r="L39" s="85">
        <f>IF(DTE_Lifespans_existing!L39=1,Use_case_lifespans!$B39,0)</f>
        <v>0</v>
      </c>
      <c r="M39" s="85">
        <f>IF(DTE_Lifespans_existing!M39=1,Use_case_lifespans!$B39,0)</f>
        <v>0</v>
      </c>
      <c r="N39" s="85">
        <f>IF(DTE_Lifespans_existing!N39=1,Use_case_lifespans!$B39,0)</f>
        <v>0</v>
      </c>
      <c r="O39" s="85">
        <f>IF(DTE_Lifespans_existing!O39=1,Use_case_lifespans!$B39,0)</f>
        <v>0</v>
      </c>
      <c r="P39" s="85">
        <f>IF(DTE_Lifespans_existing!P39=1,Use_case_lifespans!$B39,0)</f>
        <v>0</v>
      </c>
      <c r="Q39" s="85">
        <f>IF(DTE_Lifespans_existing!Q39=1,Use_case_lifespans!$B39,0)</f>
        <v>0</v>
      </c>
      <c r="R39" s="85">
        <f>IF(DTE_Lifespans_existing!R39=1,Use_case_lifespans!$B39,0)</f>
        <v>0</v>
      </c>
      <c r="S39" s="85">
        <f>IF(DTE_Lifespans_existing!S39=1,Use_case_lifespans!$B39,0)</f>
        <v>0</v>
      </c>
      <c r="T39" s="85">
        <f>IF(DTE_Lifespans_existing!T39=1,Use_case_lifespans!$B39,0)</f>
        <v>0</v>
      </c>
      <c r="U39" s="85">
        <f>IF(DTE_Lifespans_existing!U39=1,Use_case_lifespans!$B39,0)</f>
        <v>0</v>
      </c>
      <c r="V39" s="85">
        <f>IF(DTE_Lifespans_existing!V39=1,Use_case_lifespans!$B39,0)</f>
        <v>0</v>
      </c>
    </row>
    <row r="40" spans="1:22" x14ac:dyDescent="0.3">
      <c r="A40" s="29" t="s">
        <v>33</v>
      </c>
      <c r="B40" s="30" t="s">
        <v>41</v>
      </c>
      <c r="C40" s="85">
        <f>IF(DTE_Lifespans_existing!C40=1,Use_case_lifespans!$B40,0)</f>
        <v>0</v>
      </c>
      <c r="D40" s="85">
        <f>IF(DTE_Lifespans_existing!D40=1,Use_case_lifespans!$B40,0)</f>
        <v>0</v>
      </c>
      <c r="E40" s="85">
        <f>IF(DTE_Lifespans_existing!E40=1,Use_case_lifespans!$B40,0)</f>
        <v>0</v>
      </c>
      <c r="F40" s="85">
        <f>IF(DTE_Lifespans_existing!F40=1,Use_case_lifespans!$B40,0)</f>
        <v>0</v>
      </c>
      <c r="G40" s="85">
        <f>IF(DTE_Lifespans_existing!G40=1,Use_case_lifespans!$B40,0)</f>
        <v>0</v>
      </c>
      <c r="H40" s="85">
        <f>IF(DTE_Lifespans_existing!H40=1,Use_case_lifespans!$B40,0)</f>
        <v>0</v>
      </c>
      <c r="I40" s="85">
        <f>IF(DTE_Lifespans_existing!I40=1,Use_case_lifespans!$B40,0)</f>
        <v>0</v>
      </c>
      <c r="J40" s="85">
        <f>IF(DTE_Lifespans_existing!J40=1,Use_case_lifespans!$B40,0)</f>
        <v>0</v>
      </c>
      <c r="K40" s="85">
        <f>IF(DTE_Lifespans_existing!K40=1,Use_case_lifespans!$B40,0)</f>
        <v>0</v>
      </c>
      <c r="L40" s="85">
        <f>IF(DTE_Lifespans_existing!L40=1,Use_case_lifespans!$B40,0)</f>
        <v>0</v>
      </c>
      <c r="M40" s="85">
        <f>IF(DTE_Lifespans_existing!M40=1,Use_case_lifespans!$B40,0)</f>
        <v>0</v>
      </c>
      <c r="N40" s="85">
        <f>IF(DTE_Lifespans_existing!N40=1,Use_case_lifespans!$B40,0)</f>
        <v>0</v>
      </c>
      <c r="O40" s="85">
        <f>IF(DTE_Lifespans_existing!O40=1,Use_case_lifespans!$B40,0)</f>
        <v>0</v>
      </c>
      <c r="P40" s="85">
        <f>IF(DTE_Lifespans_existing!P40=1,Use_case_lifespans!$B40,0)</f>
        <v>0</v>
      </c>
      <c r="Q40" s="85">
        <f>IF(DTE_Lifespans_existing!Q40=1,Use_case_lifespans!$B40,0)</f>
        <v>0</v>
      </c>
      <c r="R40" s="85">
        <f>IF(DTE_Lifespans_existing!R40=1,Use_case_lifespans!$B40,0)</f>
        <v>0</v>
      </c>
      <c r="S40" s="85">
        <f>IF(DTE_Lifespans_existing!S40=1,Use_case_lifespans!$B40,0)</f>
        <v>0</v>
      </c>
      <c r="T40" s="85">
        <f>IF(DTE_Lifespans_existing!T40=1,Use_case_lifespans!$B40,0)</f>
        <v>0</v>
      </c>
      <c r="U40" s="85">
        <f>IF(DTE_Lifespans_existing!U40=1,Use_case_lifespans!$B40,0)</f>
        <v>0</v>
      </c>
      <c r="V40" s="85">
        <f>IF(DTE_Lifespans_existing!V40=1,Use_case_lifespans!$B40,0)</f>
        <v>0</v>
      </c>
    </row>
    <row r="41" spans="1:22" x14ac:dyDescent="0.3">
      <c r="A41" s="29" t="s">
        <v>34</v>
      </c>
      <c r="B41" s="37" t="s">
        <v>45</v>
      </c>
      <c r="C41" s="85" t="str">
        <f>IF(DTE_Lifespans_existing!C41=1,Use_case_lifespans!$B41,0)</f>
        <v>Terrestrial &amp; Aerial</v>
      </c>
      <c r="D41" s="85" t="str">
        <f>IF(DTE_Lifespans_existing!D41=1,Use_case_lifespans!$B41,0)</f>
        <v>Terrestrial &amp; Aerial</v>
      </c>
      <c r="E41" s="85" t="str">
        <f>IF(DTE_Lifespans_existing!E41=1,Use_case_lifespans!$B41,0)</f>
        <v>Terrestrial &amp; Aerial</v>
      </c>
      <c r="F41" s="85" t="str">
        <f>IF(DTE_Lifespans_existing!F41=1,Use_case_lifespans!$B41,0)</f>
        <v>Terrestrial &amp; Aerial</v>
      </c>
      <c r="G41" s="85" t="str">
        <f>IF(DTE_Lifespans_existing!G41=1,Use_case_lifespans!$B41,0)</f>
        <v>Terrestrial &amp; Aerial</v>
      </c>
      <c r="H41" s="85">
        <f>IF(DTE_Lifespans_existing!H41=1,Use_case_lifespans!$B41,0)</f>
        <v>0</v>
      </c>
      <c r="I41" s="85">
        <f>IF(DTE_Lifespans_existing!I41=1,Use_case_lifespans!$B41,0)</f>
        <v>0</v>
      </c>
      <c r="J41" s="85">
        <f>IF(DTE_Lifespans_existing!J41=1,Use_case_lifespans!$B41,0)</f>
        <v>0</v>
      </c>
      <c r="K41" s="85">
        <f>IF(DTE_Lifespans_existing!K41=1,Use_case_lifespans!$B41,0)</f>
        <v>0</v>
      </c>
      <c r="L41" s="85">
        <f>IF(DTE_Lifespans_existing!L41=1,Use_case_lifespans!$B41,0)</f>
        <v>0</v>
      </c>
      <c r="M41" s="85">
        <f>IF(DTE_Lifespans_existing!M41=1,Use_case_lifespans!$B41,0)</f>
        <v>0</v>
      </c>
      <c r="N41" s="85">
        <f>IF(DTE_Lifespans_existing!N41=1,Use_case_lifespans!$B41,0)</f>
        <v>0</v>
      </c>
      <c r="O41" s="85">
        <f>IF(DTE_Lifespans_existing!O41=1,Use_case_lifespans!$B41,0)</f>
        <v>0</v>
      </c>
      <c r="P41" s="85">
        <f>IF(DTE_Lifespans_existing!P41=1,Use_case_lifespans!$B41,0)</f>
        <v>0</v>
      </c>
      <c r="Q41" s="85">
        <f>IF(DTE_Lifespans_existing!Q41=1,Use_case_lifespans!$B41,0)</f>
        <v>0</v>
      </c>
      <c r="R41" s="85">
        <f>IF(DTE_Lifespans_existing!R41=1,Use_case_lifespans!$B41,0)</f>
        <v>0</v>
      </c>
      <c r="S41" s="85">
        <f>IF(DTE_Lifespans_existing!S41=1,Use_case_lifespans!$B41,0)</f>
        <v>0</v>
      </c>
      <c r="T41" s="85">
        <f>IF(DTE_Lifespans_existing!T41=1,Use_case_lifespans!$B41,0)</f>
        <v>0</v>
      </c>
      <c r="U41" s="85">
        <f>IF(DTE_Lifespans_existing!U41=1,Use_case_lifespans!$B41,0)</f>
        <v>0</v>
      </c>
      <c r="V41" s="85">
        <f>IF(DTE_Lifespans_existing!V41=1,Use_case_lifespans!$B41,0)</f>
        <v>0</v>
      </c>
    </row>
    <row r="42" spans="1:22" x14ac:dyDescent="0.3">
      <c r="A42" s="29" t="s">
        <v>63</v>
      </c>
      <c r="B42" s="37" t="s">
        <v>43</v>
      </c>
      <c r="C42" s="85" t="str">
        <f>IF(DTE_Lifespans_existing!C42=1,Use_case_lifespans!$B42,0)</f>
        <v>Human Space Flight</v>
      </c>
      <c r="D42" s="85" t="str">
        <f>IF(DTE_Lifespans_existing!D42=1,Use_case_lifespans!$B42,0)</f>
        <v>Human Space Flight</v>
      </c>
      <c r="E42" s="85" t="str">
        <f>IF(DTE_Lifespans_existing!E42=1,Use_case_lifespans!$B42,0)</f>
        <v>Human Space Flight</v>
      </c>
      <c r="F42" s="85" t="str">
        <f>IF(DTE_Lifespans_existing!F42=1,Use_case_lifespans!$B42,0)</f>
        <v>Human Space Flight</v>
      </c>
      <c r="G42" s="85" t="str">
        <f>IF(DTE_Lifespans_existing!G42=1,Use_case_lifespans!$B42,0)</f>
        <v>Human Space Flight</v>
      </c>
      <c r="H42" s="85" t="str">
        <f>IF(DTE_Lifespans_existing!H42=1,Use_case_lifespans!$B42,0)</f>
        <v>Human Space Flight</v>
      </c>
      <c r="I42" s="85" t="str">
        <f>IF(DTE_Lifespans_existing!I42=1,Use_case_lifespans!$B42,0)</f>
        <v>Human Space Flight</v>
      </c>
      <c r="J42" s="85" t="str">
        <f>IF(DTE_Lifespans_existing!J42=1,Use_case_lifespans!$B42,0)</f>
        <v>Human Space Flight</v>
      </c>
      <c r="K42" s="85" t="str">
        <f>IF(DTE_Lifespans_existing!K42=1,Use_case_lifespans!$B42,0)</f>
        <v>Human Space Flight</v>
      </c>
      <c r="L42" s="85" t="str">
        <f>IF(DTE_Lifespans_existing!L42=1,Use_case_lifespans!$B42,0)</f>
        <v>Human Space Flight</v>
      </c>
      <c r="M42" s="85" t="str">
        <f>IF(DTE_Lifespans_existing!M42=1,Use_case_lifespans!$B42,0)</f>
        <v>Human Space Flight</v>
      </c>
      <c r="N42" s="85" t="str">
        <f>IF(DTE_Lifespans_existing!N42=1,Use_case_lifespans!$B42,0)</f>
        <v>Human Space Flight</v>
      </c>
      <c r="O42" s="85" t="str">
        <f>IF(DTE_Lifespans_existing!O42=1,Use_case_lifespans!$B42,0)</f>
        <v>Human Space Flight</v>
      </c>
      <c r="P42" s="85" t="str">
        <f>IF(DTE_Lifespans_existing!P42=1,Use_case_lifespans!$B42,0)</f>
        <v>Human Space Flight</v>
      </c>
      <c r="Q42" s="85" t="str">
        <f>IF(DTE_Lifespans_existing!Q42=1,Use_case_lifespans!$B42,0)</f>
        <v>Human Space Flight</v>
      </c>
      <c r="R42" s="85" t="str">
        <f>IF(DTE_Lifespans_existing!R42=1,Use_case_lifespans!$B42,0)</f>
        <v>Human Space Flight</v>
      </c>
      <c r="S42" s="85" t="str">
        <f>IF(DTE_Lifespans_existing!S42=1,Use_case_lifespans!$B42,0)</f>
        <v>Human Space Flight</v>
      </c>
      <c r="T42" s="85" t="str">
        <f>IF(DTE_Lifespans_existing!T42=1,Use_case_lifespans!$B42,0)</f>
        <v>Human Space Flight</v>
      </c>
      <c r="U42" s="85" t="str">
        <f>IF(DTE_Lifespans_existing!U42=1,Use_case_lifespans!$B42,0)</f>
        <v>Human Space Flight</v>
      </c>
      <c r="V42" s="85" t="str">
        <f>IF(DTE_Lifespans_existing!V42=1,Use_case_lifespans!$B42,0)</f>
        <v>Human Space Flight</v>
      </c>
    </row>
    <row r="43" spans="1:22" x14ac:dyDescent="0.3">
      <c r="A43" s="29" t="s">
        <v>64</v>
      </c>
      <c r="B43" s="30" t="s">
        <v>46</v>
      </c>
      <c r="C43" s="85" t="str">
        <f>IF(DTE_Lifespans_existing!C43=1,Use_case_lifespans!$B43,0)</f>
        <v>Near Earth Robotic - Low Latency and Complex Needs</v>
      </c>
      <c r="D43" s="85" t="str">
        <f>IF(DTE_Lifespans_existing!D43=1,Use_case_lifespans!$B43,0)</f>
        <v>Near Earth Robotic - Low Latency and Complex Needs</v>
      </c>
      <c r="E43" s="85">
        <f>IF(DTE_Lifespans_existing!E43=1,Use_case_lifespans!$B43,0)</f>
        <v>0</v>
      </c>
      <c r="F43" s="85">
        <f>IF(DTE_Lifespans_existing!F43=1,Use_case_lifespans!$B43,0)</f>
        <v>0</v>
      </c>
      <c r="G43" s="85">
        <f>IF(DTE_Lifespans_existing!G43=1,Use_case_lifespans!$B43,0)</f>
        <v>0</v>
      </c>
      <c r="H43" s="85">
        <f>IF(DTE_Lifespans_existing!H43=1,Use_case_lifespans!$B43,0)</f>
        <v>0</v>
      </c>
      <c r="I43" s="85">
        <f>IF(DTE_Lifespans_existing!I43=1,Use_case_lifespans!$B43,0)</f>
        <v>0</v>
      </c>
      <c r="J43" s="85">
        <f>IF(DTE_Lifespans_existing!J43=1,Use_case_lifespans!$B43,0)</f>
        <v>0</v>
      </c>
      <c r="K43" s="85">
        <f>IF(DTE_Lifespans_existing!K43=1,Use_case_lifespans!$B43,0)</f>
        <v>0</v>
      </c>
      <c r="L43" s="85">
        <f>IF(DTE_Lifespans_existing!L43=1,Use_case_lifespans!$B43,0)</f>
        <v>0</v>
      </c>
      <c r="M43" s="85">
        <f>IF(DTE_Lifespans_existing!M43=1,Use_case_lifespans!$B43,0)</f>
        <v>0</v>
      </c>
      <c r="N43" s="85">
        <f>IF(DTE_Lifespans_existing!N43=1,Use_case_lifespans!$B43,0)</f>
        <v>0</v>
      </c>
      <c r="O43" s="85">
        <f>IF(DTE_Lifespans_existing!O43=1,Use_case_lifespans!$B43,0)</f>
        <v>0</v>
      </c>
      <c r="P43" s="85">
        <f>IF(DTE_Lifespans_existing!P43=1,Use_case_lifespans!$B43,0)</f>
        <v>0</v>
      </c>
      <c r="Q43" s="85">
        <f>IF(DTE_Lifespans_existing!Q43=1,Use_case_lifespans!$B43,0)</f>
        <v>0</v>
      </c>
      <c r="R43" s="85">
        <f>IF(DTE_Lifespans_existing!R43=1,Use_case_lifespans!$B43,0)</f>
        <v>0</v>
      </c>
      <c r="S43" s="85">
        <f>IF(DTE_Lifespans_existing!S43=1,Use_case_lifespans!$B43,0)</f>
        <v>0</v>
      </c>
      <c r="T43" s="85">
        <f>IF(DTE_Lifespans_existing!T43=1,Use_case_lifespans!$B43,0)</f>
        <v>0</v>
      </c>
      <c r="U43" s="85">
        <f>IF(DTE_Lifespans_existing!U43=1,Use_case_lifespans!$B43,0)</f>
        <v>0</v>
      </c>
      <c r="V43" s="85">
        <f>IF(DTE_Lifespans_existing!V43=1,Use_case_lifespans!$B43,0)</f>
        <v>0</v>
      </c>
    </row>
    <row r="44" spans="1:22" x14ac:dyDescent="0.3">
      <c r="A44" s="29" t="s">
        <v>65</v>
      </c>
      <c r="B44" s="30" t="s">
        <v>41</v>
      </c>
      <c r="C44" s="85" t="str">
        <f>IF(DTE_Lifespans_existing!C44=1,Use_case_lifespans!$B44,0)</f>
        <v>Near Earth Robotic - LEO Science</v>
      </c>
      <c r="D44" s="85" t="str">
        <f>IF(DTE_Lifespans_existing!D44=1,Use_case_lifespans!$B44,0)</f>
        <v>Near Earth Robotic - LEO Science</v>
      </c>
      <c r="E44" s="85" t="str">
        <f>IF(DTE_Lifespans_existing!E44=1,Use_case_lifespans!$B44,0)</f>
        <v>Near Earth Robotic - LEO Science</v>
      </c>
      <c r="F44" s="85" t="str">
        <f>IF(DTE_Lifespans_existing!F44=1,Use_case_lifespans!$B44,0)</f>
        <v>Near Earth Robotic - LEO Science</v>
      </c>
      <c r="G44" s="85" t="str">
        <f>IF(DTE_Lifespans_existing!G44=1,Use_case_lifespans!$B44,0)</f>
        <v>Near Earth Robotic - LEO Science</v>
      </c>
      <c r="H44" s="85" t="str">
        <f>IF(DTE_Lifespans_existing!H44=1,Use_case_lifespans!$B44,0)</f>
        <v>Near Earth Robotic - LEO Science</v>
      </c>
      <c r="I44" s="85" t="str">
        <f>IF(DTE_Lifespans_existing!I44=1,Use_case_lifespans!$B44,0)</f>
        <v>Near Earth Robotic - LEO Science</v>
      </c>
      <c r="J44" s="85">
        <f>IF(DTE_Lifespans_existing!J44=1,Use_case_lifespans!$B44,0)</f>
        <v>0</v>
      </c>
      <c r="K44" s="85">
        <f>IF(DTE_Lifespans_existing!K44=1,Use_case_lifespans!$B44,0)</f>
        <v>0</v>
      </c>
      <c r="L44" s="85">
        <f>IF(DTE_Lifespans_existing!L44=1,Use_case_lifespans!$B44,0)</f>
        <v>0</v>
      </c>
      <c r="M44" s="85">
        <f>IF(DTE_Lifespans_existing!M44=1,Use_case_lifespans!$B44,0)</f>
        <v>0</v>
      </c>
      <c r="N44" s="85">
        <f>IF(DTE_Lifespans_existing!N44=1,Use_case_lifespans!$B44,0)</f>
        <v>0</v>
      </c>
      <c r="O44" s="85">
        <f>IF(DTE_Lifespans_existing!O44=1,Use_case_lifespans!$B44,0)</f>
        <v>0</v>
      </c>
      <c r="P44" s="85">
        <f>IF(DTE_Lifespans_existing!P44=1,Use_case_lifespans!$B44,0)</f>
        <v>0</v>
      </c>
      <c r="Q44" s="85">
        <f>IF(DTE_Lifespans_existing!Q44=1,Use_case_lifespans!$B44,0)</f>
        <v>0</v>
      </c>
      <c r="R44" s="85">
        <f>IF(DTE_Lifespans_existing!R44=1,Use_case_lifespans!$B44,0)</f>
        <v>0</v>
      </c>
      <c r="S44" s="85">
        <f>IF(DTE_Lifespans_existing!S44=1,Use_case_lifespans!$B44,0)</f>
        <v>0</v>
      </c>
      <c r="T44" s="85">
        <f>IF(DTE_Lifespans_existing!T44=1,Use_case_lifespans!$B44,0)</f>
        <v>0</v>
      </c>
      <c r="U44" s="85">
        <f>IF(DTE_Lifespans_existing!U44=1,Use_case_lifespans!$B44,0)</f>
        <v>0</v>
      </c>
      <c r="V44" s="85">
        <f>IF(DTE_Lifespans_existing!V44=1,Use_case_lifespans!$B44,0)</f>
        <v>0</v>
      </c>
    </row>
    <row r="45" spans="1:22" x14ac:dyDescent="0.3">
      <c r="A45" s="29" t="s">
        <v>35</v>
      </c>
      <c r="B45" s="30" t="s">
        <v>40</v>
      </c>
      <c r="C45" s="85" t="str">
        <f>IF(DTE_Lifespans_existing!C45=1,Use_case_lifespans!$B45,0)</f>
        <v>Near Earth Robotic - GEO and Near Earth</v>
      </c>
      <c r="D45" s="85" t="str">
        <f>IF(DTE_Lifespans_existing!D45=1,Use_case_lifespans!$B45,0)</f>
        <v>Near Earth Robotic - GEO and Near Earth</v>
      </c>
      <c r="E45" s="85">
        <f>IF(DTE_Lifespans_existing!E45=1,Use_case_lifespans!$B45,0)</f>
        <v>0</v>
      </c>
      <c r="F45" s="85">
        <f>IF(DTE_Lifespans_existing!F45=1,Use_case_lifespans!$B45,0)</f>
        <v>0</v>
      </c>
      <c r="G45" s="85">
        <f>IF(DTE_Lifespans_existing!G45=1,Use_case_lifespans!$B45,0)</f>
        <v>0</v>
      </c>
      <c r="H45" s="85">
        <f>IF(DTE_Lifespans_existing!H45=1,Use_case_lifespans!$B45,0)</f>
        <v>0</v>
      </c>
      <c r="I45" s="85">
        <f>IF(DTE_Lifespans_existing!I45=1,Use_case_lifespans!$B45,0)</f>
        <v>0</v>
      </c>
      <c r="J45" s="85">
        <f>IF(DTE_Lifespans_existing!J45=1,Use_case_lifespans!$B45,0)</f>
        <v>0</v>
      </c>
      <c r="K45" s="85">
        <f>IF(DTE_Lifespans_existing!K45=1,Use_case_lifespans!$B45,0)</f>
        <v>0</v>
      </c>
      <c r="L45" s="85">
        <f>IF(DTE_Lifespans_existing!L45=1,Use_case_lifespans!$B45,0)</f>
        <v>0</v>
      </c>
      <c r="M45" s="85">
        <f>IF(DTE_Lifespans_existing!M45=1,Use_case_lifespans!$B45,0)</f>
        <v>0</v>
      </c>
      <c r="N45" s="85">
        <f>IF(DTE_Lifespans_existing!N45=1,Use_case_lifespans!$B45,0)</f>
        <v>0</v>
      </c>
      <c r="O45" s="85">
        <f>IF(DTE_Lifespans_existing!O45=1,Use_case_lifespans!$B45,0)</f>
        <v>0</v>
      </c>
      <c r="P45" s="85">
        <f>IF(DTE_Lifespans_existing!P45=1,Use_case_lifespans!$B45,0)</f>
        <v>0</v>
      </c>
      <c r="Q45" s="85">
        <f>IF(DTE_Lifespans_existing!Q45=1,Use_case_lifespans!$B45,0)</f>
        <v>0</v>
      </c>
      <c r="R45" s="85">
        <f>IF(DTE_Lifespans_existing!R45=1,Use_case_lifespans!$B45,0)</f>
        <v>0</v>
      </c>
      <c r="S45" s="85">
        <f>IF(DTE_Lifespans_existing!S45=1,Use_case_lifespans!$B45,0)</f>
        <v>0</v>
      </c>
      <c r="T45" s="85">
        <f>IF(DTE_Lifespans_existing!T45=1,Use_case_lifespans!$B45,0)</f>
        <v>0</v>
      </c>
      <c r="U45" s="85">
        <f>IF(DTE_Lifespans_existing!U45=1,Use_case_lifespans!$B45,0)</f>
        <v>0</v>
      </c>
      <c r="V45" s="85">
        <f>IF(DTE_Lifespans_existing!V45=1,Use_case_lifespans!$B45,0)</f>
        <v>0</v>
      </c>
    </row>
    <row r="46" spans="1:22" x14ac:dyDescent="0.3">
      <c r="A46" s="29" t="s">
        <v>36</v>
      </c>
      <c r="B46" s="30" t="s">
        <v>40</v>
      </c>
      <c r="C46" s="85" t="str">
        <f>IF(DTE_Lifespans_existing!C46=1,Use_case_lifespans!$B46,0)</f>
        <v>Near Earth Robotic - GEO and Near Earth</v>
      </c>
      <c r="D46" s="85" t="str">
        <f>IF(DTE_Lifespans_existing!D46=1,Use_case_lifespans!$B46,0)</f>
        <v>Near Earth Robotic - GEO and Near Earth</v>
      </c>
      <c r="E46" s="85">
        <f>IF(DTE_Lifespans_existing!E46=1,Use_case_lifespans!$B46,0)</f>
        <v>0</v>
      </c>
      <c r="F46" s="85">
        <f>IF(DTE_Lifespans_existing!F46=1,Use_case_lifespans!$B46,0)</f>
        <v>0</v>
      </c>
      <c r="G46" s="85">
        <f>IF(DTE_Lifespans_existing!G46=1,Use_case_lifespans!$B46,0)</f>
        <v>0</v>
      </c>
      <c r="H46" s="85">
        <f>IF(DTE_Lifespans_existing!H46=1,Use_case_lifespans!$B46,0)</f>
        <v>0</v>
      </c>
      <c r="I46" s="85">
        <f>IF(DTE_Lifespans_existing!I46=1,Use_case_lifespans!$B46,0)</f>
        <v>0</v>
      </c>
      <c r="J46" s="85">
        <f>IF(DTE_Lifespans_existing!J46=1,Use_case_lifespans!$B46,0)</f>
        <v>0</v>
      </c>
      <c r="K46" s="85">
        <f>IF(DTE_Lifespans_existing!K46=1,Use_case_lifespans!$B46,0)</f>
        <v>0</v>
      </c>
      <c r="L46" s="85">
        <f>IF(DTE_Lifespans_existing!L46=1,Use_case_lifespans!$B46,0)</f>
        <v>0</v>
      </c>
      <c r="M46" s="85">
        <f>IF(DTE_Lifespans_existing!M46=1,Use_case_lifespans!$B46,0)</f>
        <v>0</v>
      </c>
      <c r="N46" s="85">
        <f>IF(DTE_Lifespans_existing!N46=1,Use_case_lifespans!$B46,0)</f>
        <v>0</v>
      </c>
      <c r="O46" s="85">
        <f>IF(DTE_Lifespans_existing!O46=1,Use_case_lifespans!$B46,0)</f>
        <v>0</v>
      </c>
      <c r="P46" s="85">
        <f>IF(DTE_Lifespans_existing!P46=1,Use_case_lifespans!$B46,0)</f>
        <v>0</v>
      </c>
      <c r="Q46" s="85">
        <f>IF(DTE_Lifespans_existing!Q46=1,Use_case_lifespans!$B46,0)</f>
        <v>0</v>
      </c>
      <c r="R46" s="85">
        <f>IF(DTE_Lifespans_existing!R46=1,Use_case_lifespans!$B46,0)</f>
        <v>0</v>
      </c>
      <c r="S46" s="85">
        <f>IF(DTE_Lifespans_existing!S46=1,Use_case_lifespans!$B46,0)</f>
        <v>0</v>
      </c>
      <c r="T46" s="85">
        <f>IF(DTE_Lifespans_existing!T46=1,Use_case_lifespans!$B46,0)</f>
        <v>0</v>
      </c>
      <c r="U46" s="85">
        <f>IF(DTE_Lifespans_existing!U46=1,Use_case_lifespans!$B46,0)</f>
        <v>0</v>
      </c>
      <c r="V46" s="85">
        <f>IF(DTE_Lifespans_existing!V46=1,Use_case_lifespans!$B46,0)</f>
        <v>0</v>
      </c>
    </row>
    <row r="47" spans="1:22" x14ac:dyDescent="0.3">
      <c r="A47" s="29" t="s">
        <v>37</v>
      </c>
      <c r="B47" s="30" t="s">
        <v>40</v>
      </c>
      <c r="C47" s="85" t="str">
        <f>IF(DTE_Lifespans_existing!C47=1,Use_case_lifespans!$B47,0)</f>
        <v>Near Earth Robotic - GEO and Near Earth</v>
      </c>
      <c r="D47" s="85" t="str">
        <f>IF(DTE_Lifespans_existing!D47=1,Use_case_lifespans!$B47,0)</f>
        <v>Near Earth Robotic - GEO and Near Earth</v>
      </c>
      <c r="E47" s="85">
        <f>IF(DTE_Lifespans_existing!E47=1,Use_case_lifespans!$B47,0)</f>
        <v>0</v>
      </c>
      <c r="F47" s="85">
        <f>IF(DTE_Lifespans_existing!F47=1,Use_case_lifespans!$B47,0)</f>
        <v>0</v>
      </c>
      <c r="G47" s="85">
        <f>IF(DTE_Lifespans_existing!G47=1,Use_case_lifespans!$B47,0)</f>
        <v>0</v>
      </c>
      <c r="H47" s="85">
        <f>IF(DTE_Lifespans_existing!H47=1,Use_case_lifespans!$B47,0)</f>
        <v>0</v>
      </c>
      <c r="I47" s="85">
        <f>IF(DTE_Lifespans_existing!I47=1,Use_case_lifespans!$B47,0)</f>
        <v>0</v>
      </c>
      <c r="J47" s="85">
        <f>IF(DTE_Lifespans_existing!J47=1,Use_case_lifespans!$B47,0)</f>
        <v>0</v>
      </c>
      <c r="K47" s="85">
        <f>IF(DTE_Lifespans_existing!K47=1,Use_case_lifespans!$B47,0)</f>
        <v>0</v>
      </c>
      <c r="L47" s="85">
        <f>IF(DTE_Lifespans_existing!L47=1,Use_case_lifespans!$B47,0)</f>
        <v>0</v>
      </c>
      <c r="M47" s="85">
        <f>IF(DTE_Lifespans_existing!M47=1,Use_case_lifespans!$B47,0)</f>
        <v>0</v>
      </c>
      <c r="N47" s="85">
        <f>IF(DTE_Lifespans_existing!N47=1,Use_case_lifespans!$B47,0)</f>
        <v>0</v>
      </c>
      <c r="O47" s="85">
        <f>IF(DTE_Lifespans_existing!O47=1,Use_case_lifespans!$B47,0)</f>
        <v>0</v>
      </c>
      <c r="P47" s="85">
        <f>IF(DTE_Lifespans_existing!P47=1,Use_case_lifespans!$B47,0)</f>
        <v>0</v>
      </c>
      <c r="Q47" s="85">
        <f>IF(DTE_Lifespans_existing!Q47=1,Use_case_lifespans!$B47,0)</f>
        <v>0</v>
      </c>
      <c r="R47" s="85">
        <f>IF(DTE_Lifespans_existing!R47=1,Use_case_lifespans!$B47,0)</f>
        <v>0</v>
      </c>
      <c r="S47" s="85">
        <f>IF(DTE_Lifespans_existing!S47=1,Use_case_lifespans!$B47,0)</f>
        <v>0</v>
      </c>
      <c r="T47" s="85">
        <f>IF(DTE_Lifespans_existing!T47=1,Use_case_lifespans!$B47,0)</f>
        <v>0</v>
      </c>
      <c r="U47" s="85">
        <f>IF(DTE_Lifespans_existing!U47=1,Use_case_lifespans!$B47,0)</f>
        <v>0</v>
      </c>
      <c r="V47" s="85">
        <f>IF(DTE_Lifespans_existing!V47=1,Use_case_lifespans!$B47,0)</f>
        <v>0</v>
      </c>
    </row>
    <row r="48" spans="1:22" x14ac:dyDescent="0.3">
      <c r="A48" s="29" t="s">
        <v>38</v>
      </c>
      <c r="B48" s="30" t="s">
        <v>41</v>
      </c>
      <c r="C48" s="85" t="str">
        <f>IF(DTE_Lifespans_existing!C48=1,Use_case_lifespans!$B48,0)</f>
        <v>Near Earth Robotic - LEO Science</v>
      </c>
      <c r="D48" s="85">
        <f>IF(DTE_Lifespans_existing!D48=1,Use_case_lifespans!$B48,0)</f>
        <v>0</v>
      </c>
      <c r="E48" s="85">
        <f>IF(DTE_Lifespans_existing!E48=1,Use_case_lifespans!$B48,0)</f>
        <v>0</v>
      </c>
      <c r="F48" s="85">
        <f>IF(DTE_Lifespans_existing!F48=1,Use_case_lifespans!$B48,0)</f>
        <v>0</v>
      </c>
      <c r="G48" s="85">
        <f>IF(DTE_Lifespans_existing!G48=1,Use_case_lifespans!$B48,0)</f>
        <v>0</v>
      </c>
      <c r="H48" s="85">
        <f>IF(DTE_Lifespans_existing!H48=1,Use_case_lifespans!$B48,0)</f>
        <v>0</v>
      </c>
      <c r="I48" s="85">
        <f>IF(DTE_Lifespans_existing!I48=1,Use_case_lifespans!$B48,0)</f>
        <v>0</v>
      </c>
      <c r="J48" s="85">
        <f>IF(DTE_Lifespans_existing!J48=1,Use_case_lifespans!$B48,0)</f>
        <v>0</v>
      </c>
      <c r="K48" s="85">
        <f>IF(DTE_Lifespans_existing!K48=1,Use_case_lifespans!$B48,0)</f>
        <v>0</v>
      </c>
      <c r="L48" s="85">
        <f>IF(DTE_Lifespans_existing!L48=1,Use_case_lifespans!$B48,0)</f>
        <v>0</v>
      </c>
      <c r="M48" s="85">
        <f>IF(DTE_Lifespans_existing!M48=1,Use_case_lifespans!$B48,0)</f>
        <v>0</v>
      </c>
      <c r="N48" s="85">
        <f>IF(DTE_Lifespans_existing!N48=1,Use_case_lifespans!$B48,0)</f>
        <v>0</v>
      </c>
      <c r="O48" s="85">
        <f>IF(DTE_Lifespans_existing!O48=1,Use_case_lifespans!$B48,0)</f>
        <v>0</v>
      </c>
      <c r="P48" s="85">
        <f>IF(DTE_Lifespans_existing!P48=1,Use_case_lifespans!$B48,0)</f>
        <v>0</v>
      </c>
      <c r="Q48" s="85">
        <f>IF(DTE_Lifespans_existing!Q48=1,Use_case_lifespans!$B48,0)</f>
        <v>0</v>
      </c>
      <c r="R48" s="85">
        <f>IF(DTE_Lifespans_existing!R48=1,Use_case_lifespans!$B48,0)</f>
        <v>0</v>
      </c>
      <c r="S48" s="85">
        <f>IF(DTE_Lifespans_existing!S48=1,Use_case_lifespans!$B48,0)</f>
        <v>0</v>
      </c>
      <c r="T48" s="85">
        <f>IF(DTE_Lifespans_existing!T48=1,Use_case_lifespans!$B48,0)</f>
        <v>0</v>
      </c>
      <c r="U48" s="85">
        <f>IF(DTE_Lifespans_existing!U48=1,Use_case_lifespans!$B48,0)</f>
        <v>0</v>
      </c>
      <c r="V48" s="85">
        <f>IF(DTE_Lifespans_existing!V48=1,Use_case_lifespans!$B48,0)</f>
        <v>0</v>
      </c>
    </row>
    <row r="49" spans="1:22" x14ac:dyDescent="0.3">
      <c r="C49" s="85"/>
      <c r="D49" s="85"/>
      <c r="E49" s="85"/>
      <c r="F49" s="85"/>
      <c r="G49" s="85"/>
      <c r="H49" s="85"/>
      <c r="I49" s="85"/>
      <c r="J49" s="85"/>
      <c r="K49" s="85"/>
      <c r="L49" s="85"/>
      <c r="M49" s="85"/>
      <c r="N49" s="85"/>
      <c r="O49" s="85"/>
      <c r="P49" s="85"/>
      <c r="Q49" s="85"/>
      <c r="R49" s="85"/>
      <c r="S49" s="85"/>
      <c r="T49" s="85"/>
      <c r="U49" s="85"/>
      <c r="V49" s="85"/>
    </row>
    <row r="50" spans="1:22" x14ac:dyDescent="0.3">
      <c r="A50" s="83" t="s">
        <v>125</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CD8F4-2572-419D-9209-A7874310E3D2}">
  <sheetPr codeName="Sheet20">
    <tabColor rgb="FF92D050"/>
  </sheetPr>
  <dimension ref="A1:V96"/>
  <sheetViews>
    <sheetView zoomScaleNormal="100" workbookViewId="0">
      <selection activeCell="D24" sqref="D24"/>
    </sheetView>
  </sheetViews>
  <sheetFormatPr defaultRowHeight="13.8" x14ac:dyDescent="0.25"/>
  <cols>
    <col min="1" max="1" width="14.21875" style="45" customWidth="1"/>
    <col min="2" max="2" width="51.88671875" style="45" bestFit="1" customWidth="1"/>
    <col min="3" max="22" width="9.44140625" style="46" customWidth="1"/>
    <col min="23" max="16384" width="8.88671875" style="45"/>
  </cols>
  <sheetData>
    <row r="1" spans="1:22" s="11" customFormat="1" x14ac:dyDescent="0.25">
      <c r="A1" s="27" t="s">
        <v>16</v>
      </c>
      <c r="B1" s="27" t="s">
        <v>82</v>
      </c>
      <c r="C1" s="27">
        <v>2021</v>
      </c>
      <c r="D1" s="28">
        <v>2022</v>
      </c>
      <c r="E1" s="27">
        <v>2023</v>
      </c>
      <c r="F1" s="28">
        <v>2024</v>
      </c>
      <c r="G1" s="27">
        <v>2025</v>
      </c>
      <c r="H1" s="28">
        <v>2026</v>
      </c>
      <c r="I1" s="27">
        <v>2027</v>
      </c>
      <c r="J1" s="28">
        <v>2028</v>
      </c>
      <c r="K1" s="27">
        <v>2029</v>
      </c>
      <c r="L1" s="28">
        <v>2030</v>
      </c>
      <c r="M1" s="27">
        <v>2031</v>
      </c>
      <c r="N1" s="28">
        <v>2032</v>
      </c>
      <c r="O1" s="27">
        <v>2033</v>
      </c>
      <c r="P1" s="28">
        <v>2034</v>
      </c>
      <c r="Q1" s="27">
        <v>2035</v>
      </c>
      <c r="R1" s="28">
        <v>2036</v>
      </c>
      <c r="S1" s="27">
        <v>2037</v>
      </c>
      <c r="T1" s="28">
        <v>2038</v>
      </c>
      <c r="U1" s="27">
        <v>2039</v>
      </c>
      <c r="V1" s="28">
        <v>2040</v>
      </c>
    </row>
    <row r="2" spans="1:22" s="2" customFormat="1" ht="14.4" customHeight="1" x14ac:dyDescent="0.25">
      <c r="A2" s="497" t="s">
        <v>85</v>
      </c>
      <c r="B2" s="30" t="s">
        <v>43</v>
      </c>
      <c r="C2" s="34">
        <f>COUNTIF(Use_case_lifespans!C$2:C$48,$B2)</f>
        <v>6</v>
      </c>
      <c r="D2" s="34">
        <f>COUNTIF(Use_case_lifespans!D$2:D$48,$B2)</f>
        <v>6</v>
      </c>
      <c r="E2" s="34">
        <f>COUNTIF(Use_case_lifespans!E$2:E$48,$B2)</f>
        <v>6</v>
      </c>
      <c r="F2" s="34">
        <f>COUNTIF(Use_case_lifespans!F$2:F$48,$B2)</f>
        <v>6</v>
      </c>
      <c r="G2" s="34">
        <f>COUNTIF(Use_case_lifespans!G$2:G$48,$B2)</f>
        <v>6</v>
      </c>
      <c r="H2" s="34">
        <f>COUNTIF(Use_case_lifespans!H$2:H$48,$B2)</f>
        <v>6</v>
      </c>
      <c r="I2" s="34">
        <f>COUNTIF(Use_case_lifespans!I$2:I$48,$B2)</f>
        <v>6</v>
      </c>
      <c r="J2" s="34">
        <f>COUNTIF(Use_case_lifespans!J$2:J$48,$B2)</f>
        <v>6</v>
      </c>
      <c r="K2" s="34">
        <f>COUNTIF(Use_case_lifespans!K$2:K$48,$B2)</f>
        <v>6</v>
      </c>
      <c r="L2" s="34">
        <f>COUNTIF(Use_case_lifespans!L$2:L$48,$B2)</f>
        <v>6</v>
      </c>
      <c r="M2" s="34">
        <f>COUNTIF(Use_case_lifespans!M$2:M$48,$B2)</f>
        <v>4</v>
      </c>
      <c r="N2" s="34">
        <f>COUNTIF(Use_case_lifespans!N$2:N$48,$B2)</f>
        <v>4</v>
      </c>
      <c r="O2" s="34">
        <f>COUNTIF(Use_case_lifespans!O$2:O$48,$B2)</f>
        <v>4</v>
      </c>
      <c r="P2" s="34">
        <f>COUNTIF(Use_case_lifespans!P$2:P$48,$B2)</f>
        <v>4</v>
      </c>
      <c r="Q2" s="34">
        <f>COUNTIF(Use_case_lifespans!Q$2:Q$48,$B2)</f>
        <v>4</v>
      </c>
      <c r="R2" s="34">
        <f>COUNTIF(Use_case_lifespans!R$2:R$48,$B2)</f>
        <v>4</v>
      </c>
      <c r="S2" s="34">
        <f>COUNTIF(Use_case_lifespans!S$2:S$48,$B2)</f>
        <v>4</v>
      </c>
      <c r="T2" s="34">
        <f>COUNTIF(Use_case_lifespans!T$2:T$48,$B2)</f>
        <v>4</v>
      </c>
      <c r="U2" s="34">
        <f>COUNTIF(Use_case_lifespans!U$2:U$48,$B2)</f>
        <v>4</v>
      </c>
      <c r="V2" s="34">
        <f>COUNTIF(Use_case_lifespans!V$2:V$48,$B2)</f>
        <v>4</v>
      </c>
    </row>
    <row r="3" spans="1:22" s="2" customFormat="1" x14ac:dyDescent="0.25">
      <c r="A3" s="497"/>
      <c r="B3" s="30" t="s">
        <v>41</v>
      </c>
      <c r="C3" s="34">
        <f>COUNTIF(Use_case_lifespans!C$2:C$48,$B3)</f>
        <v>17</v>
      </c>
      <c r="D3" s="34">
        <f>COUNTIF(Use_case_lifespans!D$2:D$48,$B3)</f>
        <v>15</v>
      </c>
      <c r="E3" s="34">
        <f>COUNTIF(Use_case_lifespans!E$2:E$48,$B3)</f>
        <v>14</v>
      </c>
      <c r="F3" s="34">
        <f>COUNTIF(Use_case_lifespans!F$2:F$48,$B3)</f>
        <v>12</v>
      </c>
      <c r="G3" s="34">
        <f>COUNTIF(Use_case_lifespans!G$2:G$48,$B3)</f>
        <v>9</v>
      </c>
      <c r="H3" s="34">
        <f>COUNTIF(Use_case_lifespans!H$2:H$48,$B3)</f>
        <v>6</v>
      </c>
      <c r="I3" s="34">
        <f>COUNTIF(Use_case_lifespans!I$2:I$48,$B3)</f>
        <v>3</v>
      </c>
      <c r="J3" s="34">
        <f>COUNTIF(Use_case_lifespans!J$2:J$48,$B3)</f>
        <v>1</v>
      </c>
      <c r="K3" s="34">
        <f>COUNTIF(Use_case_lifespans!K$2:K$48,$B3)</f>
        <v>1</v>
      </c>
      <c r="L3" s="34">
        <f>COUNTIF(Use_case_lifespans!L$2:L$48,$B3)</f>
        <v>1</v>
      </c>
      <c r="M3" s="34">
        <f>COUNTIF(Use_case_lifespans!M$2:M$48,$B3)</f>
        <v>1</v>
      </c>
      <c r="N3" s="34">
        <f>COUNTIF(Use_case_lifespans!N$2:N$48,$B3)</f>
        <v>1</v>
      </c>
      <c r="O3" s="34">
        <f>COUNTIF(Use_case_lifespans!O$2:O$48,$B3)</f>
        <v>1</v>
      </c>
      <c r="P3" s="34">
        <f>COUNTIF(Use_case_lifespans!P$2:P$48,$B3)</f>
        <v>1</v>
      </c>
      <c r="Q3" s="34">
        <f>COUNTIF(Use_case_lifespans!Q$2:Q$48,$B3)</f>
        <v>1</v>
      </c>
      <c r="R3" s="34">
        <f>COUNTIF(Use_case_lifespans!R$2:R$48,$B3)</f>
        <v>1</v>
      </c>
      <c r="S3" s="34">
        <f>COUNTIF(Use_case_lifespans!S$2:S$48,$B3)</f>
        <v>1</v>
      </c>
      <c r="T3" s="34">
        <f>COUNTIF(Use_case_lifespans!T$2:T$48,$B3)</f>
        <v>1</v>
      </c>
      <c r="U3" s="34">
        <f>COUNTIF(Use_case_lifespans!U$2:U$48,$B3)</f>
        <v>1</v>
      </c>
      <c r="V3" s="34">
        <f>COUNTIF(Use_case_lifespans!V$2:V$48,$B3)</f>
        <v>1</v>
      </c>
    </row>
    <row r="4" spans="1:22" s="2" customFormat="1" x14ac:dyDescent="0.25">
      <c r="A4" s="497"/>
      <c r="B4" s="30" t="s">
        <v>40</v>
      </c>
      <c r="C4" s="34">
        <f>COUNTIF(Use_case_lifespans!C$2:C$48,$B4)</f>
        <v>8</v>
      </c>
      <c r="D4" s="34">
        <f>COUNTIF(Use_case_lifespans!D$2:D$48,$B4)</f>
        <v>8</v>
      </c>
      <c r="E4" s="34">
        <f>COUNTIF(Use_case_lifespans!E$2:E$48,$B4)</f>
        <v>4</v>
      </c>
      <c r="F4" s="34">
        <f>COUNTIF(Use_case_lifespans!F$2:F$48,$B4)</f>
        <v>4</v>
      </c>
      <c r="G4" s="34">
        <f>COUNTIF(Use_case_lifespans!G$2:G$48,$B4)</f>
        <v>4</v>
      </c>
      <c r="H4" s="34">
        <f>COUNTIF(Use_case_lifespans!H$2:H$48,$B4)</f>
        <v>4</v>
      </c>
      <c r="I4" s="34">
        <f>COUNTIF(Use_case_lifespans!I$2:I$48,$B4)</f>
        <v>4</v>
      </c>
      <c r="J4" s="34">
        <f>COUNTIF(Use_case_lifespans!J$2:J$48,$B4)</f>
        <v>4</v>
      </c>
      <c r="K4" s="34">
        <f>COUNTIF(Use_case_lifespans!K$2:K$48,$B4)</f>
        <v>4</v>
      </c>
      <c r="L4" s="34">
        <f>COUNTIF(Use_case_lifespans!L$2:L$48,$B4)</f>
        <v>4</v>
      </c>
      <c r="M4" s="34">
        <f>COUNTIF(Use_case_lifespans!M$2:M$48,$B4)</f>
        <v>4</v>
      </c>
      <c r="N4" s="34">
        <f>COUNTIF(Use_case_lifespans!N$2:N$48,$B4)</f>
        <v>4</v>
      </c>
      <c r="O4" s="34">
        <f>COUNTIF(Use_case_lifespans!O$2:O$48,$B4)</f>
        <v>4</v>
      </c>
      <c r="P4" s="34">
        <f>COUNTIF(Use_case_lifespans!P$2:P$48,$B4)</f>
        <v>4</v>
      </c>
      <c r="Q4" s="34">
        <f>COUNTIF(Use_case_lifespans!Q$2:Q$48,$B4)</f>
        <v>4</v>
      </c>
      <c r="R4" s="34">
        <f>COUNTIF(Use_case_lifespans!R$2:R$48,$B4)</f>
        <v>4</v>
      </c>
      <c r="S4" s="34">
        <f>COUNTIF(Use_case_lifespans!S$2:S$48,$B4)</f>
        <v>4</v>
      </c>
      <c r="T4" s="34">
        <f>COUNTIF(Use_case_lifespans!T$2:T$48,$B4)</f>
        <v>4</v>
      </c>
      <c r="U4" s="34">
        <f>COUNTIF(Use_case_lifespans!U$2:U$48,$B4)</f>
        <v>4</v>
      </c>
      <c r="V4" s="34">
        <f>COUNTIF(Use_case_lifespans!V$2:V$48,$B4)</f>
        <v>4</v>
      </c>
    </row>
    <row r="5" spans="1:22" s="2" customFormat="1" x14ac:dyDescent="0.25">
      <c r="A5" s="497"/>
      <c r="B5" s="30" t="s">
        <v>80</v>
      </c>
      <c r="C5" s="34">
        <f>COUNTIF(Use_case_lifespans!C$2:C$48,$B5)</f>
        <v>0</v>
      </c>
      <c r="D5" s="34">
        <f>COUNTIF(Use_case_lifespans!D$2:D$48,$B5)</f>
        <v>0</v>
      </c>
      <c r="E5" s="34">
        <f>COUNTIF(Use_case_lifespans!E$2:E$48,$B5)</f>
        <v>0</v>
      </c>
      <c r="F5" s="34">
        <f>COUNTIF(Use_case_lifespans!F$2:F$48,$B5)</f>
        <v>0</v>
      </c>
      <c r="G5" s="34">
        <f>COUNTIF(Use_case_lifespans!G$2:G$48,$B5)</f>
        <v>0</v>
      </c>
      <c r="H5" s="34">
        <f>COUNTIF(Use_case_lifespans!H$2:H$48,$B5)</f>
        <v>0</v>
      </c>
      <c r="I5" s="34">
        <f>COUNTIF(Use_case_lifespans!I$2:I$48,$B5)</f>
        <v>0</v>
      </c>
      <c r="J5" s="34">
        <f>COUNTIF(Use_case_lifespans!J$2:J$48,$B5)</f>
        <v>0</v>
      </c>
      <c r="K5" s="34">
        <f>COUNTIF(Use_case_lifespans!K$2:K$48,$B5)</f>
        <v>0</v>
      </c>
      <c r="L5" s="34">
        <f>COUNTIF(Use_case_lifespans!L$2:L$48,$B5)</f>
        <v>0</v>
      </c>
      <c r="M5" s="34">
        <f>COUNTIF(Use_case_lifespans!M$2:M$48,$B5)</f>
        <v>0</v>
      </c>
      <c r="N5" s="34">
        <f>COUNTIF(Use_case_lifespans!N$2:N$48,$B5)</f>
        <v>0</v>
      </c>
      <c r="O5" s="34">
        <f>COUNTIF(Use_case_lifespans!O$2:O$48,$B5)</f>
        <v>0</v>
      </c>
      <c r="P5" s="34">
        <f>COUNTIF(Use_case_lifespans!P$2:P$48,$B5)</f>
        <v>0</v>
      </c>
      <c r="Q5" s="34">
        <f>COUNTIF(Use_case_lifespans!Q$2:Q$48,$B5)</f>
        <v>0</v>
      </c>
      <c r="R5" s="34">
        <f>COUNTIF(Use_case_lifespans!R$2:R$48,$B5)</f>
        <v>0</v>
      </c>
      <c r="S5" s="34">
        <f>COUNTIF(Use_case_lifespans!S$2:S$48,$B5)</f>
        <v>0</v>
      </c>
      <c r="T5" s="34">
        <f>COUNTIF(Use_case_lifespans!T$2:T$48,$B5)</f>
        <v>0</v>
      </c>
      <c r="U5" s="34">
        <f>COUNTIF(Use_case_lifespans!U$2:U$48,$B5)</f>
        <v>0</v>
      </c>
      <c r="V5" s="34">
        <f>COUNTIF(Use_case_lifespans!V$2:V$48,$B5)</f>
        <v>0</v>
      </c>
    </row>
    <row r="6" spans="1:22" s="2" customFormat="1" x14ac:dyDescent="0.25">
      <c r="A6" s="497"/>
      <c r="B6" s="30" t="s">
        <v>44</v>
      </c>
      <c r="C6" s="34">
        <f>COUNTIF(Use_case_lifespans!C$2:C$48,$B6)</f>
        <v>1</v>
      </c>
      <c r="D6" s="34">
        <f>COUNTIF(Use_case_lifespans!D$2:D$48,$B6)</f>
        <v>1</v>
      </c>
      <c r="E6" s="34">
        <f>COUNTIF(Use_case_lifespans!E$2:E$48,$B6)</f>
        <v>1</v>
      </c>
      <c r="F6" s="34">
        <f>COUNTIF(Use_case_lifespans!F$2:F$48,$B6)</f>
        <v>1</v>
      </c>
      <c r="G6" s="34">
        <f>COUNTIF(Use_case_lifespans!G$2:G$48,$B6)</f>
        <v>0</v>
      </c>
      <c r="H6" s="34">
        <f>COUNTIF(Use_case_lifespans!H$2:H$48,$B6)</f>
        <v>0</v>
      </c>
      <c r="I6" s="34">
        <f>COUNTIF(Use_case_lifespans!I$2:I$48,$B6)</f>
        <v>0</v>
      </c>
      <c r="J6" s="34">
        <f>COUNTIF(Use_case_lifespans!J$2:J$48,$B6)</f>
        <v>0</v>
      </c>
      <c r="K6" s="34">
        <f>COUNTIF(Use_case_lifespans!K$2:K$48,$B6)</f>
        <v>0</v>
      </c>
      <c r="L6" s="34">
        <f>COUNTIF(Use_case_lifespans!L$2:L$48,$B6)</f>
        <v>0</v>
      </c>
      <c r="M6" s="34">
        <f>COUNTIF(Use_case_lifespans!M$2:M$48,$B6)</f>
        <v>0</v>
      </c>
      <c r="N6" s="34">
        <f>COUNTIF(Use_case_lifespans!N$2:N$48,$B6)</f>
        <v>0</v>
      </c>
      <c r="O6" s="34">
        <f>COUNTIF(Use_case_lifespans!O$2:O$48,$B6)</f>
        <v>0</v>
      </c>
      <c r="P6" s="34">
        <f>COUNTIF(Use_case_lifespans!P$2:P$48,$B6)</f>
        <v>0</v>
      </c>
      <c r="Q6" s="34">
        <f>COUNTIF(Use_case_lifespans!Q$2:Q$48,$B6)</f>
        <v>0</v>
      </c>
      <c r="R6" s="34">
        <f>COUNTIF(Use_case_lifespans!R$2:R$48,$B6)</f>
        <v>0</v>
      </c>
      <c r="S6" s="34">
        <f>COUNTIF(Use_case_lifespans!S$2:S$48,$B6)</f>
        <v>0</v>
      </c>
      <c r="T6" s="34">
        <f>COUNTIF(Use_case_lifespans!T$2:T$48,$B6)</f>
        <v>0</v>
      </c>
      <c r="U6" s="34">
        <f>COUNTIF(Use_case_lifespans!U$2:U$48,$B6)</f>
        <v>0</v>
      </c>
      <c r="V6" s="34">
        <f>COUNTIF(Use_case_lifespans!V$2:V$48,$B6)</f>
        <v>0</v>
      </c>
    </row>
    <row r="7" spans="1:22" s="2" customFormat="1" x14ac:dyDescent="0.25">
      <c r="A7" s="497"/>
      <c r="B7" s="30" t="s">
        <v>81</v>
      </c>
      <c r="C7" s="34">
        <f>COUNTIF(Use_case_lifespans!C$2:C$48,$B7)</f>
        <v>0</v>
      </c>
      <c r="D7" s="34">
        <f>COUNTIF(Use_case_lifespans!D$2:D$48,$B7)</f>
        <v>0</v>
      </c>
      <c r="E7" s="34">
        <f>COUNTIF(Use_case_lifespans!E$2:E$48,$B7)</f>
        <v>0</v>
      </c>
      <c r="F7" s="34">
        <f>COUNTIF(Use_case_lifespans!F$2:F$48,$B7)</f>
        <v>0</v>
      </c>
      <c r="G7" s="34">
        <f>COUNTIF(Use_case_lifespans!G$2:G$48,$B7)</f>
        <v>0</v>
      </c>
      <c r="H7" s="34">
        <f>COUNTIF(Use_case_lifespans!H$2:H$48,$B7)</f>
        <v>0</v>
      </c>
      <c r="I7" s="34">
        <f>COUNTIF(Use_case_lifespans!I$2:I$48,$B7)</f>
        <v>0</v>
      </c>
      <c r="J7" s="34">
        <f>COUNTIF(Use_case_lifespans!J$2:J$48,$B7)</f>
        <v>0</v>
      </c>
      <c r="K7" s="34">
        <f>COUNTIF(Use_case_lifespans!K$2:K$48,$B7)</f>
        <v>0</v>
      </c>
      <c r="L7" s="34">
        <f>COUNTIF(Use_case_lifespans!L$2:L$48,$B7)</f>
        <v>0</v>
      </c>
      <c r="M7" s="34">
        <f>COUNTIF(Use_case_lifespans!M$2:M$48,$B7)</f>
        <v>0</v>
      </c>
      <c r="N7" s="34">
        <f>COUNTIF(Use_case_lifespans!N$2:N$48,$B7)</f>
        <v>0</v>
      </c>
      <c r="O7" s="34">
        <f>COUNTIF(Use_case_lifespans!O$2:O$48,$B7)</f>
        <v>0</v>
      </c>
      <c r="P7" s="34">
        <f>COUNTIF(Use_case_lifespans!P$2:P$48,$B7)</f>
        <v>0</v>
      </c>
      <c r="Q7" s="34">
        <f>COUNTIF(Use_case_lifespans!Q$2:Q$48,$B7)</f>
        <v>0</v>
      </c>
      <c r="R7" s="34">
        <f>COUNTIF(Use_case_lifespans!R$2:R$48,$B7)</f>
        <v>0</v>
      </c>
      <c r="S7" s="34">
        <f>COUNTIF(Use_case_lifespans!S$2:S$48,$B7)</f>
        <v>0</v>
      </c>
      <c r="T7" s="34">
        <f>COUNTIF(Use_case_lifespans!T$2:T$48,$B7)</f>
        <v>0</v>
      </c>
      <c r="U7" s="34">
        <f>COUNTIF(Use_case_lifespans!U$2:U$48,$B7)</f>
        <v>0</v>
      </c>
      <c r="V7" s="34">
        <f>COUNTIF(Use_case_lifespans!V$2:V$48,$B7)</f>
        <v>0</v>
      </c>
    </row>
    <row r="8" spans="1:22" s="2" customFormat="1" x14ac:dyDescent="0.25">
      <c r="A8" s="497"/>
      <c r="B8" s="30" t="s">
        <v>42</v>
      </c>
      <c r="C8" s="34">
        <f>COUNTIF(Use_case_lifespans!C$2:C$48,$B8)</f>
        <v>3</v>
      </c>
      <c r="D8" s="34">
        <f>COUNTIF(Use_case_lifespans!D$2:D$48,$B8)</f>
        <v>3</v>
      </c>
      <c r="E8" s="34">
        <f>COUNTIF(Use_case_lifespans!E$2:E$48,$B8)</f>
        <v>3</v>
      </c>
      <c r="F8" s="34">
        <f>COUNTIF(Use_case_lifespans!F$2:F$48,$B8)</f>
        <v>3</v>
      </c>
      <c r="G8" s="34">
        <f>COUNTIF(Use_case_lifespans!G$2:G$48,$B8)</f>
        <v>2</v>
      </c>
      <c r="H8" s="34">
        <f>COUNTIF(Use_case_lifespans!H$2:H$48,$B8)</f>
        <v>2</v>
      </c>
      <c r="I8" s="34">
        <f>COUNTIF(Use_case_lifespans!I$2:I$48,$B8)</f>
        <v>2</v>
      </c>
      <c r="J8" s="34">
        <f>COUNTIF(Use_case_lifespans!J$2:J$48,$B8)</f>
        <v>2</v>
      </c>
      <c r="K8" s="34">
        <f>COUNTIF(Use_case_lifespans!K$2:K$48,$B8)</f>
        <v>2</v>
      </c>
      <c r="L8" s="34">
        <f>COUNTIF(Use_case_lifespans!L$2:L$48,$B8)</f>
        <v>2</v>
      </c>
      <c r="M8" s="34">
        <f>COUNTIF(Use_case_lifespans!M$2:M$48,$B8)</f>
        <v>2</v>
      </c>
      <c r="N8" s="34">
        <f>COUNTIF(Use_case_lifespans!N$2:N$48,$B8)</f>
        <v>2</v>
      </c>
      <c r="O8" s="34">
        <f>COUNTIF(Use_case_lifespans!O$2:O$48,$B8)</f>
        <v>2</v>
      </c>
      <c r="P8" s="34">
        <f>COUNTIF(Use_case_lifespans!P$2:P$48,$B8)</f>
        <v>2</v>
      </c>
      <c r="Q8" s="34">
        <f>COUNTIF(Use_case_lifespans!Q$2:Q$48,$B8)</f>
        <v>2</v>
      </c>
      <c r="R8" s="34">
        <f>COUNTIF(Use_case_lifespans!R$2:R$48,$B8)</f>
        <v>2</v>
      </c>
      <c r="S8" s="34">
        <f>COUNTIF(Use_case_lifespans!S$2:S$48,$B8)</f>
        <v>2</v>
      </c>
      <c r="T8" s="34">
        <f>COUNTIF(Use_case_lifespans!T$2:T$48,$B8)</f>
        <v>2</v>
      </c>
      <c r="U8" s="34">
        <f>COUNTIF(Use_case_lifespans!U$2:U$48,$B8)</f>
        <v>2</v>
      </c>
      <c r="V8" s="34">
        <f>COUNTIF(Use_case_lifespans!V$2:V$48,$B8)</f>
        <v>2</v>
      </c>
    </row>
    <row r="9" spans="1:22" s="2" customFormat="1" x14ac:dyDescent="0.25">
      <c r="A9" s="497"/>
      <c r="B9" s="30" t="s">
        <v>45</v>
      </c>
      <c r="C9" s="34">
        <f>COUNTIF(Use_case_lifespans!C$2:C$48,$B9)</f>
        <v>3</v>
      </c>
      <c r="D9" s="34">
        <f>COUNTIF(Use_case_lifespans!D$2:D$48,$B9)</f>
        <v>2</v>
      </c>
      <c r="E9" s="34">
        <f>COUNTIF(Use_case_lifespans!E$2:E$48,$B9)</f>
        <v>2</v>
      </c>
      <c r="F9" s="34">
        <f>COUNTIF(Use_case_lifespans!F$2:F$48,$B9)</f>
        <v>2</v>
      </c>
      <c r="G9" s="34">
        <f>COUNTIF(Use_case_lifespans!G$2:G$48,$B9)</f>
        <v>2</v>
      </c>
      <c r="H9" s="34">
        <f>COUNTIF(Use_case_lifespans!H$2:H$48,$B9)</f>
        <v>1</v>
      </c>
      <c r="I9" s="34">
        <f>COUNTIF(Use_case_lifespans!I$2:I$48,$B9)</f>
        <v>1</v>
      </c>
      <c r="J9" s="34">
        <f>COUNTIF(Use_case_lifespans!J$2:J$48,$B9)</f>
        <v>1</v>
      </c>
      <c r="K9" s="34">
        <f>COUNTIF(Use_case_lifespans!K$2:K$48,$B9)</f>
        <v>1</v>
      </c>
      <c r="L9" s="34">
        <f>COUNTIF(Use_case_lifespans!L$2:L$48,$B9)</f>
        <v>1</v>
      </c>
      <c r="M9" s="34">
        <f>COUNTIF(Use_case_lifespans!M$2:M$48,$B9)</f>
        <v>1</v>
      </c>
      <c r="N9" s="34">
        <f>COUNTIF(Use_case_lifespans!N$2:N$48,$B9)</f>
        <v>1</v>
      </c>
      <c r="O9" s="34">
        <f>COUNTIF(Use_case_lifespans!O$2:O$48,$B9)</f>
        <v>1</v>
      </c>
      <c r="P9" s="34">
        <f>COUNTIF(Use_case_lifespans!P$2:P$48,$B9)</f>
        <v>1</v>
      </c>
      <c r="Q9" s="34">
        <f>COUNTIF(Use_case_lifespans!Q$2:Q$48,$B9)</f>
        <v>1</v>
      </c>
      <c r="R9" s="34">
        <f>COUNTIF(Use_case_lifespans!R$2:R$48,$B9)</f>
        <v>1</v>
      </c>
      <c r="S9" s="34">
        <f>COUNTIF(Use_case_lifespans!S$2:S$48,$B9)</f>
        <v>1</v>
      </c>
      <c r="T9" s="34">
        <f>COUNTIF(Use_case_lifespans!T$2:T$48,$B9)</f>
        <v>1</v>
      </c>
      <c r="U9" s="34">
        <f>COUNTIF(Use_case_lifespans!U$2:U$48,$B9)</f>
        <v>1</v>
      </c>
      <c r="V9" s="34">
        <f>COUNTIF(Use_case_lifespans!V$2:V$48,$B9)</f>
        <v>1</v>
      </c>
    </row>
    <row r="10" spans="1:22" s="2" customFormat="1" x14ac:dyDescent="0.25">
      <c r="A10" s="497"/>
      <c r="B10" s="47" t="s">
        <v>84</v>
      </c>
      <c r="C10" s="48">
        <f>SUM(C2:C9)</f>
        <v>38</v>
      </c>
      <c r="D10" s="48">
        <f t="shared" ref="D10:V10" si="0">SUM(D2:D9)</f>
        <v>35</v>
      </c>
      <c r="E10" s="48">
        <f t="shared" si="0"/>
        <v>30</v>
      </c>
      <c r="F10" s="48">
        <f t="shared" si="0"/>
        <v>28</v>
      </c>
      <c r="G10" s="48">
        <f t="shared" si="0"/>
        <v>23</v>
      </c>
      <c r="H10" s="48">
        <f t="shared" si="0"/>
        <v>19</v>
      </c>
      <c r="I10" s="48">
        <f t="shared" si="0"/>
        <v>16</v>
      </c>
      <c r="J10" s="48">
        <f t="shared" si="0"/>
        <v>14</v>
      </c>
      <c r="K10" s="48">
        <f t="shared" si="0"/>
        <v>14</v>
      </c>
      <c r="L10" s="48">
        <f t="shared" si="0"/>
        <v>14</v>
      </c>
      <c r="M10" s="48">
        <f t="shared" si="0"/>
        <v>12</v>
      </c>
      <c r="N10" s="48">
        <f t="shared" si="0"/>
        <v>12</v>
      </c>
      <c r="O10" s="48">
        <f t="shared" si="0"/>
        <v>12</v>
      </c>
      <c r="P10" s="48">
        <f t="shared" si="0"/>
        <v>12</v>
      </c>
      <c r="Q10" s="48">
        <f t="shared" si="0"/>
        <v>12</v>
      </c>
      <c r="R10" s="48">
        <f t="shared" si="0"/>
        <v>12</v>
      </c>
      <c r="S10" s="48">
        <f t="shared" si="0"/>
        <v>12</v>
      </c>
      <c r="T10" s="48">
        <f t="shared" si="0"/>
        <v>12</v>
      </c>
      <c r="U10" s="48">
        <f t="shared" si="0"/>
        <v>12</v>
      </c>
      <c r="V10" s="48">
        <f t="shared" si="0"/>
        <v>12</v>
      </c>
    </row>
    <row r="11" spans="1:22" s="60" customFormat="1" x14ac:dyDescent="0.25">
      <c r="A11" s="57"/>
      <c r="B11" s="58"/>
      <c r="C11" s="59"/>
      <c r="D11" s="59"/>
      <c r="E11" s="59"/>
      <c r="F11" s="59"/>
      <c r="G11" s="59"/>
      <c r="H11" s="59"/>
      <c r="I11" s="59"/>
      <c r="J11" s="59"/>
      <c r="K11" s="59"/>
      <c r="L11" s="59"/>
      <c r="M11" s="59"/>
      <c r="N11" s="59"/>
      <c r="O11" s="59"/>
      <c r="P11" s="59"/>
      <c r="Q11" s="59"/>
      <c r="R11" s="59"/>
      <c r="S11" s="59"/>
      <c r="T11" s="59"/>
      <c r="U11" s="59"/>
      <c r="V11" s="59"/>
    </row>
    <row r="12" spans="1:22" s="60" customFormat="1" x14ac:dyDescent="0.25">
      <c r="A12" s="57"/>
      <c r="B12" s="58"/>
      <c r="C12" s="59"/>
      <c r="D12" s="59"/>
      <c r="E12" s="59"/>
      <c r="F12" s="59"/>
      <c r="G12" s="59"/>
      <c r="H12" s="59"/>
      <c r="I12" s="59"/>
      <c r="J12" s="59"/>
      <c r="K12" s="59"/>
      <c r="L12" s="59"/>
      <c r="M12" s="59"/>
      <c r="N12" s="59"/>
      <c r="O12" s="59"/>
      <c r="P12" s="59"/>
      <c r="Q12" s="59"/>
      <c r="R12" s="59"/>
      <c r="S12" s="59"/>
      <c r="T12" s="59"/>
      <c r="U12" s="59"/>
      <c r="V12" s="59"/>
    </row>
    <row r="13" spans="1:22" s="2" customFormat="1" x14ac:dyDescent="0.25">
      <c r="A13" s="27" t="s">
        <v>16</v>
      </c>
      <c r="B13" s="27" t="s">
        <v>82</v>
      </c>
      <c r="C13" s="27">
        <v>2021</v>
      </c>
      <c r="D13" s="28">
        <v>2022</v>
      </c>
      <c r="E13" s="27">
        <v>2023</v>
      </c>
      <c r="F13" s="28">
        <v>2024</v>
      </c>
      <c r="G13" s="27">
        <v>2025</v>
      </c>
      <c r="H13" s="28">
        <v>2026</v>
      </c>
      <c r="I13" s="27">
        <v>2027</v>
      </c>
      <c r="J13" s="28">
        <v>2028</v>
      </c>
      <c r="K13" s="27">
        <v>2029</v>
      </c>
      <c r="L13" s="28">
        <v>2030</v>
      </c>
      <c r="M13" s="27">
        <v>2031</v>
      </c>
      <c r="N13" s="28">
        <v>2032</v>
      </c>
      <c r="O13" s="27">
        <v>2033</v>
      </c>
      <c r="P13" s="28">
        <v>2034</v>
      </c>
      <c r="Q13" s="27">
        <v>2035</v>
      </c>
      <c r="R13" s="28">
        <v>2036</v>
      </c>
      <c r="S13" s="27">
        <v>2037</v>
      </c>
      <c r="T13" s="28">
        <v>2038</v>
      </c>
      <c r="U13" s="27">
        <v>2039</v>
      </c>
      <c r="V13" s="28">
        <v>2040</v>
      </c>
    </row>
    <row r="14" spans="1:22" s="2" customFormat="1" ht="14.4" customHeight="1" x14ac:dyDescent="0.25">
      <c r="A14" s="497" t="s">
        <v>86</v>
      </c>
      <c r="B14" s="30" t="s">
        <v>43</v>
      </c>
      <c r="C14" s="34">
        <v>0</v>
      </c>
      <c r="D14" s="34">
        <f t="shared" ref="D14:V14" si="1">$C2-D2</f>
        <v>0</v>
      </c>
      <c r="E14" s="34">
        <f t="shared" si="1"/>
        <v>0</v>
      </c>
      <c r="F14" s="34">
        <f t="shared" si="1"/>
        <v>0</v>
      </c>
      <c r="G14" s="34">
        <f t="shared" si="1"/>
        <v>0</v>
      </c>
      <c r="H14" s="34">
        <f t="shared" si="1"/>
        <v>0</v>
      </c>
      <c r="I14" s="34">
        <f t="shared" si="1"/>
        <v>0</v>
      </c>
      <c r="J14" s="34">
        <f t="shared" si="1"/>
        <v>0</v>
      </c>
      <c r="K14" s="34">
        <f t="shared" si="1"/>
        <v>0</v>
      </c>
      <c r="L14" s="34">
        <f t="shared" si="1"/>
        <v>0</v>
      </c>
      <c r="M14" s="34">
        <f t="shared" si="1"/>
        <v>2</v>
      </c>
      <c r="N14" s="34">
        <f t="shared" si="1"/>
        <v>2</v>
      </c>
      <c r="O14" s="34">
        <f t="shared" si="1"/>
        <v>2</v>
      </c>
      <c r="P14" s="34">
        <f t="shared" si="1"/>
        <v>2</v>
      </c>
      <c r="Q14" s="34">
        <f t="shared" si="1"/>
        <v>2</v>
      </c>
      <c r="R14" s="34">
        <f t="shared" si="1"/>
        <v>2</v>
      </c>
      <c r="S14" s="34">
        <f t="shared" si="1"/>
        <v>2</v>
      </c>
      <c r="T14" s="34">
        <f t="shared" si="1"/>
        <v>2</v>
      </c>
      <c r="U14" s="34">
        <f t="shared" si="1"/>
        <v>2</v>
      </c>
      <c r="V14" s="34">
        <f t="shared" si="1"/>
        <v>2</v>
      </c>
    </row>
    <row r="15" spans="1:22" s="2" customFormat="1" x14ac:dyDescent="0.25">
      <c r="A15" s="497"/>
      <c r="B15" s="30" t="s">
        <v>41</v>
      </c>
      <c r="C15" s="34">
        <v>0</v>
      </c>
      <c r="D15" s="34">
        <f t="shared" ref="D15:V15" si="2">$C3-D3</f>
        <v>2</v>
      </c>
      <c r="E15" s="34">
        <f t="shared" si="2"/>
        <v>3</v>
      </c>
      <c r="F15" s="34">
        <f t="shared" si="2"/>
        <v>5</v>
      </c>
      <c r="G15" s="34">
        <f t="shared" si="2"/>
        <v>8</v>
      </c>
      <c r="H15" s="34">
        <f t="shared" si="2"/>
        <v>11</v>
      </c>
      <c r="I15" s="34">
        <f t="shared" si="2"/>
        <v>14</v>
      </c>
      <c r="J15" s="34">
        <f t="shared" si="2"/>
        <v>16</v>
      </c>
      <c r="K15" s="34">
        <f t="shared" si="2"/>
        <v>16</v>
      </c>
      <c r="L15" s="34">
        <f t="shared" si="2"/>
        <v>16</v>
      </c>
      <c r="M15" s="34">
        <f t="shared" si="2"/>
        <v>16</v>
      </c>
      <c r="N15" s="34">
        <f t="shared" si="2"/>
        <v>16</v>
      </c>
      <c r="O15" s="34">
        <f t="shared" si="2"/>
        <v>16</v>
      </c>
      <c r="P15" s="34">
        <f t="shared" si="2"/>
        <v>16</v>
      </c>
      <c r="Q15" s="34">
        <f t="shared" si="2"/>
        <v>16</v>
      </c>
      <c r="R15" s="34">
        <f t="shared" si="2"/>
        <v>16</v>
      </c>
      <c r="S15" s="34">
        <f t="shared" si="2"/>
        <v>16</v>
      </c>
      <c r="T15" s="34">
        <f t="shared" si="2"/>
        <v>16</v>
      </c>
      <c r="U15" s="34">
        <f t="shared" si="2"/>
        <v>16</v>
      </c>
      <c r="V15" s="34">
        <f t="shared" si="2"/>
        <v>16</v>
      </c>
    </row>
    <row r="16" spans="1:22" s="2" customFormat="1" x14ac:dyDescent="0.25">
      <c r="A16" s="497"/>
      <c r="B16" s="30" t="s">
        <v>40</v>
      </c>
      <c r="C16" s="34">
        <v>0</v>
      </c>
      <c r="D16" s="34">
        <f t="shared" ref="D16:V16" si="3">$C4-D4</f>
        <v>0</v>
      </c>
      <c r="E16" s="34">
        <f t="shared" si="3"/>
        <v>4</v>
      </c>
      <c r="F16" s="34">
        <f t="shared" si="3"/>
        <v>4</v>
      </c>
      <c r="G16" s="34">
        <f t="shared" si="3"/>
        <v>4</v>
      </c>
      <c r="H16" s="34">
        <f t="shared" si="3"/>
        <v>4</v>
      </c>
      <c r="I16" s="34">
        <f t="shared" si="3"/>
        <v>4</v>
      </c>
      <c r="J16" s="34">
        <f t="shared" si="3"/>
        <v>4</v>
      </c>
      <c r="K16" s="34">
        <f t="shared" si="3"/>
        <v>4</v>
      </c>
      <c r="L16" s="34">
        <f t="shared" si="3"/>
        <v>4</v>
      </c>
      <c r="M16" s="34">
        <f t="shared" si="3"/>
        <v>4</v>
      </c>
      <c r="N16" s="34">
        <f t="shared" si="3"/>
        <v>4</v>
      </c>
      <c r="O16" s="34">
        <f t="shared" si="3"/>
        <v>4</v>
      </c>
      <c r="P16" s="34">
        <f t="shared" si="3"/>
        <v>4</v>
      </c>
      <c r="Q16" s="34">
        <f t="shared" si="3"/>
        <v>4</v>
      </c>
      <c r="R16" s="34">
        <f t="shared" si="3"/>
        <v>4</v>
      </c>
      <c r="S16" s="34">
        <f t="shared" si="3"/>
        <v>4</v>
      </c>
      <c r="T16" s="34">
        <f t="shared" si="3"/>
        <v>4</v>
      </c>
      <c r="U16" s="34">
        <f t="shared" si="3"/>
        <v>4</v>
      </c>
      <c r="V16" s="34">
        <f t="shared" si="3"/>
        <v>4</v>
      </c>
    </row>
    <row r="17" spans="1:22" s="2" customFormat="1" x14ac:dyDescent="0.25">
      <c r="A17" s="497"/>
      <c r="B17" s="30" t="s">
        <v>80</v>
      </c>
      <c r="C17" s="34">
        <v>0</v>
      </c>
      <c r="D17" s="34">
        <f t="shared" ref="D17:V17" si="4">$C5-D5</f>
        <v>0</v>
      </c>
      <c r="E17" s="34">
        <f t="shared" si="4"/>
        <v>0</v>
      </c>
      <c r="F17" s="34">
        <f t="shared" si="4"/>
        <v>0</v>
      </c>
      <c r="G17" s="34">
        <f t="shared" si="4"/>
        <v>0</v>
      </c>
      <c r="H17" s="34">
        <f t="shared" si="4"/>
        <v>0</v>
      </c>
      <c r="I17" s="34">
        <f t="shared" si="4"/>
        <v>0</v>
      </c>
      <c r="J17" s="34">
        <f t="shared" si="4"/>
        <v>0</v>
      </c>
      <c r="K17" s="34">
        <f t="shared" si="4"/>
        <v>0</v>
      </c>
      <c r="L17" s="34">
        <f t="shared" si="4"/>
        <v>0</v>
      </c>
      <c r="M17" s="34">
        <f t="shared" si="4"/>
        <v>0</v>
      </c>
      <c r="N17" s="34">
        <f t="shared" si="4"/>
        <v>0</v>
      </c>
      <c r="O17" s="34">
        <f t="shared" si="4"/>
        <v>0</v>
      </c>
      <c r="P17" s="34">
        <f t="shared" si="4"/>
        <v>0</v>
      </c>
      <c r="Q17" s="34">
        <f t="shared" si="4"/>
        <v>0</v>
      </c>
      <c r="R17" s="34">
        <f t="shared" si="4"/>
        <v>0</v>
      </c>
      <c r="S17" s="34">
        <f t="shared" si="4"/>
        <v>0</v>
      </c>
      <c r="T17" s="34">
        <f t="shared" si="4"/>
        <v>0</v>
      </c>
      <c r="U17" s="34">
        <f t="shared" si="4"/>
        <v>0</v>
      </c>
      <c r="V17" s="34">
        <f t="shared" si="4"/>
        <v>0</v>
      </c>
    </row>
    <row r="18" spans="1:22" s="2" customFormat="1" x14ac:dyDescent="0.25">
      <c r="A18" s="497"/>
      <c r="B18" s="30" t="s">
        <v>44</v>
      </c>
      <c r="C18" s="34">
        <v>0</v>
      </c>
      <c r="D18" s="34">
        <f t="shared" ref="D18:V18" si="5">$C6-D6</f>
        <v>0</v>
      </c>
      <c r="E18" s="34">
        <f t="shared" si="5"/>
        <v>0</v>
      </c>
      <c r="F18" s="34">
        <f t="shared" si="5"/>
        <v>0</v>
      </c>
      <c r="G18" s="34">
        <f t="shared" si="5"/>
        <v>1</v>
      </c>
      <c r="H18" s="34">
        <f t="shared" si="5"/>
        <v>1</v>
      </c>
      <c r="I18" s="34">
        <f t="shared" si="5"/>
        <v>1</v>
      </c>
      <c r="J18" s="34">
        <f t="shared" si="5"/>
        <v>1</v>
      </c>
      <c r="K18" s="34">
        <f t="shared" si="5"/>
        <v>1</v>
      </c>
      <c r="L18" s="34">
        <f t="shared" si="5"/>
        <v>1</v>
      </c>
      <c r="M18" s="34">
        <f t="shared" si="5"/>
        <v>1</v>
      </c>
      <c r="N18" s="34">
        <f t="shared" si="5"/>
        <v>1</v>
      </c>
      <c r="O18" s="34">
        <f t="shared" si="5"/>
        <v>1</v>
      </c>
      <c r="P18" s="34">
        <f t="shared" si="5"/>
        <v>1</v>
      </c>
      <c r="Q18" s="34">
        <f t="shared" si="5"/>
        <v>1</v>
      </c>
      <c r="R18" s="34">
        <f t="shared" si="5"/>
        <v>1</v>
      </c>
      <c r="S18" s="34">
        <f t="shared" si="5"/>
        <v>1</v>
      </c>
      <c r="T18" s="34">
        <f t="shared" si="5"/>
        <v>1</v>
      </c>
      <c r="U18" s="34">
        <f t="shared" si="5"/>
        <v>1</v>
      </c>
      <c r="V18" s="34">
        <f t="shared" si="5"/>
        <v>1</v>
      </c>
    </row>
    <row r="19" spans="1:22" s="2" customFormat="1" x14ac:dyDescent="0.25">
      <c r="A19" s="497"/>
      <c r="B19" s="30" t="s">
        <v>81</v>
      </c>
      <c r="C19" s="34">
        <v>0</v>
      </c>
      <c r="D19" s="34">
        <f t="shared" ref="D19:V19" si="6">$C7-D7</f>
        <v>0</v>
      </c>
      <c r="E19" s="34">
        <f t="shared" si="6"/>
        <v>0</v>
      </c>
      <c r="F19" s="34">
        <f t="shared" si="6"/>
        <v>0</v>
      </c>
      <c r="G19" s="34">
        <f t="shared" si="6"/>
        <v>0</v>
      </c>
      <c r="H19" s="34">
        <f t="shared" si="6"/>
        <v>0</v>
      </c>
      <c r="I19" s="34">
        <f t="shared" si="6"/>
        <v>0</v>
      </c>
      <c r="J19" s="34">
        <f t="shared" si="6"/>
        <v>0</v>
      </c>
      <c r="K19" s="34">
        <f t="shared" si="6"/>
        <v>0</v>
      </c>
      <c r="L19" s="34">
        <f t="shared" si="6"/>
        <v>0</v>
      </c>
      <c r="M19" s="34">
        <f t="shared" si="6"/>
        <v>0</v>
      </c>
      <c r="N19" s="34">
        <f t="shared" si="6"/>
        <v>0</v>
      </c>
      <c r="O19" s="34">
        <f t="shared" si="6"/>
        <v>0</v>
      </c>
      <c r="P19" s="34">
        <f t="shared" si="6"/>
        <v>0</v>
      </c>
      <c r="Q19" s="34">
        <f t="shared" si="6"/>
        <v>0</v>
      </c>
      <c r="R19" s="34">
        <f t="shared" si="6"/>
        <v>0</v>
      </c>
      <c r="S19" s="34">
        <f t="shared" si="6"/>
        <v>0</v>
      </c>
      <c r="T19" s="34">
        <f t="shared" si="6"/>
        <v>0</v>
      </c>
      <c r="U19" s="34">
        <f t="shared" si="6"/>
        <v>0</v>
      </c>
      <c r="V19" s="34">
        <f t="shared" si="6"/>
        <v>0</v>
      </c>
    </row>
    <row r="20" spans="1:22" s="2" customFormat="1" x14ac:dyDescent="0.25">
      <c r="A20" s="497"/>
      <c r="B20" s="30" t="s">
        <v>42</v>
      </c>
      <c r="C20" s="34">
        <v>0</v>
      </c>
      <c r="D20" s="34">
        <f t="shared" ref="D20:V20" si="7">$C8-D8</f>
        <v>0</v>
      </c>
      <c r="E20" s="34">
        <f t="shared" si="7"/>
        <v>0</v>
      </c>
      <c r="F20" s="34">
        <f t="shared" si="7"/>
        <v>0</v>
      </c>
      <c r="G20" s="34">
        <f t="shared" si="7"/>
        <v>1</v>
      </c>
      <c r="H20" s="34">
        <f t="shared" si="7"/>
        <v>1</v>
      </c>
      <c r="I20" s="34">
        <f t="shared" si="7"/>
        <v>1</v>
      </c>
      <c r="J20" s="34">
        <f t="shared" si="7"/>
        <v>1</v>
      </c>
      <c r="K20" s="34">
        <f t="shared" si="7"/>
        <v>1</v>
      </c>
      <c r="L20" s="34">
        <f t="shared" si="7"/>
        <v>1</v>
      </c>
      <c r="M20" s="34">
        <f t="shared" si="7"/>
        <v>1</v>
      </c>
      <c r="N20" s="34">
        <f t="shared" si="7"/>
        <v>1</v>
      </c>
      <c r="O20" s="34">
        <f t="shared" si="7"/>
        <v>1</v>
      </c>
      <c r="P20" s="34">
        <f t="shared" si="7"/>
        <v>1</v>
      </c>
      <c r="Q20" s="34">
        <f t="shared" si="7"/>
        <v>1</v>
      </c>
      <c r="R20" s="34">
        <f t="shared" si="7"/>
        <v>1</v>
      </c>
      <c r="S20" s="34">
        <f t="shared" si="7"/>
        <v>1</v>
      </c>
      <c r="T20" s="34">
        <f t="shared" si="7"/>
        <v>1</v>
      </c>
      <c r="U20" s="34">
        <f t="shared" si="7"/>
        <v>1</v>
      </c>
      <c r="V20" s="34">
        <f t="shared" si="7"/>
        <v>1</v>
      </c>
    </row>
    <row r="21" spans="1:22" s="2" customFormat="1" x14ac:dyDescent="0.25">
      <c r="A21" s="497"/>
      <c r="B21" s="30" t="s">
        <v>45</v>
      </c>
      <c r="C21" s="34">
        <v>0</v>
      </c>
      <c r="D21" s="34">
        <f t="shared" ref="D21:V21" si="8">$C9-D9</f>
        <v>1</v>
      </c>
      <c r="E21" s="34">
        <f t="shared" si="8"/>
        <v>1</v>
      </c>
      <c r="F21" s="34">
        <f t="shared" si="8"/>
        <v>1</v>
      </c>
      <c r="G21" s="34">
        <f t="shared" si="8"/>
        <v>1</v>
      </c>
      <c r="H21" s="34">
        <f t="shared" si="8"/>
        <v>2</v>
      </c>
      <c r="I21" s="34">
        <f t="shared" si="8"/>
        <v>2</v>
      </c>
      <c r="J21" s="34">
        <f t="shared" si="8"/>
        <v>2</v>
      </c>
      <c r="K21" s="34">
        <f t="shared" si="8"/>
        <v>2</v>
      </c>
      <c r="L21" s="34">
        <f t="shared" si="8"/>
        <v>2</v>
      </c>
      <c r="M21" s="34">
        <f t="shared" si="8"/>
        <v>2</v>
      </c>
      <c r="N21" s="34">
        <f t="shared" si="8"/>
        <v>2</v>
      </c>
      <c r="O21" s="34">
        <f t="shared" si="8"/>
        <v>2</v>
      </c>
      <c r="P21" s="34">
        <f t="shared" si="8"/>
        <v>2</v>
      </c>
      <c r="Q21" s="34">
        <f t="shared" si="8"/>
        <v>2</v>
      </c>
      <c r="R21" s="34">
        <f t="shared" si="8"/>
        <v>2</v>
      </c>
      <c r="S21" s="34">
        <f t="shared" si="8"/>
        <v>2</v>
      </c>
      <c r="T21" s="34">
        <f t="shared" si="8"/>
        <v>2</v>
      </c>
      <c r="U21" s="34">
        <f t="shared" si="8"/>
        <v>2</v>
      </c>
      <c r="V21" s="34">
        <f t="shared" si="8"/>
        <v>2</v>
      </c>
    </row>
    <row r="22" spans="1:22" s="2" customFormat="1" x14ac:dyDescent="0.25">
      <c r="A22" s="497"/>
      <c r="B22" s="47" t="s">
        <v>84</v>
      </c>
      <c r="C22" s="48">
        <f>SUM(C14:C21)</f>
        <v>0</v>
      </c>
      <c r="D22" s="48">
        <f t="shared" ref="D22:V22" si="9">SUM(D14:D21)</f>
        <v>3</v>
      </c>
      <c r="E22" s="48">
        <f t="shared" si="9"/>
        <v>8</v>
      </c>
      <c r="F22" s="48">
        <f t="shared" si="9"/>
        <v>10</v>
      </c>
      <c r="G22" s="48">
        <f t="shared" si="9"/>
        <v>15</v>
      </c>
      <c r="H22" s="48">
        <f t="shared" si="9"/>
        <v>19</v>
      </c>
      <c r="I22" s="48">
        <f t="shared" si="9"/>
        <v>22</v>
      </c>
      <c r="J22" s="48">
        <f t="shared" si="9"/>
        <v>24</v>
      </c>
      <c r="K22" s="48">
        <f t="shared" si="9"/>
        <v>24</v>
      </c>
      <c r="L22" s="48">
        <f t="shared" si="9"/>
        <v>24</v>
      </c>
      <c r="M22" s="48">
        <f t="shared" si="9"/>
        <v>26</v>
      </c>
      <c r="N22" s="48">
        <f t="shared" si="9"/>
        <v>26</v>
      </c>
      <c r="O22" s="48">
        <f t="shared" si="9"/>
        <v>26</v>
      </c>
      <c r="P22" s="48">
        <f t="shared" si="9"/>
        <v>26</v>
      </c>
      <c r="Q22" s="48">
        <f t="shared" si="9"/>
        <v>26</v>
      </c>
      <c r="R22" s="48">
        <f t="shared" si="9"/>
        <v>26</v>
      </c>
      <c r="S22" s="48">
        <f t="shared" si="9"/>
        <v>26</v>
      </c>
      <c r="T22" s="48">
        <f t="shared" si="9"/>
        <v>26</v>
      </c>
      <c r="U22" s="48">
        <f t="shared" si="9"/>
        <v>26</v>
      </c>
      <c r="V22" s="48">
        <f t="shared" si="9"/>
        <v>26</v>
      </c>
    </row>
    <row r="23" spans="1:22" s="63" customFormat="1" x14ac:dyDescent="0.25">
      <c r="A23" s="61"/>
      <c r="B23" s="62"/>
      <c r="C23" s="59"/>
      <c r="D23" s="59"/>
      <c r="E23" s="59"/>
      <c r="F23" s="59"/>
      <c r="G23" s="59"/>
      <c r="H23" s="59"/>
      <c r="I23" s="59"/>
      <c r="J23" s="59"/>
      <c r="K23" s="59"/>
      <c r="L23" s="59"/>
      <c r="M23" s="59"/>
      <c r="N23" s="59"/>
      <c r="O23" s="59"/>
      <c r="P23" s="59"/>
      <c r="Q23" s="59"/>
      <c r="R23" s="59"/>
      <c r="S23" s="59"/>
      <c r="T23" s="59"/>
      <c r="U23" s="59"/>
      <c r="V23" s="59"/>
    </row>
    <row r="24" spans="1:22" x14ac:dyDescent="0.25">
      <c r="A24" s="498" t="s">
        <v>118</v>
      </c>
      <c r="B24" s="498"/>
      <c r="C24" s="59"/>
      <c r="D24" s="59"/>
      <c r="E24" s="59"/>
      <c r="F24" s="59"/>
      <c r="G24" s="59"/>
      <c r="H24" s="59"/>
      <c r="I24" s="59"/>
      <c r="J24" s="59"/>
      <c r="K24" s="59"/>
      <c r="L24" s="59"/>
      <c r="M24" s="59"/>
      <c r="N24" s="59"/>
      <c r="O24" s="59"/>
      <c r="P24" s="59"/>
      <c r="Q24" s="59"/>
      <c r="R24" s="59"/>
      <c r="S24" s="59"/>
      <c r="T24" s="59"/>
      <c r="U24" s="59"/>
      <c r="V24" s="59"/>
    </row>
    <row r="25" spans="1:22" s="2" customFormat="1" x14ac:dyDescent="0.25">
      <c r="A25" s="27" t="s">
        <v>16</v>
      </c>
      <c r="B25" s="27" t="s">
        <v>82</v>
      </c>
      <c r="C25" s="27">
        <v>2021</v>
      </c>
      <c r="D25" s="28">
        <v>2022</v>
      </c>
      <c r="E25" s="27">
        <v>2023</v>
      </c>
      <c r="F25" s="28">
        <v>2024</v>
      </c>
      <c r="G25" s="27">
        <v>2025</v>
      </c>
      <c r="H25" s="28">
        <v>2026</v>
      </c>
      <c r="I25" s="27">
        <v>2027</v>
      </c>
      <c r="J25" s="28">
        <v>2028</v>
      </c>
      <c r="K25" s="27">
        <v>2029</v>
      </c>
      <c r="L25" s="28">
        <v>2030</v>
      </c>
      <c r="M25" s="27">
        <v>2031</v>
      </c>
      <c r="N25" s="28">
        <v>2032</v>
      </c>
      <c r="O25" s="27">
        <v>2033</v>
      </c>
      <c r="P25" s="28">
        <v>2034</v>
      </c>
      <c r="Q25" s="27">
        <v>2035</v>
      </c>
      <c r="R25" s="28">
        <v>2036</v>
      </c>
      <c r="S25" s="27">
        <v>2037</v>
      </c>
      <c r="T25" s="28">
        <v>2038</v>
      </c>
      <c r="U25" s="27">
        <v>2039</v>
      </c>
      <c r="V25" s="28">
        <v>2040</v>
      </c>
    </row>
    <row r="26" spans="1:22" s="2" customFormat="1" ht="14.4" customHeight="1" x14ac:dyDescent="0.25">
      <c r="A26" s="497" t="s">
        <v>92</v>
      </c>
      <c r="B26" s="30" t="s">
        <v>43</v>
      </c>
      <c r="C26" s="49" t="e">
        <f>(#REF!-SUM($V2,$V14))/COUNTA($C$25:$L$25)</f>
        <v>#REF!</v>
      </c>
      <c r="D26" s="49" t="e">
        <f>C26+(#REF!-SUM($V2,$V14))/COUNTA($C$25:$L$25)</f>
        <v>#REF!</v>
      </c>
      <c r="E26" s="49" t="e">
        <f>D26+(#REF!-SUM($V2,$V14))/COUNTA($C$25:$L$25)</f>
        <v>#REF!</v>
      </c>
      <c r="F26" s="49" t="e">
        <f>E26+(#REF!-SUM($V2,$V14))/COUNTA($C$25:$L$25)</f>
        <v>#REF!</v>
      </c>
      <c r="G26" s="49" t="e">
        <f>F26+(#REF!-SUM($V2,$V14))/COUNTA($C$25:$L$25)</f>
        <v>#REF!</v>
      </c>
      <c r="H26" s="49" t="e">
        <f>G26+(#REF!-SUM($V2,$V14))/COUNTA($C$25:$L$25)</f>
        <v>#REF!</v>
      </c>
      <c r="I26" s="49" t="e">
        <f>H26+(#REF!-SUM($V2,$V14))/COUNTA($C$25:$L$25)</f>
        <v>#REF!</v>
      </c>
      <c r="J26" s="49" t="e">
        <f>I26+(#REF!-SUM($V2,$V14))/COUNTA($C$25:$L$25)</f>
        <v>#REF!</v>
      </c>
      <c r="K26" s="49" t="e">
        <f>J26+(#REF!-SUM($V2,$V14))/COUNTA($C$25:$L$25)</f>
        <v>#REF!</v>
      </c>
      <c r="L26" s="49" t="e">
        <f>K26+(#REF!-SUM($V2,$V14))/COUNTA($C$25:$L$25)</f>
        <v>#REF!</v>
      </c>
      <c r="M26" s="34" t="e">
        <f>L26</f>
        <v>#REF!</v>
      </c>
      <c r="N26" s="34" t="e">
        <f t="shared" ref="N26:V26" si="10">M26</f>
        <v>#REF!</v>
      </c>
      <c r="O26" s="34" t="e">
        <f t="shared" si="10"/>
        <v>#REF!</v>
      </c>
      <c r="P26" s="34" t="e">
        <f t="shared" si="10"/>
        <v>#REF!</v>
      </c>
      <c r="Q26" s="34" t="e">
        <f t="shared" si="10"/>
        <v>#REF!</v>
      </c>
      <c r="R26" s="34" t="e">
        <f t="shared" si="10"/>
        <v>#REF!</v>
      </c>
      <c r="S26" s="34" t="e">
        <f t="shared" si="10"/>
        <v>#REF!</v>
      </c>
      <c r="T26" s="34" t="e">
        <f t="shared" si="10"/>
        <v>#REF!</v>
      </c>
      <c r="U26" s="34" t="e">
        <f t="shared" si="10"/>
        <v>#REF!</v>
      </c>
      <c r="V26" s="34" t="e">
        <f t="shared" si="10"/>
        <v>#REF!</v>
      </c>
    </row>
    <row r="27" spans="1:22" s="2" customFormat="1" x14ac:dyDescent="0.25">
      <c r="A27" s="497"/>
      <c r="B27" s="30" t="s">
        <v>41</v>
      </c>
      <c r="C27" s="49" t="e">
        <f>(#REF!-SUM($V3,$V15))/COUNTA($C$25:$L$25)</f>
        <v>#REF!</v>
      </c>
      <c r="D27" s="49" t="e">
        <f>C27+(#REF!-SUM($V3,$V15))/COUNTA($C$25:$L$25)</f>
        <v>#REF!</v>
      </c>
      <c r="E27" s="49" t="e">
        <f>D27+(#REF!-SUM($V3,$V15))/COUNTA($C$25:$L$25)</f>
        <v>#REF!</v>
      </c>
      <c r="F27" s="49" t="e">
        <f>E27+(#REF!-SUM($V3,$V15))/COUNTA($C$25:$L$25)</f>
        <v>#REF!</v>
      </c>
      <c r="G27" s="49" t="e">
        <f>F27+(#REF!-SUM($V3,$V15))/COUNTA($C$25:$L$25)</f>
        <v>#REF!</v>
      </c>
      <c r="H27" s="49" t="e">
        <f>G27+(#REF!-SUM($V3,$V15))/COUNTA($C$25:$L$25)</f>
        <v>#REF!</v>
      </c>
      <c r="I27" s="49" t="e">
        <f>H27+(#REF!-SUM($V3,$V15))/COUNTA($C$25:$L$25)</f>
        <v>#REF!</v>
      </c>
      <c r="J27" s="49" t="e">
        <f>I27+(#REF!-SUM($V3,$V15))/COUNTA($C$25:$L$25)</f>
        <v>#REF!</v>
      </c>
      <c r="K27" s="49" t="e">
        <f>J27+(#REF!-SUM($V3,$V15))/COUNTA($C$25:$L$25)</f>
        <v>#REF!</v>
      </c>
      <c r="L27" s="49" t="e">
        <f>K27+(#REF!-SUM($V3,$V15))/COUNTA($C$25:$L$25)</f>
        <v>#REF!</v>
      </c>
      <c r="M27" s="34" t="e">
        <f t="shared" ref="M27:V33" si="11">L27</f>
        <v>#REF!</v>
      </c>
      <c r="N27" s="34" t="e">
        <f t="shared" si="11"/>
        <v>#REF!</v>
      </c>
      <c r="O27" s="34" t="e">
        <f t="shared" si="11"/>
        <v>#REF!</v>
      </c>
      <c r="P27" s="34" t="e">
        <f t="shared" si="11"/>
        <v>#REF!</v>
      </c>
      <c r="Q27" s="34" t="e">
        <f t="shared" si="11"/>
        <v>#REF!</v>
      </c>
      <c r="R27" s="34" t="e">
        <f t="shared" si="11"/>
        <v>#REF!</v>
      </c>
      <c r="S27" s="34" t="e">
        <f t="shared" si="11"/>
        <v>#REF!</v>
      </c>
      <c r="T27" s="34" t="e">
        <f t="shared" si="11"/>
        <v>#REF!</v>
      </c>
      <c r="U27" s="34" t="e">
        <f t="shared" si="11"/>
        <v>#REF!</v>
      </c>
      <c r="V27" s="34" t="e">
        <f t="shared" si="11"/>
        <v>#REF!</v>
      </c>
    </row>
    <row r="28" spans="1:22" s="2" customFormat="1" x14ac:dyDescent="0.25">
      <c r="A28" s="497"/>
      <c r="B28" s="30" t="s">
        <v>40</v>
      </c>
      <c r="C28" s="49" t="e">
        <f>(#REF!-SUM($V4,$V16))/COUNTA($C$25:$L$25)</f>
        <v>#REF!</v>
      </c>
      <c r="D28" s="49" t="e">
        <f>C28+(#REF!-SUM($V4,$V16))/COUNTA($C$25:$L$25)</f>
        <v>#REF!</v>
      </c>
      <c r="E28" s="49" t="e">
        <f>D28+(#REF!-SUM($V4,$V16))/COUNTA($C$25:$L$25)</f>
        <v>#REF!</v>
      </c>
      <c r="F28" s="49" t="e">
        <f>E28+(#REF!-SUM($V4,$V16))/COUNTA($C$25:$L$25)</f>
        <v>#REF!</v>
      </c>
      <c r="G28" s="49" t="e">
        <f>F28+(#REF!-SUM($V4,$V16))/COUNTA($C$25:$L$25)</f>
        <v>#REF!</v>
      </c>
      <c r="H28" s="49" t="e">
        <f>G28+(#REF!-SUM($V4,$V16))/COUNTA($C$25:$L$25)</f>
        <v>#REF!</v>
      </c>
      <c r="I28" s="49" t="e">
        <f>H28+(#REF!-SUM($V4,$V16))/COUNTA($C$25:$L$25)</f>
        <v>#REF!</v>
      </c>
      <c r="J28" s="49" t="e">
        <f>I28+(#REF!-SUM($V4,$V16))/COUNTA($C$25:$L$25)</f>
        <v>#REF!</v>
      </c>
      <c r="K28" s="49" t="e">
        <f>J28+(#REF!-SUM($V4,$V16))/COUNTA($C$25:$L$25)</f>
        <v>#REF!</v>
      </c>
      <c r="L28" s="49" t="e">
        <f>K28+(#REF!-SUM($V4,$V16))/COUNTA($C$25:$L$25)</f>
        <v>#REF!</v>
      </c>
      <c r="M28" s="34" t="e">
        <f t="shared" si="11"/>
        <v>#REF!</v>
      </c>
      <c r="N28" s="34" t="e">
        <f t="shared" si="11"/>
        <v>#REF!</v>
      </c>
      <c r="O28" s="34" t="e">
        <f t="shared" si="11"/>
        <v>#REF!</v>
      </c>
      <c r="P28" s="34" t="e">
        <f t="shared" si="11"/>
        <v>#REF!</v>
      </c>
      <c r="Q28" s="34" t="e">
        <f t="shared" si="11"/>
        <v>#REF!</v>
      </c>
      <c r="R28" s="34" t="e">
        <f t="shared" si="11"/>
        <v>#REF!</v>
      </c>
      <c r="S28" s="34" t="e">
        <f t="shared" si="11"/>
        <v>#REF!</v>
      </c>
      <c r="T28" s="34" t="e">
        <f t="shared" si="11"/>
        <v>#REF!</v>
      </c>
      <c r="U28" s="34" t="e">
        <f t="shared" si="11"/>
        <v>#REF!</v>
      </c>
      <c r="V28" s="34" t="e">
        <f t="shared" si="11"/>
        <v>#REF!</v>
      </c>
    </row>
    <row r="29" spans="1:22" s="2" customFormat="1" x14ac:dyDescent="0.25">
      <c r="A29" s="497"/>
      <c r="B29" s="30" t="s">
        <v>80</v>
      </c>
      <c r="C29" s="49" t="e">
        <f>(#REF!-SUM($V5,$V17))/COUNTA($C$25:$L$25)</f>
        <v>#REF!</v>
      </c>
      <c r="D29" s="49" t="e">
        <f>C29+(#REF!-SUM($V5,$V17))/COUNTA($C$25:$L$25)</f>
        <v>#REF!</v>
      </c>
      <c r="E29" s="49" t="e">
        <f>D29+(#REF!-SUM($V5,$V17))/COUNTA($C$25:$L$25)</f>
        <v>#REF!</v>
      </c>
      <c r="F29" s="49" t="e">
        <f>E29+(#REF!-SUM($V5,$V17))/COUNTA($C$25:$L$25)</f>
        <v>#REF!</v>
      </c>
      <c r="G29" s="49" t="e">
        <f>F29+(#REF!-SUM($V5,$V17))/COUNTA($C$25:$L$25)</f>
        <v>#REF!</v>
      </c>
      <c r="H29" s="49" t="e">
        <f>G29+(#REF!-SUM($V5,$V17))/COUNTA($C$25:$L$25)</f>
        <v>#REF!</v>
      </c>
      <c r="I29" s="49" t="e">
        <f>H29+(#REF!-SUM($V5,$V17))/COUNTA($C$25:$L$25)</f>
        <v>#REF!</v>
      </c>
      <c r="J29" s="49" t="e">
        <f>I29+(#REF!-SUM($V5,$V17))/COUNTA($C$25:$L$25)</f>
        <v>#REF!</v>
      </c>
      <c r="K29" s="49" t="e">
        <f>J29+(#REF!-SUM($V5,$V17))/COUNTA($C$25:$L$25)</f>
        <v>#REF!</v>
      </c>
      <c r="L29" s="49" t="e">
        <f>K29+(#REF!-SUM($V5,$V17))/COUNTA($C$25:$L$25)</f>
        <v>#REF!</v>
      </c>
      <c r="M29" s="34" t="e">
        <f>L29</f>
        <v>#REF!</v>
      </c>
      <c r="N29" s="34" t="e">
        <f t="shared" si="11"/>
        <v>#REF!</v>
      </c>
      <c r="O29" s="34" t="e">
        <f t="shared" si="11"/>
        <v>#REF!</v>
      </c>
      <c r="P29" s="34" t="e">
        <f t="shared" si="11"/>
        <v>#REF!</v>
      </c>
      <c r="Q29" s="34" t="e">
        <f t="shared" si="11"/>
        <v>#REF!</v>
      </c>
      <c r="R29" s="34" t="e">
        <f t="shared" si="11"/>
        <v>#REF!</v>
      </c>
      <c r="S29" s="34" t="e">
        <f t="shared" si="11"/>
        <v>#REF!</v>
      </c>
      <c r="T29" s="34" t="e">
        <f t="shared" si="11"/>
        <v>#REF!</v>
      </c>
      <c r="U29" s="34" t="e">
        <f t="shared" si="11"/>
        <v>#REF!</v>
      </c>
      <c r="V29" s="34" t="e">
        <f t="shared" si="11"/>
        <v>#REF!</v>
      </c>
    </row>
    <row r="30" spans="1:22" s="2" customFormat="1" x14ac:dyDescent="0.25">
      <c r="A30" s="497"/>
      <c r="B30" s="30" t="s">
        <v>44</v>
      </c>
      <c r="C30" s="49" t="e">
        <f>(#REF!-SUM($V6,$V18))/COUNTA($C$25:$L$25)</f>
        <v>#REF!</v>
      </c>
      <c r="D30" s="49" t="e">
        <f>C30+(#REF!-SUM($V6,$V18))/COUNTA($C$25:$L$25)</f>
        <v>#REF!</v>
      </c>
      <c r="E30" s="49" t="e">
        <f>D30+(#REF!-SUM($V6,$V18))/COUNTA($C$25:$L$25)</f>
        <v>#REF!</v>
      </c>
      <c r="F30" s="49" t="e">
        <f>E30+(#REF!-SUM($V6,$V18))/COUNTA($C$25:$L$25)</f>
        <v>#REF!</v>
      </c>
      <c r="G30" s="49" t="e">
        <f>F30+(#REF!-SUM($V6,$V18))/COUNTA($C$25:$L$25)</f>
        <v>#REF!</v>
      </c>
      <c r="H30" s="49" t="e">
        <f>G30+(#REF!-SUM($V6,$V18))/COUNTA($C$25:$L$25)</f>
        <v>#REF!</v>
      </c>
      <c r="I30" s="49" t="e">
        <f>H30+(#REF!-SUM($V6,$V18))/COUNTA($C$25:$L$25)</f>
        <v>#REF!</v>
      </c>
      <c r="J30" s="49" t="e">
        <f>I30+(#REF!-SUM($V6,$V18))/COUNTA($C$25:$L$25)</f>
        <v>#REF!</v>
      </c>
      <c r="K30" s="49" t="e">
        <f>J30+(#REF!-SUM($V6,$V18))/COUNTA($C$25:$L$25)</f>
        <v>#REF!</v>
      </c>
      <c r="L30" s="49" t="e">
        <f>K30+(#REF!-SUM($V6,$V18))/COUNTA($C$25:$L$25)</f>
        <v>#REF!</v>
      </c>
      <c r="M30" s="34" t="e">
        <f t="shared" si="11"/>
        <v>#REF!</v>
      </c>
      <c r="N30" s="34" t="e">
        <f t="shared" si="11"/>
        <v>#REF!</v>
      </c>
      <c r="O30" s="34" t="e">
        <f t="shared" si="11"/>
        <v>#REF!</v>
      </c>
      <c r="P30" s="34" t="e">
        <f t="shared" si="11"/>
        <v>#REF!</v>
      </c>
      <c r="Q30" s="34" t="e">
        <f t="shared" si="11"/>
        <v>#REF!</v>
      </c>
      <c r="R30" s="34" t="e">
        <f t="shared" si="11"/>
        <v>#REF!</v>
      </c>
      <c r="S30" s="34" t="e">
        <f t="shared" si="11"/>
        <v>#REF!</v>
      </c>
      <c r="T30" s="34" t="e">
        <f t="shared" si="11"/>
        <v>#REF!</v>
      </c>
      <c r="U30" s="34" t="e">
        <f t="shared" si="11"/>
        <v>#REF!</v>
      </c>
      <c r="V30" s="34" t="e">
        <f t="shared" si="11"/>
        <v>#REF!</v>
      </c>
    </row>
    <row r="31" spans="1:22" s="2" customFormat="1" x14ac:dyDescent="0.25">
      <c r="A31" s="497"/>
      <c r="B31" s="30" t="s">
        <v>81</v>
      </c>
      <c r="C31" s="49" t="e">
        <f>(#REF!-SUM($V7,$V19))/COUNTA($C$25:$L$25)</f>
        <v>#REF!</v>
      </c>
      <c r="D31" s="49" t="e">
        <f>C31+(#REF!-SUM($V7,$V19))/COUNTA($C$25:$L$25)</f>
        <v>#REF!</v>
      </c>
      <c r="E31" s="49" t="e">
        <f>D31+(#REF!-SUM($V7,$V19))/COUNTA($C$25:$L$25)</f>
        <v>#REF!</v>
      </c>
      <c r="F31" s="49" t="e">
        <f>E31+(#REF!-SUM($V7,$V19))/COUNTA($C$25:$L$25)</f>
        <v>#REF!</v>
      </c>
      <c r="G31" s="49" t="e">
        <f>F31+(#REF!-SUM($V7,$V19))/COUNTA($C$25:$L$25)</f>
        <v>#REF!</v>
      </c>
      <c r="H31" s="49" t="e">
        <f>G31+(#REF!-SUM($V7,$V19))/COUNTA($C$25:$L$25)</f>
        <v>#REF!</v>
      </c>
      <c r="I31" s="49" t="e">
        <f>H31+(#REF!-SUM($V7,$V19))/COUNTA($C$25:$L$25)</f>
        <v>#REF!</v>
      </c>
      <c r="J31" s="49" t="e">
        <f>I31+(#REF!-SUM($V7,$V19))/COUNTA($C$25:$L$25)</f>
        <v>#REF!</v>
      </c>
      <c r="K31" s="49" t="e">
        <f>J31+(#REF!-SUM($V7,$V19))/COUNTA($C$25:$L$25)</f>
        <v>#REF!</v>
      </c>
      <c r="L31" s="49" t="e">
        <f>K31+(#REF!-SUM($V7,$V19))/COUNTA($C$25:$L$25)</f>
        <v>#REF!</v>
      </c>
      <c r="M31" s="34" t="e">
        <f t="shared" si="11"/>
        <v>#REF!</v>
      </c>
      <c r="N31" s="34" t="e">
        <f t="shared" si="11"/>
        <v>#REF!</v>
      </c>
      <c r="O31" s="34" t="e">
        <f t="shared" si="11"/>
        <v>#REF!</v>
      </c>
      <c r="P31" s="34" t="e">
        <f t="shared" si="11"/>
        <v>#REF!</v>
      </c>
      <c r="Q31" s="34" t="e">
        <f t="shared" si="11"/>
        <v>#REF!</v>
      </c>
      <c r="R31" s="34" t="e">
        <f t="shared" si="11"/>
        <v>#REF!</v>
      </c>
      <c r="S31" s="34" t="e">
        <f t="shared" si="11"/>
        <v>#REF!</v>
      </c>
      <c r="T31" s="34" t="e">
        <f t="shared" si="11"/>
        <v>#REF!</v>
      </c>
      <c r="U31" s="34" t="e">
        <f t="shared" si="11"/>
        <v>#REF!</v>
      </c>
      <c r="V31" s="34" t="e">
        <f t="shared" si="11"/>
        <v>#REF!</v>
      </c>
    </row>
    <row r="32" spans="1:22" s="2" customFormat="1" x14ac:dyDescent="0.25">
      <c r="A32" s="497"/>
      <c r="B32" s="30" t="s">
        <v>42</v>
      </c>
      <c r="C32" s="49" t="e">
        <f>(#REF!-SUM($V8,$V20))/COUNTA($C$25:$L$25)</f>
        <v>#REF!</v>
      </c>
      <c r="D32" s="49" t="e">
        <f>C32+(#REF!-SUM($V8,$V20))/COUNTA($C$25:$L$25)</f>
        <v>#REF!</v>
      </c>
      <c r="E32" s="49" t="e">
        <f>D32+(#REF!-SUM($V8,$V20))/COUNTA($C$25:$L$25)</f>
        <v>#REF!</v>
      </c>
      <c r="F32" s="49" t="e">
        <f>E32+(#REF!-SUM($V8,$V20))/COUNTA($C$25:$L$25)</f>
        <v>#REF!</v>
      </c>
      <c r="G32" s="49" t="e">
        <f>F32+(#REF!-SUM($V8,$V20))/COUNTA($C$25:$L$25)</f>
        <v>#REF!</v>
      </c>
      <c r="H32" s="49" t="e">
        <f>G32+(#REF!-SUM($V8,$V20))/COUNTA($C$25:$L$25)</f>
        <v>#REF!</v>
      </c>
      <c r="I32" s="49" t="e">
        <f>H32+(#REF!-SUM($V8,$V20))/COUNTA($C$25:$L$25)</f>
        <v>#REF!</v>
      </c>
      <c r="J32" s="49" t="e">
        <f>I32+(#REF!-SUM($V8,$V20))/COUNTA($C$25:$L$25)</f>
        <v>#REF!</v>
      </c>
      <c r="K32" s="49" t="e">
        <f>J32+(#REF!-SUM($V8,$V20))/COUNTA($C$25:$L$25)</f>
        <v>#REF!</v>
      </c>
      <c r="L32" s="49" t="e">
        <f>K32+(#REF!-SUM($V8,$V20))/COUNTA($C$25:$L$25)</f>
        <v>#REF!</v>
      </c>
      <c r="M32" s="34" t="e">
        <f t="shared" si="11"/>
        <v>#REF!</v>
      </c>
      <c r="N32" s="34" t="e">
        <f t="shared" si="11"/>
        <v>#REF!</v>
      </c>
      <c r="O32" s="34" t="e">
        <f t="shared" si="11"/>
        <v>#REF!</v>
      </c>
      <c r="P32" s="34" t="e">
        <f t="shared" si="11"/>
        <v>#REF!</v>
      </c>
      <c r="Q32" s="34" t="e">
        <f t="shared" si="11"/>
        <v>#REF!</v>
      </c>
      <c r="R32" s="34" t="e">
        <f t="shared" si="11"/>
        <v>#REF!</v>
      </c>
      <c r="S32" s="34" t="e">
        <f t="shared" si="11"/>
        <v>#REF!</v>
      </c>
      <c r="T32" s="34" t="e">
        <f t="shared" si="11"/>
        <v>#REF!</v>
      </c>
      <c r="U32" s="34" t="e">
        <f t="shared" si="11"/>
        <v>#REF!</v>
      </c>
      <c r="V32" s="34" t="e">
        <f t="shared" si="11"/>
        <v>#REF!</v>
      </c>
    </row>
    <row r="33" spans="1:22" s="2" customFormat="1" x14ac:dyDescent="0.25">
      <c r="A33" s="497"/>
      <c r="B33" s="30" t="s">
        <v>45</v>
      </c>
      <c r="C33" s="49" t="e">
        <f>(#REF!-SUM($V9,$V21))/COUNTA($C$25:$L$25)</f>
        <v>#REF!</v>
      </c>
      <c r="D33" s="49" t="e">
        <f>C33+(#REF!-SUM($V9,$V21))/COUNTA($C$25:$L$25)</f>
        <v>#REF!</v>
      </c>
      <c r="E33" s="49" t="e">
        <f>D33+(#REF!-SUM($V9,$V21))/COUNTA($C$25:$L$25)</f>
        <v>#REF!</v>
      </c>
      <c r="F33" s="49" t="e">
        <f>E33+(#REF!-SUM($V9,$V21))/COUNTA($C$25:$L$25)</f>
        <v>#REF!</v>
      </c>
      <c r="G33" s="49" t="e">
        <f>F33+(#REF!-SUM($V9,$V21))/COUNTA($C$25:$L$25)</f>
        <v>#REF!</v>
      </c>
      <c r="H33" s="49" t="e">
        <f>G33+(#REF!-SUM($V9,$V21))/COUNTA($C$25:$L$25)</f>
        <v>#REF!</v>
      </c>
      <c r="I33" s="49" t="e">
        <f>H33+(#REF!-SUM($V9,$V21))/COUNTA($C$25:$L$25)</f>
        <v>#REF!</v>
      </c>
      <c r="J33" s="49" t="e">
        <f>I33+(#REF!-SUM($V9,$V21))/COUNTA($C$25:$L$25)</f>
        <v>#REF!</v>
      </c>
      <c r="K33" s="49" t="e">
        <f>J33+(#REF!-SUM($V9,$V21))/COUNTA($C$25:$L$25)</f>
        <v>#REF!</v>
      </c>
      <c r="L33" s="49" t="e">
        <f>K33+(#REF!-SUM($V9,$V21))/COUNTA($C$25:$L$25)</f>
        <v>#REF!</v>
      </c>
      <c r="M33" s="34" t="e">
        <f t="shared" si="11"/>
        <v>#REF!</v>
      </c>
      <c r="N33" s="34" t="e">
        <f t="shared" si="11"/>
        <v>#REF!</v>
      </c>
      <c r="O33" s="34" t="e">
        <f t="shared" si="11"/>
        <v>#REF!</v>
      </c>
      <c r="P33" s="34" t="e">
        <f t="shared" si="11"/>
        <v>#REF!</v>
      </c>
      <c r="Q33" s="34" t="e">
        <f t="shared" si="11"/>
        <v>#REF!</v>
      </c>
      <c r="R33" s="34" t="e">
        <f t="shared" si="11"/>
        <v>#REF!</v>
      </c>
      <c r="S33" s="34" t="e">
        <f t="shared" si="11"/>
        <v>#REF!</v>
      </c>
      <c r="T33" s="34" t="e">
        <f t="shared" si="11"/>
        <v>#REF!</v>
      </c>
      <c r="U33" s="34" t="e">
        <f t="shared" si="11"/>
        <v>#REF!</v>
      </c>
      <c r="V33" s="34" t="e">
        <f t="shared" si="11"/>
        <v>#REF!</v>
      </c>
    </row>
    <row r="34" spans="1:22" s="2" customFormat="1" x14ac:dyDescent="0.25">
      <c r="A34" s="497"/>
      <c r="B34" s="47" t="s">
        <v>84</v>
      </c>
      <c r="C34" s="48" t="e">
        <f t="shared" ref="C34:V34" si="12">SUM(C26:C33)</f>
        <v>#REF!</v>
      </c>
      <c r="D34" s="48" t="e">
        <f t="shared" si="12"/>
        <v>#REF!</v>
      </c>
      <c r="E34" s="48" t="e">
        <f t="shared" si="12"/>
        <v>#REF!</v>
      </c>
      <c r="F34" s="48" t="e">
        <f t="shared" si="12"/>
        <v>#REF!</v>
      </c>
      <c r="G34" s="48" t="e">
        <f t="shared" si="12"/>
        <v>#REF!</v>
      </c>
      <c r="H34" s="48" t="e">
        <f t="shared" si="12"/>
        <v>#REF!</v>
      </c>
      <c r="I34" s="48" t="e">
        <f t="shared" si="12"/>
        <v>#REF!</v>
      </c>
      <c r="J34" s="48" t="e">
        <f t="shared" si="12"/>
        <v>#REF!</v>
      </c>
      <c r="K34" s="48" t="e">
        <f t="shared" si="12"/>
        <v>#REF!</v>
      </c>
      <c r="L34" s="48" t="e">
        <f t="shared" si="12"/>
        <v>#REF!</v>
      </c>
      <c r="M34" s="48" t="e">
        <f t="shared" si="12"/>
        <v>#REF!</v>
      </c>
      <c r="N34" s="48" t="e">
        <f t="shared" si="12"/>
        <v>#REF!</v>
      </c>
      <c r="O34" s="48" t="e">
        <f t="shared" si="12"/>
        <v>#REF!</v>
      </c>
      <c r="P34" s="48" t="e">
        <f t="shared" si="12"/>
        <v>#REF!</v>
      </c>
      <c r="Q34" s="48" t="e">
        <f t="shared" si="12"/>
        <v>#REF!</v>
      </c>
      <c r="R34" s="48" t="e">
        <f t="shared" si="12"/>
        <v>#REF!</v>
      </c>
      <c r="S34" s="48" t="e">
        <f t="shared" si="12"/>
        <v>#REF!</v>
      </c>
      <c r="T34" s="48" t="e">
        <f t="shared" si="12"/>
        <v>#REF!</v>
      </c>
      <c r="U34" s="48" t="e">
        <f t="shared" si="12"/>
        <v>#REF!</v>
      </c>
      <c r="V34" s="48" t="e">
        <f t="shared" si="12"/>
        <v>#REF!</v>
      </c>
    </row>
    <row r="35" spans="1:22" s="63" customFormat="1" x14ac:dyDescent="0.25">
      <c r="A35" s="61"/>
      <c r="B35" s="62"/>
      <c r="C35" s="59"/>
      <c r="D35" s="59"/>
      <c r="E35" s="59"/>
      <c r="F35" s="59"/>
      <c r="G35" s="59"/>
      <c r="H35" s="59"/>
      <c r="I35" s="59"/>
      <c r="J35" s="59"/>
      <c r="K35" s="59"/>
      <c r="L35" s="59"/>
      <c r="M35" s="59"/>
      <c r="N35" s="59"/>
      <c r="O35" s="59"/>
      <c r="P35" s="59"/>
      <c r="Q35" s="59"/>
      <c r="R35" s="59"/>
      <c r="S35" s="59"/>
      <c r="T35" s="59"/>
      <c r="U35" s="59"/>
      <c r="V35" s="59"/>
    </row>
    <row r="36" spans="1:22" x14ac:dyDescent="0.25">
      <c r="A36" s="498" t="s">
        <v>119</v>
      </c>
      <c r="B36" s="498"/>
      <c r="C36" s="59"/>
      <c r="D36" s="59"/>
      <c r="E36" s="59"/>
      <c r="F36" s="59"/>
      <c r="G36" s="59"/>
      <c r="H36" s="59"/>
      <c r="I36" s="59"/>
      <c r="J36" s="59"/>
      <c r="K36" s="59"/>
      <c r="L36" s="59"/>
      <c r="M36" s="59"/>
      <c r="N36" s="59"/>
      <c r="O36" s="59"/>
      <c r="P36" s="59"/>
      <c r="Q36" s="59"/>
      <c r="R36" s="59"/>
      <c r="S36" s="59"/>
      <c r="T36" s="59"/>
      <c r="U36" s="59"/>
      <c r="V36" s="59"/>
    </row>
    <row r="37" spans="1:22" s="2" customFormat="1" x14ac:dyDescent="0.25">
      <c r="A37" s="27" t="s">
        <v>16</v>
      </c>
      <c r="B37" s="27" t="s">
        <v>82</v>
      </c>
      <c r="C37" s="27">
        <v>2021</v>
      </c>
      <c r="D37" s="28">
        <v>2022</v>
      </c>
      <c r="E37" s="27">
        <v>2023</v>
      </c>
      <c r="F37" s="28">
        <v>2024</v>
      </c>
      <c r="G37" s="27">
        <v>2025</v>
      </c>
      <c r="H37" s="28">
        <v>2026</v>
      </c>
      <c r="I37" s="27">
        <v>2027</v>
      </c>
      <c r="J37" s="28">
        <v>2028</v>
      </c>
      <c r="K37" s="27">
        <v>2029</v>
      </c>
      <c r="L37" s="28">
        <v>2030</v>
      </c>
      <c r="M37" s="27">
        <v>2031</v>
      </c>
      <c r="N37" s="28">
        <v>2032</v>
      </c>
      <c r="O37" s="27">
        <v>2033</v>
      </c>
      <c r="P37" s="28">
        <v>2034</v>
      </c>
      <c r="Q37" s="27">
        <v>2035</v>
      </c>
      <c r="R37" s="28">
        <v>2036</v>
      </c>
      <c r="S37" s="27">
        <v>2037</v>
      </c>
      <c r="T37" s="28">
        <v>2038</v>
      </c>
      <c r="U37" s="27">
        <v>2039</v>
      </c>
      <c r="V37" s="28">
        <v>2040</v>
      </c>
    </row>
    <row r="38" spans="1:22" s="2" customFormat="1" ht="14.4" customHeight="1" x14ac:dyDescent="0.25">
      <c r="A38" s="497" t="s">
        <v>92</v>
      </c>
      <c r="B38" s="30" t="s">
        <v>43</v>
      </c>
      <c r="C38" s="49" t="e">
        <f>(#REF!-SUM($V2,$V14))/COUNTA($C$25:$L$25)</f>
        <v>#REF!</v>
      </c>
      <c r="D38" s="49" t="e">
        <f>C38+(#REF!-SUM($V2,$V14))/COUNTA($C$25:$L$25)</f>
        <v>#REF!</v>
      </c>
      <c r="E38" s="49" t="e">
        <f>D38+(#REF!-SUM($V2,$V14))/COUNTA($C$25:$L$25)</f>
        <v>#REF!</v>
      </c>
      <c r="F38" s="49" t="e">
        <f>E38+(#REF!-SUM($V2,$V14))/COUNTA($C$25:$L$25)</f>
        <v>#REF!</v>
      </c>
      <c r="G38" s="49" t="e">
        <f>F38+(#REF!-SUM($V2,$V14))/COUNTA($C$25:$L$25)</f>
        <v>#REF!</v>
      </c>
      <c r="H38" s="49" t="e">
        <f>G38+(#REF!-SUM($V2,$V14))/COUNTA($C$25:$L$25)</f>
        <v>#REF!</v>
      </c>
      <c r="I38" s="49" t="e">
        <f>H38+(#REF!-SUM($V2,$V14))/COUNTA($C$25:$L$25)</f>
        <v>#REF!</v>
      </c>
      <c r="J38" s="49" t="e">
        <f>I38+(#REF!-SUM($V2,$V14))/COUNTA($C$25:$L$25)</f>
        <v>#REF!</v>
      </c>
      <c r="K38" s="49" t="e">
        <f>J38+(#REF!-SUM($V2,$V14))/COUNTA($C$25:$L$25)</f>
        <v>#REF!</v>
      </c>
      <c r="L38" s="49" t="e">
        <f>K38+(#REF!-SUM($V2,$V14))/COUNTA($C$25:$L$25)</f>
        <v>#REF!</v>
      </c>
      <c r="M38" s="34" t="e">
        <f>L38</f>
        <v>#REF!</v>
      </c>
      <c r="N38" s="34" t="e">
        <f t="shared" ref="N38:N45" si="13">M38</f>
        <v>#REF!</v>
      </c>
      <c r="O38" s="34" t="e">
        <f t="shared" ref="O38:O45" si="14">N38</f>
        <v>#REF!</v>
      </c>
      <c r="P38" s="34" t="e">
        <f t="shared" ref="P38:P45" si="15">O38</f>
        <v>#REF!</v>
      </c>
      <c r="Q38" s="34" t="e">
        <f t="shared" ref="Q38:Q45" si="16">P38</f>
        <v>#REF!</v>
      </c>
      <c r="R38" s="34" t="e">
        <f t="shared" ref="R38:R45" si="17">Q38</f>
        <v>#REF!</v>
      </c>
      <c r="S38" s="34" t="e">
        <f t="shared" ref="S38:S45" si="18">R38</f>
        <v>#REF!</v>
      </c>
      <c r="T38" s="34" t="e">
        <f t="shared" ref="T38:T45" si="19">S38</f>
        <v>#REF!</v>
      </c>
      <c r="U38" s="34" t="e">
        <f t="shared" ref="U38:U45" si="20">T38</f>
        <v>#REF!</v>
      </c>
      <c r="V38" s="34" t="e">
        <f t="shared" ref="V38:V45" si="21">U38</f>
        <v>#REF!</v>
      </c>
    </row>
    <row r="39" spans="1:22" s="2" customFormat="1" x14ac:dyDescent="0.25">
      <c r="A39" s="497"/>
      <c r="B39" s="30" t="s">
        <v>41</v>
      </c>
      <c r="C39" s="49" t="e">
        <f>(#REF!-SUM($V3,$V15))/COUNTA($C$25:$L$25)</f>
        <v>#REF!</v>
      </c>
      <c r="D39" s="49" t="e">
        <f>C39+(#REF!-SUM($V3,$V15))/COUNTA($C$25:$L$25)</f>
        <v>#REF!</v>
      </c>
      <c r="E39" s="49" t="e">
        <f>D39+(#REF!-SUM($V3,$V15))/COUNTA($C$25:$L$25)</f>
        <v>#REF!</v>
      </c>
      <c r="F39" s="49" t="e">
        <f>E39+(#REF!-SUM($V3,$V15))/COUNTA($C$25:$L$25)</f>
        <v>#REF!</v>
      </c>
      <c r="G39" s="49" t="e">
        <f>F39+(#REF!-SUM($V3,$V15))/COUNTA($C$25:$L$25)</f>
        <v>#REF!</v>
      </c>
      <c r="H39" s="49" t="e">
        <f>G39+(#REF!-SUM($V3,$V15))/COUNTA($C$25:$L$25)</f>
        <v>#REF!</v>
      </c>
      <c r="I39" s="49" t="e">
        <f>H39+(#REF!-SUM($V3,$V15))/COUNTA($C$25:$L$25)</f>
        <v>#REF!</v>
      </c>
      <c r="J39" s="49" t="e">
        <f>I39+(#REF!-SUM($V3,$V15))/COUNTA($C$25:$L$25)</f>
        <v>#REF!</v>
      </c>
      <c r="K39" s="49" t="e">
        <f>J39+(#REF!-SUM($V3,$V15))/COUNTA($C$25:$L$25)</f>
        <v>#REF!</v>
      </c>
      <c r="L39" s="49" t="e">
        <f>K39+(#REF!-SUM($V3,$V15))/COUNTA($C$25:$L$25)</f>
        <v>#REF!</v>
      </c>
      <c r="M39" s="34" t="e">
        <f t="shared" ref="M39:M45" si="22">L39</f>
        <v>#REF!</v>
      </c>
      <c r="N39" s="34" t="e">
        <f t="shared" si="13"/>
        <v>#REF!</v>
      </c>
      <c r="O39" s="34" t="e">
        <f t="shared" si="14"/>
        <v>#REF!</v>
      </c>
      <c r="P39" s="34" t="e">
        <f t="shared" si="15"/>
        <v>#REF!</v>
      </c>
      <c r="Q39" s="34" t="e">
        <f t="shared" si="16"/>
        <v>#REF!</v>
      </c>
      <c r="R39" s="34" t="e">
        <f t="shared" si="17"/>
        <v>#REF!</v>
      </c>
      <c r="S39" s="34" t="e">
        <f t="shared" si="18"/>
        <v>#REF!</v>
      </c>
      <c r="T39" s="34" t="e">
        <f t="shared" si="19"/>
        <v>#REF!</v>
      </c>
      <c r="U39" s="34" t="e">
        <f t="shared" si="20"/>
        <v>#REF!</v>
      </c>
      <c r="V39" s="34" t="e">
        <f t="shared" si="21"/>
        <v>#REF!</v>
      </c>
    </row>
    <row r="40" spans="1:22" s="2" customFormat="1" x14ac:dyDescent="0.25">
      <c r="A40" s="497"/>
      <c r="B40" s="30" t="s">
        <v>40</v>
      </c>
      <c r="C40" s="49" t="e">
        <f>(#REF!-SUM($V4,$V16))/COUNTA($C$25:$L$25)</f>
        <v>#REF!</v>
      </c>
      <c r="D40" s="49" t="e">
        <f>C40+(#REF!-SUM($V4,$V16))/COUNTA($C$25:$L$25)</f>
        <v>#REF!</v>
      </c>
      <c r="E40" s="49" t="e">
        <f>D40+(#REF!-SUM($V4,$V16))/COUNTA($C$25:$L$25)</f>
        <v>#REF!</v>
      </c>
      <c r="F40" s="49" t="e">
        <f>E40+(#REF!-SUM($V4,$V16))/COUNTA($C$25:$L$25)</f>
        <v>#REF!</v>
      </c>
      <c r="G40" s="49" t="e">
        <f>F40+(#REF!-SUM($V4,$V16))/COUNTA($C$25:$L$25)</f>
        <v>#REF!</v>
      </c>
      <c r="H40" s="49" t="e">
        <f>G40+(#REF!-SUM($V4,$V16))/COUNTA($C$25:$L$25)</f>
        <v>#REF!</v>
      </c>
      <c r="I40" s="49" t="e">
        <f>H40+(#REF!-SUM($V4,$V16))/COUNTA($C$25:$L$25)</f>
        <v>#REF!</v>
      </c>
      <c r="J40" s="49" t="e">
        <f>I40+(#REF!-SUM($V4,$V16))/COUNTA($C$25:$L$25)</f>
        <v>#REF!</v>
      </c>
      <c r="K40" s="49" t="e">
        <f>J40+(#REF!-SUM($V4,$V16))/COUNTA($C$25:$L$25)</f>
        <v>#REF!</v>
      </c>
      <c r="L40" s="49" t="e">
        <f>K40+(#REF!-SUM($V4,$V16))/COUNTA($C$25:$L$25)</f>
        <v>#REF!</v>
      </c>
      <c r="M40" s="34" t="e">
        <f t="shared" si="22"/>
        <v>#REF!</v>
      </c>
      <c r="N40" s="34" t="e">
        <f t="shared" si="13"/>
        <v>#REF!</v>
      </c>
      <c r="O40" s="34" t="e">
        <f t="shared" si="14"/>
        <v>#REF!</v>
      </c>
      <c r="P40" s="34" t="e">
        <f t="shared" si="15"/>
        <v>#REF!</v>
      </c>
      <c r="Q40" s="34" t="e">
        <f t="shared" si="16"/>
        <v>#REF!</v>
      </c>
      <c r="R40" s="34" t="e">
        <f t="shared" si="17"/>
        <v>#REF!</v>
      </c>
      <c r="S40" s="34" t="e">
        <f t="shared" si="18"/>
        <v>#REF!</v>
      </c>
      <c r="T40" s="34" t="e">
        <f t="shared" si="19"/>
        <v>#REF!</v>
      </c>
      <c r="U40" s="34" t="e">
        <f t="shared" si="20"/>
        <v>#REF!</v>
      </c>
      <c r="V40" s="34" t="e">
        <f t="shared" si="21"/>
        <v>#REF!</v>
      </c>
    </row>
    <row r="41" spans="1:22" s="2" customFormat="1" x14ac:dyDescent="0.25">
      <c r="A41" s="497"/>
      <c r="B41" s="30" t="s">
        <v>80</v>
      </c>
      <c r="C41" s="49" t="e">
        <f>(#REF!-SUM($V5,$V17))/COUNTA($C$25:$L$25)</f>
        <v>#REF!</v>
      </c>
      <c r="D41" s="49" t="e">
        <f>C41+(#REF!-SUM($V5,$V17))/COUNTA($C$25:$L$25)</f>
        <v>#REF!</v>
      </c>
      <c r="E41" s="49" t="e">
        <f>D41+(#REF!-SUM($V5,$V17))/COUNTA($C$25:$L$25)</f>
        <v>#REF!</v>
      </c>
      <c r="F41" s="49" t="e">
        <f>E41+(#REF!-SUM($V5,$V17))/COUNTA($C$25:$L$25)</f>
        <v>#REF!</v>
      </c>
      <c r="G41" s="49" t="e">
        <f>F41+(#REF!-SUM($V5,$V17))/COUNTA($C$25:$L$25)</f>
        <v>#REF!</v>
      </c>
      <c r="H41" s="49" t="e">
        <f>G41+(#REF!-SUM($V5,$V17))/COUNTA($C$25:$L$25)</f>
        <v>#REF!</v>
      </c>
      <c r="I41" s="49" t="e">
        <f>H41+(#REF!-SUM($V5,$V17))/COUNTA($C$25:$L$25)</f>
        <v>#REF!</v>
      </c>
      <c r="J41" s="49" t="e">
        <f>I41+(#REF!-SUM($V5,$V17))/COUNTA($C$25:$L$25)</f>
        <v>#REF!</v>
      </c>
      <c r="K41" s="49" t="e">
        <f>J41+(#REF!-SUM($V5,$V17))/COUNTA($C$25:$L$25)</f>
        <v>#REF!</v>
      </c>
      <c r="L41" s="49" t="e">
        <f>K41+(#REF!-SUM($V5,$V17))/COUNTA($C$25:$L$25)</f>
        <v>#REF!</v>
      </c>
      <c r="M41" s="34" t="e">
        <f t="shared" si="22"/>
        <v>#REF!</v>
      </c>
      <c r="N41" s="34" t="e">
        <f t="shared" si="13"/>
        <v>#REF!</v>
      </c>
      <c r="O41" s="34" t="e">
        <f t="shared" si="14"/>
        <v>#REF!</v>
      </c>
      <c r="P41" s="34" t="e">
        <f t="shared" si="15"/>
        <v>#REF!</v>
      </c>
      <c r="Q41" s="34" t="e">
        <f t="shared" si="16"/>
        <v>#REF!</v>
      </c>
      <c r="R41" s="34" t="e">
        <f t="shared" si="17"/>
        <v>#REF!</v>
      </c>
      <c r="S41" s="34" t="e">
        <f t="shared" si="18"/>
        <v>#REF!</v>
      </c>
      <c r="T41" s="34" t="e">
        <f t="shared" si="19"/>
        <v>#REF!</v>
      </c>
      <c r="U41" s="34" t="e">
        <f t="shared" si="20"/>
        <v>#REF!</v>
      </c>
      <c r="V41" s="34" t="e">
        <f t="shared" si="21"/>
        <v>#REF!</v>
      </c>
    </row>
    <row r="42" spans="1:22" s="2" customFormat="1" x14ac:dyDescent="0.25">
      <c r="A42" s="497"/>
      <c r="B42" s="30" t="s">
        <v>44</v>
      </c>
      <c r="C42" s="49" t="e">
        <f>(#REF!-SUM($V6,$V18))/COUNTA($C$25:$L$25)</f>
        <v>#REF!</v>
      </c>
      <c r="D42" s="49" t="e">
        <f>C42+(#REF!-SUM($V6,$V18))/COUNTA($C$25:$L$25)</f>
        <v>#REF!</v>
      </c>
      <c r="E42" s="49" t="e">
        <f>D42+(#REF!-SUM($V6,$V18))/COUNTA($C$25:$L$25)</f>
        <v>#REF!</v>
      </c>
      <c r="F42" s="49" t="e">
        <f>E42+(#REF!-SUM($V6,$V18))/COUNTA($C$25:$L$25)</f>
        <v>#REF!</v>
      </c>
      <c r="G42" s="49" t="e">
        <f>F42+(#REF!-SUM($V6,$V18))/COUNTA($C$25:$L$25)</f>
        <v>#REF!</v>
      </c>
      <c r="H42" s="49" t="e">
        <f>G42+(#REF!-SUM($V6,$V18))/COUNTA($C$25:$L$25)</f>
        <v>#REF!</v>
      </c>
      <c r="I42" s="49" t="e">
        <f>H42+(#REF!-SUM($V6,$V18))/COUNTA($C$25:$L$25)</f>
        <v>#REF!</v>
      </c>
      <c r="J42" s="49" t="e">
        <f>I42+(#REF!-SUM($V6,$V18))/COUNTA($C$25:$L$25)</f>
        <v>#REF!</v>
      </c>
      <c r="K42" s="49" t="e">
        <f>J42+(#REF!-SUM($V6,$V18))/COUNTA($C$25:$L$25)</f>
        <v>#REF!</v>
      </c>
      <c r="L42" s="49" t="e">
        <f>K42+(#REF!-SUM($V6,$V18))/COUNTA($C$25:$L$25)</f>
        <v>#REF!</v>
      </c>
      <c r="M42" s="34" t="e">
        <f t="shared" si="22"/>
        <v>#REF!</v>
      </c>
      <c r="N42" s="34" t="e">
        <f t="shared" si="13"/>
        <v>#REF!</v>
      </c>
      <c r="O42" s="34" t="e">
        <f t="shared" si="14"/>
        <v>#REF!</v>
      </c>
      <c r="P42" s="34" t="e">
        <f t="shared" si="15"/>
        <v>#REF!</v>
      </c>
      <c r="Q42" s="34" t="e">
        <f t="shared" si="16"/>
        <v>#REF!</v>
      </c>
      <c r="R42" s="34" t="e">
        <f t="shared" si="17"/>
        <v>#REF!</v>
      </c>
      <c r="S42" s="34" t="e">
        <f t="shared" si="18"/>
        <v>#REF!</v>
      </c>
      <c r="T42" s="34" t="e">
        <f t="shared" si="19"/>
        <v>#REF!</v>
      </c>
      <c r="U42" s="34" t="e">
        <f t="shared" si="20"/>
        <v>#REF!</v>
      </c>
      <c r="V42" s="34" t="e">
        <f t="shared" si="21"/>
        <v>#REF!</v>
      </c>
    </row>
    <row r="43" spans="1:22" s="2" customFormat="1" x14ac:dyDescent="0.25">
      <c r="A43" s="497"/>
      <c r="B43" s="30" t="s">
        <v>81</v>
      </c>
      <c r="C43" s="49" t="e">
        <f>(#REF!-SUM($V7,$V19))/COUNTA($C$25:$L$25)</f>
        <v>#REF!</v>
      </c>
      <c r="D43" s="49" t="e">
        <f>C43+(#REF!-SUM($V7,$V19))/COUNTA($C$25:$L$25)</f>
        <v>#REF!</v>
      </c>
      <c r="E43" s="49" t="e">
        <f>D43+(#REF!-SUM($V7,$V19))/COUNTA($C$25:$L$25)</f>
        <v>#REF!</v>
      </c>
      <c r="F43" s="49" t="e">
        <f>E43+(#REF!-SUM($V7,$V19))/COUNTA($C$25:$L$25)</f>
        <v>#REF!</v>
      </c>
      <c r="G43" s="49" t="e">
        <f>F43+(#REF!-SUM($V7,$V19))/COUNTA($C$25:$L$25)</f>
        <v>#REF!</v>
      </c>
      <c r="H43" s="49" t="e">
        <f>G43+(#REF!-SUM($V7,$V19))/COUNTA($C$25:$L$25)</f>
        <v>#REF!</v>
      </c>
      <c r="I43" s="49" t="e">
        <f>H43+(#REF!-SUM($V7,$V19))/COUNTA($C$25:$L$25)</f>
        <v>#REF!</v>
      </c>
      <c r="J43" s="49" t="e">
        <f>I43+(#REF!-SUM($V7,$V19))/COUNTA($C$25:$L$25)</f>
        <v>#REF!</v>
      </c>
      <c r="K43" s="49" t="e">
        <f>J43+(#REF!-SUM($V7,$V19))/COUNTA($C$25:$L$25)</f>
        <v>#REF!</v>
      </c>
      <c r="L43" s="49" t="e">
        <f>K43+(#REF!-SUM($V7,$V19))/COUNTA($C$25:$L$25)</f>
        <v>#REF!</v>
      </c>
      <c r="M43" s="34" t="e">
        <f t="shared" si="22"/>
        <v>#REF!</v>
      </c>
      <c r="N43" s="34" t="e">
        <f t="shared" si="13"/>
        <v>#REF!</v>
      </c>
      <c r="O43" s="34" t="e">
        <f t="shared" si="14"/>
        <v>#REF!</v>
      </c>
      <c r="P43" s="34" t="e">
        <f t="shared" si="15"/>
        <v>#REF!</v>
      </c>
      <c r="Q43" s="34" t="e">
        <f t="shared" si="16"/>
        <v>#REF!</v>
      </c>
      <c r="R43" s="34" t="e">
        <f t="shared" si="17"/>
        <v>#REF!</v>
      </c>
      <c r="S43" s="34" t="e">
        <f t="shared" si="18"/>
        <v>#REF!</v>
      </c>
      <c r="T43" s="34" t="e">
        <f t="shared" si="19"/>
        <v>#REF!</v>
      </c>
      <c r="U43" s="34" t="e">
        <f t="shared" si="20"/>
        <v>#REF!</v>
      </c>
      <c r="V43" s="34" t="e">
        <f t="shared" si="21"/>
        <v>#REF!</v>
      </c>
    </row>
    <row r="44" spans="1:22" s="2" customFormat="1" x14ac:dyDescent="0.25">
      <c r="A44" s="497"/>
      <c r="B44" s="30" t="s">
        <v>42</v>
      </c>
      <c r="C44" s="49" t="e">
        <f>(#REF!-SUM($V8,$V20))/COUNTA($C$25:$L$25)</f>
        <v>#REF!</v>
      </c>
      <c r="D44" s="49" t="e">
        <f>C44+(#REF!-SUM($V8,$V20))/COUNTA($C$25:$L$25)</f>
        <v>#REF!</v>
      </c>
      <c r="E44" s="49" t="e">
        <f>D44+(#REF!-SUM($V8,$V20))/COUNTA($C$25:$L$25)</f>
        <v>#REF!</v>
      </c>
      <c r="F44" s="49" t="e">
        <f>E44+(#REF!-SUM($V8,$V20))/COUNTA($C$25:$L$25)</f>
        <v>#REF!</v>
      </c>
      <c r="G44" s="49" t="e">
        <f>F44+(#REF!-SUM($V8,$V20))/COUNTA($C$25:$L$25)</f>
        <v>#REF!</v>
      </c>
      <c r="H44" s="49" t="e">
        <f>G44+(#REF!-SUM($V8,$V20))/COUNTA($C$25:$L$25)</f>
        <v>#REF!</v>
      </c>
      <c r="I44" s="49" t="e">
        <f>H44+(#REF!-SUM($V8,$V20))/COUNTA($C$25:$L$25)</f>
        <v>#REF!</v>
      </c>
      <c r="J44" s="49" t="e">
        <f>I44+(#REF!-SUM($V8,$V20))/COUNTA($C$25:$L$25)</f>
        <v>#REF!</v>
      </c>
      <c r="K44" s="49" t="e">
        <f>J44+(#REF!-SUM($V8,$V20))/COUNTA($C$25:$L$25)</f>
        <v>#REF!</v>
      </c>
      <c r="L44" s="49" t="e">
        <f>K44+(#REF!-SUM($V8,$V20))/COUNTA($C$25:$L$25)</f>
        <v>#REF!</v>
      </c>
      <c r="M44" s="34" t="e">
        <f t="shared" si="22"/>
        <v>#REF!</v>
      </c>
      <c r="N44" s="34" t="e">
        <f t="shared" si="13"/>
        <v>#REF!</v>
      </c>
      <c r="O44" s="34" t="e">
        <f t="shared" si="14"/>
        <v>#REF!</v>
      </c>
      <c r="P44" s="34" t="e">
        <f t="shared" si="15"/>
        <v>#REF!</v>
      </c>
      <c r="Q44" s="34" t="e">
        <f t="shared" si="16"/>
        <v>#REF!</v>
      </c>
      <c r="R44" s="34" t="e">
        <f t="shared" si="17"/>
        <v>#REF!</v>
      </c>
      <c r="S44" s="34" t="e">
        <f t="shared" si="18"/>
        <v>#REF!</v>
      </c>
      <c r="T44" s="34" t="e">
        <f t="shared" si="19"/>
        <v>#REF!</v>
      </c>
      <c r="U44" s="34" t="e">
        <f t="shared" si="20"/>
        <v>#REF!</v>
      </c>
      <c r="V44" s="34" t="e">
        <f t="shared" si="21"/>
        <v>#REF!</v>
      </c>
    </row>
    <row r="45" spans="1:22" s="2" customFormat="1" x14ac:dyDescent="0.25">
      <c r="A45" s="497"/>
      <c r="B45" s="30" t="s">
        <v>45</v>
      </c>
      <c r="C45" s="49" t="e">
        <f>(#REF!-SUM($V9,$V21))/COUNTA($C$25:$L$25)</f>
        <v>#REF!</v>
      </c>
      <c r="D45" s="49" t="e">
        <f>C45+(#REF!-SUM($V9,$V21))/COUNTA($C$25:$L$25)</f>
        <v>#REF!</v>
      </c>
      <c r="E45" s="49" t="e">
        <f>D45+(#REF!-SUM($V9,$V21))/COUNTA($C$25:$L$25)</f>
        <v>#REF!</v>
      </c>
      <c r="F45" s="49" t="e">
        <f>E45+(#REF!-SUM($V9,$V21))/COUNTA($C$25:$L$25)</f>
        <v>#REF!</v>
      </c>
      <c r="G45" s="49" t="e">
        <f>F45+(#REF!-SUM($V9,$V21))/COUNTA($C$25:$L$25)</f>
        <v>#REF!</v>
      </c>
      <c r="H45" s="49" t="e">
        <f>G45+(#REF!-SUM($V9,$V21))/COUNTA($C$25:$L$25)</f>
        <v>#REF!</v>
      </c>
      <c r="I45" s="49" t="e">
        <f>H45+(#REF!-SUM($V9,$V21))/COUNTA($C$25:$L$25)</f>
        <v>#REF!</v>
      </c>
      <c r="J45" s="49" t="e">
        <f>I45+(#REF!-SUM($V9,$V21))/COUNTA($C$25:$L$25)</f>
        <v>#REF!</v>
      </c>
      <c r="K45" s="49" t="e">
        <f>J45+(#REF!-SUM($V9,$V21))/COUNTA($C$25:$L$25)</f>
        <v>#REF!</v>
      </c>
      <c r="L45" s="49" t="e">
        <f>K45+(#REF!-SUM($V9,$V21))/COUNTA($C$25:$L$25)</f>
        <v>#REF!</v>
      </c>
      <c r="M45" s="34" t="e">
        <f t="shared" si="22"/>
        <v>#REF!</v>
      </c>
      <c r="N45" s="34" t="e">
        <f t="shared" si="13"/>
        <v>#REF!</v>
      </c>
      <c r="O45" s="34" t="e">
        <f t="shared" si="14"/>
        <v>#REF!</v>
      </c>
      <c r="P45" s="34" t="e">
        <f t="shared" si="15"/>
        <v>#REF!</v>
      </c>
      <c r="Q45" s="34" t="e">
        <f t="shared" si="16"/>
        <v>#REF!</v>
      </c>
      <c r="R45" s="34" t="e">
        <f t="shared" si="17"/>
        <v>#REF!</v>
      </c>
      <c r="S45" s="34" t="e">
        <f t="shared" si="18"/>
        <v>#REF!</v>
      </c>
      <c r="T45" s="34" t="e">
        <f t="shared" si="19"/>
        <v>#REF!</v>
      </c>
      <c r="U45" s="34" t="e">
        <f t="shared" si="20"/>
        <v>#REF!</v>
      </c>
      <c r="V45" s="34" t="e">
        <f t="shared" si="21"/>
        <v>#REF!</v>
      </c>
    </row>
    <row r="46" spans="1:22" s="2" customFormat="1" x14ac:dyDescent="0.25">
      <c r="A46" s="497"/>
      <c r="B46" s="47" t="s">
        <v>84</v>
      </c>
      <c r="C46" s="48" t="e">
        <f t="shared" ref="C46:V46" si="23">SUM(C38:C45)</f>
        <v>#REF!</v>
      </c>
      <c r="D46" s="48" t="e">
        <f t="shared" si="23"/>
        <v>#REF!</v>
      </c>
      <c r="E46" s="48" t="e">
        <f t="shared" si="23"/>
        <v>#REF!</v>
      </c>
      <c r="F46" s="48" t="e">
        <f t="shared" si="23"/>
        <v>#REF!</v>
      </c>
      <c r="G46" s="48" t="e">
        <f t="shared" si="23"/>
        <v>#REF!</v>
      </c>
      <c r="H46" s="48" t="e">
        <f t="shared" si="23"/>
        <v>#REF!</v>
      </c>
      <c r="I46" s="48" t="e">
        <f t="shared" si="23"/>
        <v>#REF!</v>
      </c>
      <c r="J46" s="48" t="e">
        <f t="shared" si="23"/>
        <v>#REF!</v>
      </c>
      <c r="K46" s="48" t="e">
        <f t="shared" si="23"/>
        <v>#REF!</v>
      </c>
      <c r="L46" s="48" t="e">
        <f t="shared" si="23"/>
        <v>#REF!</v>
      </c>
      <c r="M46" s="48" t="e">
        <f t="shared" si="23"/>
        <v>#REF!</v>
      </c>
      <c r="N46" s="48" t="e">
        <f t="shared" si="23"/>
        <v>#REF!</v>
      </c>
      <c r="O46" s="48" t="e">
        <f t="shared" si="23"/>
        <v>#REF!</v>
      </c>
      <c r="P46" s="48" t="e">
        <f t="shared" si="23"/>
        <v>#REF!</v>
      </c>
      <c r="Q46" s="48" t="e">
        <f t="shared" si="23"/>
        <v>#REF!</v>
      </c>
      <c r="R46" s="48" t="e">
        <f t="shared" si="23"/>
        <v>#REF!</v>
      </c>
      <c r="S46" s="48" t="e">
        <f t="shared" si="23"/>
        <v>#REF!</v>
      </c>
      <c r="T46" s="48" t="e">
        <f t="shared" si="23"/>
        <v>#REF!</v>
      </c>
      <c r="U46" s="48" t="e">
        <f t="shared" si="23"/>
        <v>#REF!</v>
      </c>
      <c r="V46" s="48" t="e">
        <f t="shared" si="23"/>
        <v>#REF!</v>
      </c>
    </row>
    <row r="47" spans="1:22" s="60" customFormat="1" x14ac:dyDescent="0.25">
      <c r="A47" s="61"/>
      <c r="B47" s="58"/>
      <c r="C47" s="59"/>
      <c r="D47" s="59"/>
      <c r="E47" s="59"/>
      <c r="F47" s="59"/>
      <c r="G47" s="59"/>
      <c r="H47" s="59"/>
      <c r="I47" s="59"/>
      <c r="J47" s="59"/>
      <c r="K47" s="59"/>
      <c r="L47" s="59"/>
      <c r="M47" s="59"/>
      <c r="N47" s="59"/>
      <c r="O47" s="59"/>
      <c r="P47" s="59"/>
      <c r="Q47" s="59"/>
      <c r="R47" s="59"/>
      <c r="S47" s="59"/>
      <c r="T47" s="59"/>
      <c r="U47" s="59"/>
      <c r="V47" s="59"/>
    </row>
    <row r="48" spans="1:22" x14ac:dyDescent="0.25">
      <c r="A48" s="498" t="s">
        <v>120</v>
      </c>
      <c r="B48" s="498"/>
      <c r="C48" s="59"/>
      <c r="D48" s="59"/>
      <c r="E48" s="59"/>
      <c r="F48" s="59"/>
      <c r="G48" s="59"/>
      <c r="H48" s="59"/>
      <c r="I48" s="59"/>
      <c r="J48" s="59"/>
      <c r="K48" s="59"/>
      <c r="L48" s="59"/>
      <c r="M48" s="59"/>
      <c r="N48" s="59"/>
      <c r="O48" s="59"/>
      <c r="P48" s="59"/>
      <c r="Q48" s="59"/>
      <c r="R48" s="59"/>
      <c r="S48" s="59"/>
      <c r="T48" s="59"/>
      <c r="U48" s="59"/>
      <c r="V48" s="59"/>
    </row>
    <row r="49" spans="1:22" s="2" customFormat="1" x14ac:dyDescent="0.25">
      <c r="A49" s="27" t="s">
        <v>16</v>
      </c>
      <c r="B49" s="27" t="s">
        <v>82</v>
      </c>
      <c r="C49" s="27">
        <v>2021</v>
      </c>
      <c r="D49" s="28">
        <v>2022</v>
      </c>
      <c r="E49" s="27">
        <v>2023</v>
      </c>
      <c r="F49" s="28">
        <v>2024</v>
      </c>
      <c r="G49" s="27">
        <v>2025</v>
      </c>
      <c r="H49" s="28">
        <v>2026</v>
      </c>
      <c r="I49" s="27">
        <v>2027</v>
      </c>
      <c r="J49" s="28">
        <v>2028</v>
      </c>
      <c r="K49" s="27">
        <v>2029</v>
      </c>
      <c r="L49" s="28">
        <v>2030</v>
      </c>
      <c r="M49" s="27">
        <v>2031</v>
      </c>
      <c r="N49" s="28">
        <v>2032</v>
      </c>
      <c r="O49" s="27">
        <v>2033</v>
      </c>
      <c r="P49" s="28">
        <v>2034</v>
      </c>
      <c r="Q49" s="27">
        <v>2035</v>
      </c>
      <c r="R49" s="28">
        <v>2036</v>
      </c>
      <c r="S49" s="27">
        <v>2037</v>
      </c>
      <c r="T49" s="28">
        <v>2038</v>
      </c>
      <c r="U49" s="27">
        <v>2039</v>
      </c>
      <c r="V49" s="28">
        <v>2040</v>
      </c>
    </row>
    <row r="50" spans="1:22" s="2" customFormat="1" ht="14.4" customHeight="1" x14ac:dyDescent="0.25">
      <c r="A50" s="497" t="s">
        <v>92</v>
      </c>
      <c r="B50" s="30" t="s">
        <v>43</v>
      </c>
      <c r="C50" s="49" t="e">
        <f>(#REF!-SUM($V2,$V14))/COUNTA($C$25:$L$25)</f>
        <v>#REF!</v>
      </c>
      <c r="D50" s="49" t="e">
        <f>C50+(#REF!-SUM($V2,$V14))/COUNTA($C$25:$L$25)</f>
        <v>#REF!</v>
      </c>
      <c r="E50" s="49" t="e">
        <f>D50+(#REF!-SUM($V2,$V14))/COUNTA($C$25:$L$25)</f>
        <v>#REF!</v>
      </c>
      <c r="F50" s="49" t="e">
        <f>E50+(#REF!-SUM($V2,$V14))/COUNTA($C$25:$L$25)</f>
        <v>#REF!</v>
      </c>
      <c r="G50" s="49" t="e">
        <f>F50+(#REF!-SUM($V2,$V14))/COUNTA($C$25:$L$25)</f>
        <v>#REF!</v>
      </c>
      <c r="H50" s="49" t="e">
        <f>G50+(#REF!-SUM($V2,$V14))/COUNTA($C$25:$L$25)</f>
        <v>#REF!</v>
      </c>
      <c r="I50" s="49" t="e">
        <f>H50+(#REF!-SUM($V2,$V14))/COUNTA($C$25:$L$25)</f>
        <v>#REF!</v>
      </c>
      <c r="J50" s="49" t="e">
        <f>I50+(#REF!-SUM($V2,$V14))/COUNTA($C$25:$L$25)</f>
        <v>#REF!</v>
      </c>
      <c r="K50" s="49" t="e">
        <f>J50+(#REF!-SUM($V2,$V14))/COUNTA($C$25:$L$25)</f>
        <v>#REF!</v>
      </c>
      <c r="L50" s="49" t="e">
        <f>K50+(#REF!-SUM($V2,$V14))/COUNTA($C$25:$L$25)</f>
        <v>#REF!</v>
      </c>
      <c r="M50" s="34" t="e">
        <f>L50</f>
        <v>#REF!</v>
      </c>
      <c r="N50" s="34" t="e">
        <f t="shared" ref="N50:N57" si="24">M50</f>
        <v>#REF!</v>
      </c>
      <c r="O50" s="34" t="e">
        <f t="shared" ref="O50:O57" si="25">N50</f>
        <v>#REF!</v>
      </c>
      <c r="P50" s="34" t="e">
        <f t="shared" ref="P50:P57" si="26">O50</f>
        <v>#REF!</v>
      </c>
      <c r="Q50" s="34" t="e">
        <f t="shared" ref="Q50:Q57" si="27">P50</f>
        <v>#REF!</v>
      </c>
      <c r="R50" s="34" t="e">
        <f t="shared" ref="R50:R57" si="28">Q50</f>
        <v>#REF!</v>
      </c>
      <c r="S50" s="34" t="e">
        <f t="shared" ref="S50:S57" si="29">R50</f>
        <v>#REF!</v>
      </c>
      <c r="T50" s="34" t="e">
        <f t="shared" ref="T50:T57" si="30">S50</f>
        <v>#REF!</v>
      </c>
      <c r="U50" s="34" t="e">
        <f t="shared" ref="U50:U57" si="31">T50</f>
        <v>#REF!</v>
      </c>
      <c r="V50" s="34" t="e">
        <f t="shared" ref="V50:V57" si="32">U50</f>
        <v>#REF!</v>
      </c>
    </row>
    <row r="51" spans="1:22" s="2" customFormat="1" x14ac:dyDescent="0.25">
      <c r="A51" s="497"/>
      <c r="B51" s="30" t="s">
        <v>41</v>
      </c>
      <c r="C51" s="49" t="e">
        <f>(#REF!-SUM($V3,$V15))/COUNTA($C$25:$L$25)</f>
        <v>#REF!</v>
      </c>
      <c r="D51" s="49" t="e">
        <f>C51+(#REF!-SUM($V3,$V15))/COUNTA($C$25:$L$25)</f>
        <v>#REF!</v>
      </c>
      <c r="E51" s="49" t="e">
        <f>D51+(#REF!-SUM($V3,$V15))/COUNTA($C$25:$L$25)</f>
        <v>#REF!</v>
      </c>
      <c r="F51" s="49" t="e">
        <f>E51+(#REF!-SUM($V3,$V15))/COUNTA($C$25:$L$25)</f>
        <v>#REF!</v>
      </c>
      <c r="G51" s="49" t="e">
        <f>F51+(#REF!-SUM($V3,$V15))/COUNTA($C$25:$L$25)</f>
        <v>#REF!</v>
      </c>
      <c r="H51" s="49" t="e">
        <f>G51+(#REF!-SUM($V3,$V15))/COUNTA($C$25:$L$25)</f>
        <v>#REF!</v>
      </c>
      <c r="I51" s="49" t="e">
        <f>H51+(#REF!-SUM($V3,$V15))/COUNTA($C$25:$L$25)</f>
        <v>#REF!</v>
      </c>
      <c r="J51" s="49" t="e">
        <f>I51+(#REF!-SUM($V3,$V15))/COUNTA($C$25:$L$25)</f>
        <v>#REF!</v>
      </c>
      <c r="K51" s="49" t="e">
        <f>J51+(#REF!-SUM($V3,$V15))/COUNTA($C$25:$L$25)</f>
        <v>#REF!</v>
      </c>
      <c r="L51" s="49" t="e">
        <f>K51+(#REF!-SUM($V3,$V15))/COUNTA($C$25:$L$25)</f>
        <v>#REF!</v>
      </c>
      <c r="M51" s="34" t="e">
        <f t="shared" ref="M51:M57" si="33">L51</f>
        <v>#REF!</v>
      </c>
      <c r="N51" s="34" t="e">
        <f t="shared" si="24"/>
        <v>#REF!</v>
      </c>
      <c r="O51" s="34" t="e">
        <f t="shared" si="25"/>
        <v>#REF!</v>
      </c>
      <c r="P51" s="34" t="e">
        <f t="shared" si="26"/>
        <v>#REF!</v>
      </c>
      <c r="Q51" s="34" t="e">
        <f t="shared" si="27"/>
        <v>#REF!</v>
      </c>
      <c r="R51" s="34" t="e">
        <f t="shared" si="28"/>
        <v>#REF!</v>
      </c>
      <c r="S51" s="34" t="e">
        <f t="shared" si="29"/>
        <v>#REF!</v>
      </c>
      <c r="T51" s="34" t="e">
        <f t="shared" si="30"/>
        <v>#REF!</v>
      </c>
      <c r="U51" s="34" t="e">
        <f t="shared" si="31"/>
        <v>#REF!</v>
      </c>
      <c r="V51" s="34" t="e">
        <f t="shared" si="32"/>
        <v>#REF!</v>
      </c>
    </row>
    <row r="52" spans="1:22" s="2" customFormat="1" x14ac:dyDescent="0.25">
      <c r="A52" s="497"/>
      <c r="B52" s="30" t="s">
        <v>40</v>
      </c>
      <c r="C52" s="49" t="e">
        <f>(#REF!-SUM($V4,$V16))/COUNTA($C$25:$L$25)</f>
        <v>#REF!</v>
      </c>
      <c r="D52" s="49" t="e">
        <f>C52+(#REF!-SUM($V4,$V16))/COUNTA($C$25:$L$25)</f>
        <v>#REF!</v>
      </c>
      <c r="E52" s="49" t="e">
        <f>D52+(#REF!-SUM($V4,$V16))/COUNTA($C$25:$L$25)</f>
        <v>#REF!</v>
      </c>
      <c r="F52" s="49" t="e">
        <f>E52+(#REF!-SUM($V4,$V16))/COUNTA($C$25:$L$25)</f>
        <v>#REF!</v>
      </c>
      <c r="G52" s="49" t="e">
        <f>F52+(#REF!-SUM($V4,$V16))/COUNTA($C$25:$L$25)</f>
        <v>#REF!</v>
      </c>
      <c r="H52" s="49" t="e">
        <f>G52+(#REF!-SUM($V4,$V16))/COUNTA($C$25:$L$25)</f>
        <v>#REF!</v>
      </c>
      <c r="I52" s="49" t="e">
        <f>H52+(#REF!-SUM($V4,$V16))/COUNTA($C$25:$L$25)</f>
        <v>#REF!</v>
      </c>
      <c r="J52" s="49" t="e">
        <f>I52+(#REF!-SUM($V4,$V16))/COUNTA($C$25:$L$25)</f>
        <v>#REF!</v>
      </c>
      <c r="K52" s="49" t="e">
        <f>J52+(#REF!-SUM($V4,$V16))/COUNTA($C$25:$L$25)</f>
        <v>#REF!</v>
      </c>
      <c r="L52" s="49" t="e">
        <f>K52+(#REF!-SUM($V4,$V16))/COUNTA($C$25:$L$25)</f>
        <v>#REF!</v>
      </c>
      <c r="M52" s="34" t="e">
        <f t="shared" si="33"/>
        <v>#REF!</v>
      </c>
      <c r="N52" s="34" t="e">
        <f t="shared" si="24"/>
        <v>#REF!</v>
      </c>
      <c r="O52" s="34" t="e">
        <f t="shared" si="25"/>
        <v>#REF!</v>
      </c>
      <c r="P52" s="34" t="e">
        <f t="shared" si="26"/>
        <v>#REF!</v>
      </c>
      <c r="Q52" s="34" t="e">
        <f t="shared" si="27"/>
        <v>#REF!</v>
      </c>
      <c r="R52" s="34" t="e">
        <f t="shared" si="28"/>
        <v>#REF!</v>
      </c>
      <c r="S52" s="34" t="e">
        <f t="shared" si="29"/>
        <v>#REF!</v>
      </c>
      <c r="T52" s="34" t="e">
        <f t="shared" si="30"/>
        <v>#REF!</v>
      </c>
      <c r="U52" s="34" t="e">
        <f t="shared" si="31"/>
        <v>#REF!</v>
      </c>
      <c r="V52" s="34" t="e">
        <f t="shared" si="32"/>
        <v>#REF!</v>
      </c>
    </row>
    <row r="53" spans="1:22" s="2" customFormat="1" x14ac:dyDescent="0.25">
      <c r="A53" s="497"/>
      <c r="B53" s="30" t="s">
        <v>80</v>
      </c>
      <c r="C53" s="49" t="e">
        <f>(#REF!-SUM($V5,$V17))/COUNTA($C$25:$L$25)</f>
        <v>#REF!</v>
      </c>
      <c r="D53" s="49" t="e">
        <f>C53+(#REF!-SUM($V5,$V17))/COUNTA($C$25:$L$25)</f>
        <v>#REF!</v>
      </c>
      <c r="E53" s="49" t="e">
        <f>D53+(#REF!-SUM($V5,$V17))/COUNTA($C$25:$L$25)</f>
        <v>#REF!</v>
      </c>
      <c r="F53" s="49" t="e">
        <f>E53+(#REF!-SUM($V5,$V17))/COUNTA($C$25:$L$25)</f>
        <v>#REF!</v>
      </c>
      <c r="G53" s="49" t="e">
        <f>F53+(#REF!-SUM($V5,$V17))/COUNTA($C$25:$L$25)</f>
        <v>#REF!</v>
      </c>
      <c r="H53" s="49" t="e">
        <f>G53+(#REF!-SUM($V5,$V17))/COUNTA($C$25:$L$25)</f>
        <v>#REF!</v>
      </c>
      <c r="I53" s="49" t="e">
        <f>H53+(#REF!-SUM($V5,$V17))/COUNTA($C$25:$L$25)</f>
        <v>#REF!</v>
      </c>
      <c r="J53" s="49" t="e">
        <f>I53+(#REF!-SUM($V5,$V17))/COUNTA($C$25:$L$25)</f>
        <v>#REF!</v>
      </c>
      <c r="K53" s="49" t="e">
        <f>J53+(#REF!-SUM($V5,$V17))/COUNTA($C$25:$L$25)</f>
        <v>#REF!</v>
      </c>
      <c r="L53" s="49" t="e">
        <f>K53+(#REF!-SUM($V5,$V17))/COUNTA($C$25:$L$25)</f>
        <v>#REF!</v>
      </c>
      <c r="M53" s="34" t="e">
        <f t="shared" si="33"/>
        <v>#REF!</v>
      </c>
      <c r="N53" s="34" t="e">
        <f t="shared" si="24"/>
        <v>#REF!</v>
      </c>
      <c r="O53" s="34" t="e">
        <f t="shared" si="25"/>
        <v>#REF!</v>
      </c>
      <c r="P53" s="34" t="e">
        <f t="shared" si="26"/>
        <v>#REF!</v>
      </c>
      <c r="Q53" s="34" t="e">
        <f t="shared" si="27"/>
        <v>#REF!</v>
      </c>
      <c r="R53" s="34" t="e">
        <f t="shared" si="28"/>
        <v>#REF!</v>
      </c>
      <c r="S53" s="34" t="e">
        <f t="shared" si="29"/>
        <v>#REF!</v>
      </c>
      <c r="T53" s="34" t="e">
        <f t="shared" si="30"/>
        <v>#REF!</v>
      </c>
      <c r="U53" s="34" t="e">
        <f t="shared" si="31"/>
        <v>#REF!</v>
      </c>
      <c r="V53" s="34" t="e">
        <f t="shared" si="32"/>
        <v>#REF!</v>
      </c>
    </row>
    <row r="54" spans="1:22" s="2" customFormat="1" x14ac:dyDescent="0.25">
      <c r="A54" s="497"/>
      <c r="B54" s="30" t="s">
        <v>44</v>
      </c>
      <c r="C54" s="49" t="e">
        <f>(#REF!-SUM($V6,$V18))/COUNTA($C$25:$L$25)</f>
        <v>#REF!</v>
      </c>
      <c r="D54" s="49" t="e">
        <f>C54+(#REF!-SUM($V6,$V18))/COUNTA($C$25:$L$25)</f>
        <v>#REF!</v>
      </c>
      <c r="E54" s="49" t="e">
        <f>D54+(#REF!-SUM($V6,$V18))/COUNTA($C$25:$L$25)</f>
        <v>#REF!</v>
      </c>
      <c r="F54" s="49" t="e">
        <f>E54+(#REF!-SUM($V6,$V18))/COUNTA($C$25:$L$25)</f>
        <v>#REF!</v>
      </c>
      <c r="G54" s="49" t="e">
        <f>F54+(#REF!-SUM($V6,$V18))/COUNTA($C$25:$L$25)</f>
        <v>#REF!</v>
      </c>
      <c r="H54" s="49" t="e">
        <f>G54+(#REF!-SUM($V6,$V18))/COUNTA($C$25:$L$25)</f>
        <v>#REF!</v>
      </c>
      <c r="I54" s="49" t="e">
        <f>H54+(#REF!-SUM($V6,$V18))/COUNTA($C$25:$L$25)</f>
        <v>#REF!</v>
      </c>
      <c r="J54" s="49" t="e">
        <f>I54+(#REF!-SUM($V6,$V18))/COUNTA($C$25:$L$25)</f>
        <v>#REF!</v>
      </c>
      <c r="K54" s="49" t="e">
        <f>J54+(#REF!-SUM($V6,$V18))/COUNTA($C$25:$L$25)</f>
        <v>#REF!</v>
      </c>
      <c r="L54" s="49" t="e">
        <f>K54+(#REF!-SUM($V6,$V18))/COUNTA($C$25:$L$25)</f>
        <v>#REF!</v>
      </c>
      <c r="M54" s="34" t="e">
        <f t="shared" si="33"/>
        <v>#REF!</v>
      </c>
      <c r="N54" s="34" t="e">
        <f t="shared" si="24"/>
        <v>#REF!</v>
      </c>
      <c r="O54" s="34" t="e">
        <f t="shared" si="25"/>
        <v>#REF!</v>
      </c>
      <c r="P54" s="34" t="e">
        <f t="shared" si="26"/>
        <v>#REF!</v>
      </c>
      <c r="Q54" s="34" t="e">
        <f t="shared" si="27"/>
        <v>#REF!</v>
      </c>
      <c r="R54" s="34" t="e">
        <f t="shared" si="28"/>
        <v>#REF!</v>
      </c>
      <c r="S54" s="34" t="e">
        <f t="shared" si="29"/>
        <v>#REF!</v>
      </c>
      <c r="T54" s="34" t="e">
        <f t="shared" si="30"/>
        <v>#REF!</v>
      </c>
      <c r="U54" s="34" t="e">
        <f t="shared" si="31"/>
        <v>#REF!</v>
      </c>
      <c r="V54" s="34" t="e">
        <f t="shared" si="32"/>
        <v>#REF!</v>
      </c>
    </row>
    <row r="55" spans="1:22" s="2" customFormat="1" x14ac:dyDescent="0.25">
      <c r="A55" s="497"/>
      <c r="B55" s="30" t="s">
        <v>81</v>
      </c>
      <c r="C55" s="49" t="e">
        <f>(#REF!-SUM($V7,$V19))/COUNTA($C$25:$L$25)</f>
        <v>#REF!</v>
      </c>
      <c r="D55" s="49" t="e">
        <f>C55+(#REF!-SUM($V7,$V19))/COUNTA($C$25:$L$25)</f>
        <v>#REF!</v>
      </c>
      <c r="E55" s="49" t="e">
        <f>D55+(#REF!-SUM($V7,$V19))/COUNTA($C$25:$L$25)</f>
        <v>#REF!</v>
      </c>
      <c r="F55" s="49" t="e">
        <f>E55+(#REF!-SUM($V7,$V19))/COUNTA($C$25:$L$25)</f>
        <v>#REF!</v>
      </c>
      <c r="G55" s="49" t="e">
        <f>F55+(#REF!-SUM($V7,$V19))/COUNTA($C$25:$L$25)</f>
        <v>#REF!</v>
      </c>
      <c r="H55" s="49" t="e">
        <f>G55+(#REF!-SUM($V7,$V19))/COUNTA($C$25:$L$25)</f>
        <v>#REF!</v>
      </c>
      <c r="I55" s="49" t="e">
        <f>H55+(#REF!-SUM($V7,$V19))/COUNTA($C$25:$L$25)</f>
        <v>#REF!</v>
      </c>
      <c r="J55" s="49" t="e">
        <f>I55+(#REF!-SUM($V7,$V19))/COUNTA($C$25:$L$25)</f>
        <v>#REF!</v>
      </c>
      <c r="K55" s="49" t="e">
        <f>J55+(#REF!-SUM($V7,$V19))/COUNTA($C$25:$L$25)</f>
        <v>#REF!</v>
      </c>
      <c r="L55" s="49" t="e">
        <f>K55+(#REF!-SUM($V7,$V19))/COUNTA($C$25:$L$25)</f>
        <v>#REF!</v>
      </c>
      <c r="M55" s="34" t="e">
        <f t="shared" si="33"/>
        <v>#REF!</v>
      </c>
      <c r="N55" s="34" t="e">
        <f t="shared" si="24"/>
        <v>#REF!</v>
      </c>
      <c r="O55" s="34" t="e">
        <f t="shared" si="25"/>
        <v>#REF!</v>
      </c>
      <c r="P55" s="34" t="e">
        <f t="shared" si="26"/>
        <v>#REF!</v>
      </c>
      <c r="Q55" s="34" t="e">
        <f t="shared" si="27"/>
        <v>#REF!</v>
      </c>
      <c r="R55" s="34" t="e">
        <f t="shared" si="28"/>
        <v>#REF!</v>
      </c>
      <c r="S55" s="34" t="e">
        <f t="shared" si="29"/>
        <v>#REF!</v>
      </c>
      <c r="T55" s="34" t="e">
        <f t="shared" si="30"/>
        <v>#REF!</v>
      </c>
      <c r="U55" s="34" t="e">
        <f t="shared" si="31"/>
        <v>#REF!</v>
      </c>
      <c r="V55" s="34" t="e">
        <f t="shared" si="32"/>
        <v>#REF!</v>
      </c>
    </row>
    <row r="56" spans="1:22" s="2" customFormat="1" x14ac:dyDescent="0.25">
      <c r="A56" s="497"/>
      <c r="B56" s="30" t="s">
        <v>42</v>
      </c>
      <c r="C56" s="49" t="e">
        <f>(#REF!-SUM($V8,$V20))/COUNTA($C$25:$L$25)</f>
        <v>#REF!</v>
      </c>
      <c r="D56" s="49" t="e">
        <f>C56+(#REF!-SUM($V8,$V20))/COUNTA($C$25:$L$25)</f>
        <v>#REF!</v>
      </c>
      <c r="E56" s="49" t="e">
        <f>D56+(#REF!-SUM($V8,$V20))/COUNTA($C$25:$L$25)</f>
        <v>#REF!</v>
      </c>
      <c r="F56" s="49" t="e">
        <f>E56+(#REF!-SUM($V8,$V20))/COUNTA($C$25:$L$25)</f>
        <v>#REF!</v>
      </c>
      <c r="G56" s="49" t="e">
        <f>F56+(#REF!-SUM($V8,$V20))/COUNTA($C$25:$L$25)</f>
        <v>#REF!</v>
      </c>
      <c r="H56" s="49" t="e">
        <f>G56+(#REF!-SUM($V8,$V20))/COUNTA($C$25:$L$25)</f>
        <v>#REF!</v>
      </c>
      <c r="I56" s="49" t="e">
        <f>H56+(#REF!-SUM($V8,$V20))/COUNTA($C$25:$L$25)</f>
        <v>#REF!</v>
      </c>
      <c r="J56" s="49" t="e">
        <f>I56+(#REF!-SUM($V8,$V20))/COUNTA($C$25:$L$25)</f>
        <v>#REF!</v>
      </c>
      <c r="K56" s="49" t="e">
        <f>J56+(#REF!-SUM($V8,$V20))/COUNTA($C$25:$L$25)</f>
        <v>#REF!</v>
      </c>
      <c r="L56" s="49" t="e">
        <f>K56+(#REF!-SUM($V8,$V20))/COUNTA($C$25:$L$25)</f>
        <v>#REF!</v>
      </c>
      <c r="M56" s="34" t="e">
        <f t="shared" si="33"/>
        <v>#REF!</v>
      </c>
      <c r="N56" s="34" t="e">
        <f t="shared" si="24"/>
        <v>#REF!</v>
      </c>
      <c r="O56" s="34" t="e">
        <f t="shared" si="25"/>
        <v>#REF!</v>
      </c>
      <c r="P56" s="34" t="e">
        <f t="shared" si="26"/>
        <v>#REF!</v>
      </c>
      <c r="Q56" s="34" t="e">
        <f t="shared" si="27"/>
        <v>#REF!</v>
      </c>
      <c r="R56" s="34" t="e">
        <f t="shared" si="28"/>
        <v>#REF!</v>
      </c>
      <c r="S56" s="34" t="e">
        <f t="shared" si="29"/>
        <v>#REF!</v>
      </c>
      <c r="T56" s="34" t="e">
        <f t="shared" si="30"/>
        <v>#REF!</v>
      </c>
      <c r="U56" s="34" t="e">
        <f t="shared" si="31"/>
        <v>#REF!</v>
      </c>
      <c r="V56" s="34" t="e">
        <f t="shared" si="32"/>
        <v>#REF!</v>
      </c>
    </row>
    <row r="57" spans="1:22" s="2" customFormat="1" x14ac:dyDescent="0.25">
      <c r="A57" s="497"/>
      <c r="B57" s="30" t="s">
        <v>45</v>
      </c>
      <c r="C57" s="49" t="e">
        <f>(#REF!-SUM($V9,$V21))/COUNTA($C$25:$L$25)</f>
        <v>#REF!</v>
      </c>
      <c r="D57" s="49" t="e">
        <f>C57+(#REF!-SUM($V9,$V21))/COUNTA($C$25:$L$25)</f>
        <v>#REF!</v>
      </c>
      <c r="E57" s="49" t="e">
        <f>D57+(#REF!-SUM($V9,$V21))/COUNTA($C$25:$L$25)</f>
        <v>#REF!</v>
      </c>
      <c r="F57" s="49" t="e">
        <f>E57+(#REF!-SUM($V9,$V21))/COUNTA($C$25:$L$25)</f>
        <v>#REF!</v>
      </c>
      <c r="G57" s="49" t="e">
        <f>F57+(#REF!-SUM($V9,$V21))/COUNTA($C$25:$L$25)</f>
        <v>#REF!</v>
      </c>
      <c r="H57" s="49" t="e">
        <f>G57+(#REF!-SUM($V9,$V21))/COUNTA($C$25:$L$25)</f>
        <v>#REF!</v>
      </c>
      <c r="I57" s="49" t="e">
        <f>H57+(#REF!-SUM($V9,$V21))/COUNTA($C$25:$L$25)</f>
        <v>#REF!</v>
      </c>
      <c r="J57" s="49" t="e">
        <f>I57+(#REF!-SUM($V9,$V21))/COUNTA($C$25:$L$25)</f>
        <v>#REF!</v>
      </c>
      <c r="K57" s="49" t="e">
        <f>J57+(#REF!-SUM($V9,$V21))/COUNTA($C$25:$L$25)</f>
        <v>#REF!</v>
      </c>
      <c r="L57" s="49" t="e">
        <f>K57+(#REF!-SUM($V9,$V21))/COUNTA($C$25:$L$25)</f>
        <v>#REF!</v>
      </c>
      <c r="M57" s="34" t="e">
        <f t="shared" si="33"/>
        <v>#REF!</v>
      </c>
      <c r="N57" s="34" t="e">
        <f t="shared" si="24"/>
        <v>#REF!</v>
      </c>
      <c r="O57" s="34" t="e">
        <f t="shared" si="25"/>
        <v>#REF!</v>
      </c>
      <c r="P57" s="34" t="e">
        <f t="shared" si="26"/>
        <v>#REF!</v>
      </c>
      <c r="Q57" s="34" t="e">
        <f t="shared" si="27"/>
        <v>#REF!</v>
      </c>
      <c r="R57" s="34" t="e">
        <f t="shared" si="28"/>
        <v>#REF!</v>
      </c>
      <c r="S57" s="34" t="e">
        <f t="shared" si="29"/>
        <v>#REF!</v>
      </c>
      <c r="T57" s="34" t="e">
        <f t="shared" si="30"/>
        <v>#REF!</v>
      </c>
      <c r="U57" s="34" t="e">
        <f t="shared" si="31"/>
        <v>#REF!</v>
      </c>
      <c r="V57" s="34" t="e">
        <f t="shared" si="32"/>
        <v>#REF!</v>
      </c>
    </row>
    <row r="58" spans="1:22" s="2" customFormat="1" x14ac:dyDescent="0.25">
      <c r="A58" s="497"/>
      <c r="B58" s="47" t="s">
        <v>84</v>
      </c>
      <c r="C58" s="48" t="e">
        <f t="shared" ref="C58:V58" si="34">SUM(C50:C57)</f>
        <v>#REF!</v>
      </c>
      <c r="D58" s="48" t="e">
        <f t="shared" si="34"/>
        <v>#REF!</v>
      </c>
      <c r="E58" s="48" t="e">
        <f t="shared" si="34"/>
        <v>#REF!</v>
      </c>
      <c r="F58" s="48" t="e">
        <f t="shared" si="34"/>
        <v>#REF!</v>
      </c>
      <c r="G58" s="48" t="e">
        <f t="shared" si="34"/>
        <v>#REF!</v>
      </c>
      <c r="H58" s="48" t="e">
        <f t="shared" si="34"/>
        <v>#REF!</v>
      </c>
      <c r="I58" s="48" t="e">
        <f t="shared" si="34"/>
        <v>#REF!</v>
      </c>
      <c r="J58" s="48" t="e">
        <f t="shared" si="34"/>
        <v>#REF!</v>
      </c>
      <c r="K58" s="48" t="e">
        <f t="shared" si="34"/>
        <v>#REF!</v>
      </c>
      <c r="L58" s="48" t="e">
        <f t="shared" si="34"/>
        <v>#REF!</v>
      </c>
      <c r="M58" s="48" t="e">
        <f t="shared" si="34"/>
        <v>#REF!</v>
      </c>
      <c r="N58" s="48" t="e">
        <f t="shared" si="34"/>
        <v>#REF!</v>
      </c>
      <c r="O58" s="48" t="e">
        <f t="shared" si="34"/>
        <v>#REF!</v>
      </c>
      <c r="P58" s="48" t="e">
        <f t="shared" si="34"/>
        <v>#REF!</v>
      </c>
      <c r="Q58" s="48" t="e">
        <f t="shared" si="34"/>
        <v>#REF!</v>
      </c>
      <c r="R58" s="48" t="e">
        <f t="shared" si="34"/>
        <v>#REF!</v>
      </c>
      <c r="S58" s="48" t="e">
        <f t="shared" si="34"/>
        <v>#REF!</v>
      </c>
      <c r="T58" s="48" t="e">
        <f t="shared" si="34"/>
        <v>#REF!</v>
      </c>
      <c r="U58" s="48" t="e">
        <f t="shared" si="34"/>
        <v>#REF!</v>
      </c>
      <c r="V58" s="48" t="e">
        <f t="shared" si="34"/>
        <v>#REF!</v>
      </c>
    </row>
    <row r="59" spans="1:22" s="2" customFormat="1" x14ac:dyDescent="0.25">
      <c r="A59" s="45"/>
      <c r="B59" s="45"/>
      <c r="C59" s="46"/>
      <c r="D59" s="46"/>
      <c r="E59" s="46"/>
      <c r="F59" s="46"/>
      <c r="G59" s="46"/>
      <c r="H59" s="46"/>
      <c r="I59" s="46"/>
      <c r="J59" s="46"/>
      <c r="K59" s="46"/>
      <c r="L59" s="46"/>
      <c r="M59" s="46"/>
      <c r="N59" s="46"/>
      <c r="O59" s="46"/>
      <c r="P59" s="46"/>
      <c r="Q59" s="46"/>
      <c r="R59" s="46"/>
      <c r="S59" s="46"/>
      <c r="T59" s="46"/>
      <c r="U59" s="46"/>
      <c r="V59" s="46"/>
    </row>
    <row r="60" spans="1:22" s="2" customFormat="1" x14ac:dyDescent="0.25">
      <c r="A60" s="499" t="s">
        <v>115</v>
      </c>
      <c r="B60" s="499"/>
      <c r="C60" s="46"/>
      <c r="D60" s="46"/>
      <c r="E60" s="46"/>
      <c r="F60" s="46"/>
      <c r="G60" s="46"/>
      <c r="H60" s="46"/>
      <c r="I60" s="46"/>
      <c r="J60" s="46"/>
      <c r="K60" s="46"/>
      <c r="L60" s="46"/>
      <c r="M60" s="46"/>
      <c r="N60" s="46"/>
      <c r="O60" s="46"/>
      <c r="P60" s="46"/>
      <c r="Q60" s="46"/>
      <c r="R60" s="46"/>
      <c r="S60" s="46"/>
      <c r="T60" s="46"/>
      <c r="U60" s="46"/>
      <c r="V60" s="46"/>
    </row>
    <row r="61" spans="1:22" s="2" customFormat="1" x14ac:dyDescent="0.25">
      <c r="A61" s="50" t="s">
        <v>16</v>
      </c>
      <c r="B61" s="50" t="s">
        <v>82</v>
      </c>
      <c r="C61" s="50">
        <v>2021</v>
      </c>
      <c r="D61" s="51">
        <v>2022</v>
      </c>
      <c r="E61" s="50">
        <v>2023</v>
      </c>
      <c r="F61" s="51">
        <v>2024</v>
      </c>
      <c r="G61" s="50">
        <v>2025</v>
      </c>
      <c r="H61" s="51">
        <v>2026</v>
      </c>
      <c r="I61" s="50">
        <v>2027</v>
      </c>
      <c r="J61" s="51">
        <v>2028</v>
      </c>
      <c r="K61" s="50">
        <v>2029</v>
      </c>
      <c r="L61" s="51">
        <v>2030</v>
      </c>
      <c r="M61" s="50">
        <v>2031</v>
      </c>
      <c r="N61" s="51">
        <v>2032</v>
      </c>
      <c r="O61" s="50">
        <v>2033</v>
      </c>
      <c r="P61" s="51">
        <v>2034</v>
      </c>
      <c r="Q61" s="50">
        <v>2035</v>
      </c>
      <c r="R61" s="51">
        <v>2036</v>
      </c>
      <c r="S61" s="50">
        <v>2037</v>
      </c>
      <c r="T61" s="51">
        <v>2038</v>
      </c>
      <c r="U61" s="50">
        <v>2039</v>
      </c>
      <c r="V61" s="51">
        <v>2040</v>
      </c>
    </row>
    <row r="62" spans="1:22" s="2" customFormat="1" x14ac:dyDescent="0.25">
      <c r="A62" s="494" t="s">
        <v>87</v>
      </c>
      <c r="B62" s="30" t="s">
        <v>43</v>
      </c>
      <c r="C62" s="34" t="e">
        <f t="shared" ref="C62:C69" si="35">SUM(C2,C14,C26)</f>
        <v>#REF!</v>
      </c>
      <c r="D62" s="34" t="e">
        <f t="shared" ref="D62:V69" si="36">SUM(D2,D14,D26)</f>
        <v>#REF!</v>
      </c>
      <c r="E62" s="34" t="e">
        <f t="shared" si="36"/>
        <v>#REF!</v>
      </c>
      <c r="F62" s="34" t="e">
        <f t="shared" si="36"/>
        <v>#REF!</v>
      </c>
      <c r="G62" s="34" t="e">
        <f t="shared" si="36"/>
        <v>#REF!</v>
      </c>
      <c r="H62" s="34" t="e">
        <f t="shared" si="36"/>
        <v>#REF!</v>
      </c>
      <c r="I62" s="34" t="e">
        <f t="shared" si="36"/>
        <v>#REF!</v>
      </c>
      <c r="J62" s="34" t="e">
        <f t="shared" si="36"/>
        <v>#REF!</v>
      </c>
      <c r="K62" s="34" t="e">
        <f t="shared" si="36"/>
        <v>#REF!</v>
      </c>
      <c r="L62" s="34" t="e">
        <f t="shared" si="36"/>
        <v>#REF!</v>
      </c>
      <c r="M62" s="34" t="e">
        <f t="shared" si="36"/>
        <v>#REF!</v>
      </c>
      <c r="N62" s="34" t="e">
        <f t="shared" si="36"/>
        <v>#REF!</v>
      </c>
      <c r="O62" s="34" t="e">
        <f t="shared" si="36"/>
        <v>#REF!</v>
      </c>
      <c r="P62" s="34" t="e">
        <f t="shared" si="36"/>
        <v>#REF!</v>
      </c>
      <c r="Q62" s="34" t="e">
        <f t="shared" si="36"/>
        <v>#REF!</v>
      </c>
      <c r="R62" s="34" t="e">
        <f t="shared" si="36"/>
        <v>#REF!</v>
      </c>
      <c r="S62" s="34" t="e">
        <f t="shared" si="36"/>
        <v>#REF!</v>
      </c>
      <c r="T62" s="34" t="e">
        <f t="shared" si="36"/>
        <v>#REF!</v>
      </c>
      <c r="U62" s="34" t="e">
        <f t="shared" si="36"/>
        <v>#REF!</v>
      </c>
      <c r="V62" s="34" t="e">
        <f t="shared" si="36"/>
        <v>#REF!</v>
      </c>
    </row>
    <row r="63" spans="1:22" s="2" customFormat="1" x14ac:dyDescent="0.25">
      <c r="A63" s="495"/>
      <c r="B63" s="30" t="s">
        <v>41</v>
      </c>
      <c r="C63" s="34" t="e">
        <f t="shared" si="35"/>
        <v>#REF!</v>
      </c>
      <c r="D63" s="34" t="e">
        <f t="shared" ref="D63:R63" si="37">SUM(D3,D15,D27)</f>
        <v>#REF!</v>
      </c>
      <c r="E63" s="34" t="e">
        <f t="shared" si="37"/>
        <v>#REF!</v>
      </c>
      <c r="F63" s="34" t="e">
        <f t="shared" si="37"/>
        <v>#REF!</v>
      </c>
      <c r="G63" s="34" t="e">
        <f t="shared" si="37"/>
        <v>#REF!</v>
      </c>
      <c r="H63" s="34" t="e">
        <f t="shared" si="37"/>
        <v>#REF!</v>
      </c>
      <c r="I63" s="34" t="e">
        <f t="shared" si="37"/>
        <v>#REF!</v>
      </c>
      <c r="J63" s="34" t="e">
        <f t="shared" si="37"/>
        <v>#REF!</v>
      </c>
      <c r="K63" s="34" t="e">
        <f t="shared" si="37"/>
        <v>#REF!</v>
      </c>
      <c r="L63" s="34" t="e">
        <f t="shared" si="37"/>
        <v>#REF!</v>
      </c>
      <c r="M63" s="34" t="e">
        <f t="shared" si="37"/>
        <v>#REF!</v>
      </c>
      <c r="N63" s="34" t="e">
        <f t="shared" si="37"/>
        <v>#REF!</v>
      </c>
      <c r="O63" s="34" t="e">
        <f t="shared" si="37"/>
        <v>#REF!</v>
      </c>
      <c r="P63" s="34" t="e">
        <f t="shared" si="37"/>
        <v>#REF!</v>
      </c>
      <c r="Q63" s="34" t="e">
        <f t="shared" si="37"/>
        <v>#REF!</v>
      </c>
      <c r="R63" s="34" t="e">
        <f t="shared" si="37"/>
        <v>#REF!</v>
      </c>
      <c r="S63" s="34" t="e">
        <f t="shared" si="36"/>
        <v>#REF!</v>
      </c>
      <c r="T63" s="34" t="e">
        <f t="shared" si="36"/>
        <v>#REF!</v>
      </c>
      <c r="U63" s="34" t="e">
        <f t="shared" si="36"/>
        <v>#REF!</v>
      </c>
      <c r="V63" s="34" t="e">
        <f t="shared" si="36"/>
        <v>#REF!</v>
      </c>
    </row>
    <row r="64" spans="1:22" s="2" customFormat="1" x14ac:dyDescent="0.25">
      <c r="A64" s="495"/>
      <c r="B64" s="30" t="s">
        <v>40</v>
      </c>
      <c r="C64" s="34" t="e">
        <f t="shared" si="35"/>
        <v>#REF!</v>
      </c>
      <c r="D64" s="34" t="e">
        <f t="shared" si="36"/>
        <v>#REF!</v>
      </c>
      <c r="E64" s="34" t="e">
        <f t="shared" si="36"/>
        <v>#REF!</v>
      </c>
      <c r="F64" s="34" t="e">
        <f t="shared" si="36"/>
        <v>#REF!</v>
      </c>
      <c r="G64" s="34" t="e">
        <f t="shared" si="36"/>
        <v>#REF!</v>
      </c>
      <c r="H64" s="34" t="e">
        <f t="shared" si="36"/>
        <v>#REF!</v>
      </c>
      <c r="I64" s="34" t="e">
        <f t="shared" si="36"/>
        <v>#REF!</v>
      </c>
      <c r="J64" s="34" t="e">
        <f t="shared" si="36"/>
        <v>#REF!</v>
      </c>
      <c r="K64" s="34" t="e">
        <f t="shared" si="36"/>
        <v>#REF!</v>
      </c>
      <c r="L64" s="34" t="e">
        <f t="shared" si="36"/>
        <v>#REF!</v>
      </c>
      <c r="M64" s="34" t="e">
        <f t="shared" si="36"/>
        <v>#REF!</v>
      </c>
      <c r="N64" s="34" t="e">
        <f t="shared" si="36"/>
        <v>#REF!</v>
      </c>
      <c r="O64" s="34" t="e">
        <f t="shared" si="36"/>
        <v>#REF!</v>
      </c>
      <c r="P64" s="34" t="e">
        <f t="shared" si="36"/>
        <v>#REF!</v>
      </c>
      <c r="Q64" s="34" t="e">
        <f t="shared" si="36"/>
        <v>#REF!</v>
      </c>
      <c r="R64" s="34" t="e">
        <f t="shared" si="36"/>
        <v>#REF!</v>
      </c>
      <c r="S64" s="34" t="e">
        <f t="shared" si="36"/>
        <v>#REF!</v>
      </c>
      <c r="T64" s="34" t="e">
        <f t="shared" si="36"/>
        <v>#REF!</v>
      </c>
      <c r="U64" s="34" t="e">
        <f t="shared" si="36"/>
        <v>#REF!</v>
      </c>
      <c r="V64" s="34" t="e">
        <f t="shared" si="36"/>
        <v>#REF!</v>
      </c>
    </row>
    <row r="65" spans="1:22" s="2" customFormat="1" x14ac:dyDescent="0.25">
      <c r="A65" s="495"/>
      <c r="B65" s="30" t="s">
        <v>80</v>
      </c>
      <c r="C65" s="34" t="e">
        <f t="shared" si="35"/>
        <v>#REF!</v>
      </c>
      <c r="D65" s="34" t="e">
        <f t="shared" si="36"/>
        <v>#REF!</v>
      </c>
      <c r="E65" s="34" t="e">
        <f t="shared" si="36"/>
        <v>#REF!</v>
      </c>
      <c r="F65" s="34" t="e">
        <f t="shared" si="36"/>
        <v>#REF!</v>
      </c>
      <c r="G65" s="34" t="e">
        <f t="shared" si="36"/>
        <v>#REF!</v>
      </c>
      <c r="H65" s="34" t="e">
        <f t="shared" si="36"/>
        <v>#REF!</v>
      </c>
      <c r="I65" s="34" t="e">
        <f t="shared" si="36"/>
        <v>#REF!</v>
      </c>
      <c r="J65" s="34" t="e">
        <f t="shared" si="36"/>
        <v>#REF!</v>
      </c>
      <c r="K65" s="34" t="e">
        <f t="shared" si="36"/>
        <v>#REF!</v>
      </c>
      <c r="L65" s="34" t="e">
        <f t="shared" si="36"/>
        <v>#REF!</v>
      </c>
      <c r="M65" s="34" t="e">
        <f t="shared" si="36"/>
        <v>#REF!</v>
      </c>
      <c r="N65" s="34" t="e">
        <f t="shared" si="36"/>
        <v>#REF!</v>
      </c>
      <c r="O65" s="34" t="e">
        <f t="shared" si="36"/>
        <v>#REF!</v>
      </c>
      <c r="P65" s="34" t="e">
        <f t="shared" si="36"/>
        <v>#REF!</v>
      </c>
      <c r="Q65" s="34" t="e">
        <f t="shared" si="36"/>
        <v>#REF!</v>
      </c>
      <c r="R65" s="34" t="e">
        <f t="shared" si="36"/>
        <v>#REF!</v>
      </c>
      <c r="S65" s="34" t="e">
        <f t="shared" si="36"/>
        <v>#REF!</v>
      </c>
      <c r="T65" s="34" t="e">
        <f t="shared" si="36"/>
        <v>#REF!</v>
      </c>
      <c r="U65" s="34" t="e">
        <f t="shared" si="36"/>
        <v>#REF!</v>
      </c>
      <c r="V65" s="34" t="e">
        <f t="shared" si="36"/>
        <v>#REF!</v>
      </c>
    </row>
    <row r="66" spans="1:22" s="2" customFormat="1" x14ac:dyDescent="0.25">
      <c r="A66" s="495"/>
      <c r="B66" s="30" t="s">
        <v>44</v>
      </c>
      <c r="C66" s="34" t="e">
        <f t="shared" si="35"/>
        <v>#REF!</v>
      </c>
      <c r="D66" s="34" t="e">
        <f t="shared" si="36"/>
        <v>#REF!</v>
      </c>
      <c r="E66" s="34" t="e">
        <f t="shared" si="36"/>
        <v>#REF!</v>
      </c>
      <c r="F66" s="34" t="e">
        <f t="shared" si="36"/>
        <v>#REF!</v>
      </c>
      <c r="G66" s="34" t="e">
        <f t="shared" si="36"/>
        <v>#REF!</v>
      </c>
      <c r="H66" s="34" t="e">
        <f t="shared" si="36"/>
        <v>#REF!</v>
      </c>
      <c r="I66" s="34" t="e">
        <f t="shared" si="36"/>
        <v>#REF!</v>
      </c>
      <c r="J66" s="34" t="e">
        <f t="shared" si="36"/>
        <v>#REF!</v>
      </c>
      <c r="K66" s="34" t="e">
        <f t="shared" si="36"/>
        <v>#REF!</v>
      </c>
      <c r="L66" s="34" t="e">
        <f t="shared" si="36"/>
        <v>#REF!</v>
      </c>
      <c r="M66" s="34" t="e">
        <f t="shared" si="36"/>
        <v>#REF!</v>
      </c>
      <c r="N66" s="34" t="e">
        <f t="shared" si="36"/>
        <v>#REF!</v>
      </c>
      <c r="O66" s="34" t="e">
        <f t="shared" si="36"/>
        <v>#REF!</v>
      </c>
      <c r="P66" s="34" t="e">
        <f t="shared" si="36"/>
        <v>#REF!</v>
      </c>
      <c r="Q66" s="34" t="e">
        <f t="shared" si="36"/>
        <v>#REF!</v>
      </c>
      <c r="R66" s="34" t="e">
        <f t="shared" si="36"/>
        <v>#REF!</v>
      </c>
      <c r="S66" s="34" t="e">
        <f t="shared" si="36"/>
        <v>#REF!</v>
      </c>
      <c r="T66" s="34" t="e">
        <f t="shared" si="36"/>
        <v>#REF!</v>
      </c>
      <c r="U66" s="34" t="e">
        <f t="shared" si="36"/>
        <v>#REF!</v>
      </c>
      <c r="V66" s="34" t="e">
        <f t="shared" si="36"/>
        <v>#REF!</v>
      </c>
    </row>
    <row r="67" spans="1:22" s="2" customFormat="1" x14ac:dyDescent="0.25">
      <c r="A67" s="495"/>
      <c r="B67" s="30" t="s">
        <v>81</v>
      </c>
      <c r="C67" s="34" t="e">
        <f t="shared" si="35"/>
        <v>#REF!</v>
      </c>
      <c r="D67" s="34" t="e">
        <f t="shared" si="36"/>
        <v>#REF!</v>
      </c>
      <c r="E67" s="34" t="e">
        <f t="shared" si="36"/>
        <v>#REF!</v>
      </c>
      <c r="F67" s="34" t="e">
        <f t="shared" si="36"/>
        <v>#REF!</v>
      </c>
      <c r="G67" s="34" t="e">
        <f t="shared" si="36"/>
        <v>#REF!</v>
      </c>
      <c r="H67" s="34" t="e">
        <f t="shared" si="36"/>
        <v>#REF!</v>
      </c>
      <c r="I67" s="34" t="e">
        <f t="shared" si="36"/>
        <v>#REF!</v>
      </c>
      <c r="J67" s="34" t="e">
        <f t="shared" si="36"/>
        <v>#REF!</v>
      </c>
      <c r="K67" s="34" t="e">
        <f t="shared" si="36"/>
        <v>#REF!</v>
      </c>
      <c r="L67" s="34" t="e">
        <f t="shared" si="36"/>
        <v>#REF!</v>
      </c>
      <c r="M67" s="34" t="e">
        <f t="shared" si="36"/>
        <v>#REF!</v>
      </c>
      <c r="N67" s="34" t="e">
        <f t="shared" si="36"/>
        <v>#REF!</v>
      </c>
      <c r="O67" s="34" t="e">
        <f t="shared" si="36"/>
        <v>#REF!</v>
      </c>
      <c r="P67" s="34" t="e">
        <f t="shared" si="36"/>
        <v>#REF!</v>
      </c>
      <c r="Q67" s="34" t="e">
        <f t="shared" si="36"/>
        <v>#REF!</v>
      </c>
      <c r="R67" s="34" t="e">
        <f t="shared" si="36"/>
        <v>#REF!</v>
      </c>
      <c r="S67" s="34" t="e">
        <f t="shared" si="36"/>
        <v>#REF!</v>
      </c>
      <c r="T67" s="34" t="e">
        <f t="shared" si="36"/>
        <v>#REF!</v>
      </c>
      <c r="U67" s="34" t="e">
        <f t="shared" si="36"/>
        <v>#REF!</v>
      </c>
      <c r="V67" s="34" t="e">
        <f t="shared" si="36"/>
        <v>#REF!</v>
      </c>
    </row>
    <row r="68" spans="1:22" s="2" customFormat="1" x14ac:dyDescent="0.25">
      <c r="A68" s="495"/>
      <c r="B68" s="30" t="s">
        <v>42</v>
      </c>
      <c r="C68" s="34" t="e">
        <f t="shared" si="35"/>
        <v>#REF!</v>
      </c>
      <c r="D68" s="34" t="e">
        <f t="shared" si="36"/>
        <v>#REF!</v>
      </c>
      <c r="E68" s="34" t="e">
        <f t="shared" si="36"/>
        <v>#REF!</v>
      </c>
      <c r="F68" s="34" t="e">
        <f t="shared" si="36"/>
        <v>#REF!</v>
      </c>
      <c r="G68" s="34" t="e">
        <f t="shared" si="36"/>
        <v>#REF!</v>
      </c>
      <c r="H68" s="34" t="e">
        <f t="shared" si="36"/>
        <v>#REF!</v>
      </c>
      <c r="I68" s="34" t="e">
        <f t="shared" si="36"/>
        <v>#REF!</v>
      </c>
      <c r="J68" s="34" t="e">
        <f t="shared" si="36"/>
        <v>#REF!</v>
      </c>
      <c r="K68" s="34" t="e">
        <f t="shared" si="36"/>
        <v>#REF!</v>
      </c>
      <c r="L68" s="34" t="e">
        <f t="shared" si="36"/>
        <v>#REF!</v>
      </c>
      <c r="M68" s="34" t="e">
        <f t="shared" si="36"/>
        <v>#REF!</v>
      </c>
      <c r="N68" s="34" t="e">
        <f t="shared" si="36"/>
        <v>#REF!</v>
      </c>
      <c r="O68" s="34" t="e">
        <f t="shared" si="36"/>
        <v>#REF!</v>
      </c>
      <c r="P68" s="34" t="e">
        <f t="shared" si="36"/>
        <v>#REF!</v>
      </c>
      <c r="Q68" s="34" t="e">
        <f t="shared" si="36"/>
        <v>#REF!</v>
      </c>
      <c r="R68" s="34" t="e">
        <f t="shared" si="36"/>
        <v>#REF!</v>
      </c>
      <c r="S68" s="34" t="e">
        <f t="shared" si="36"/>
        <v>#REF!</v>
      </c>
      <c r="T68" s="34" t="e">
        <f t="shared" si="36"/>
        <v>#REF!</v>
      </c>
      <c r="U68" s="34" t="e">
        <f t="shared" si="36"/>
        <v>#REF!</v>
      </c>
      <c r="V68" s="34" t="e">
        <f t="shared" si="36"/>
        <v>#REF!</v>
      </c>
    </row>
    <row r="69" spans="1:22" s="2" customFormat="1" x14ac:dyDescent="0.25">
      <c r="A69" s="495"/>
      <c r="B69" s="30" t="s">
        <v>45</v>
      </c>
      <c r="C69" s="34" t="e">
        <f t="shared" si="35"/>
        <v>#REF!</v>
      </c>
      <c r="D69" s="34" t="e">
        <f t="shared" si="36"/>
        <v>#REF!</v>
      </c>
      <c r="E69" s="34" t="e">
        <f t="shared" si="36"/>
        <v>#REF!</v>
      </c>
      <c r="F69" s="34" t="e">
        <f t="shared" si="36"/>
        <v>#REF!</v>
      </c>
      <c r="G69" s="34" t="e">
        <f t="shared" si="36"/>
        <v>#REF!</v>
      </c>
      <c r="H69" s="34" t="e">
        <f t="shared" si="36"/>
        <v>#REF!</v>
      </c>
      <c r="I69" s="34" t="e">
        <f t="shared" si="36"/>
        <v>#REF!</v>
      </c>
      <c r="J69" s="34" t="e">
        <f t="shared" si="36"/>
        <v>#REF!</v>
      </c>
      <c r="K69" s="34" t="e">
        <f t="shared" si="36"/>
        <v>#REF!</v>
      </c>
      <c r="L69" s="34" t="e">
        <f t="shared" si="36"/>
        <v>#REF!</v>
      </c>
      <c r="M69" s="34" t="e">
        <f t="shared" si="36"/>
        <v>#REF!</v>
      </c>
      <c r="N69" s="34" t="e">
        <f t="shared" si="36"/>
        <v>#REF!</v>
      </c>
      <c r="O69" s="34" t="e">
        <f t="shared" si="36"/>
        <v>#REF!</v>
      </c>
      <c r="P69" s="34" t="e">
        <f t="shared" si="36"/>
        <v>#REF!</v>
      </c>
      <c r="Q69" s="34" t="e">
        <f t="shared" si="36"/>
        <v>#REF!</v>
      </c>
      <c r="R69" s="34" t="e">
        <f t="shared" si="36"/>
        <v>#REF!</v>
      </c>
      <c r="S69" s="34" t="e">
        <f t="shared" si="36"/>
        <v>#REF!</v>
      </c>
      <c r="T69" s="34" t="e">
        <f t="shared" si="36"/>
        <v>#REF!</v>
      </c>
      <c r="U69" s="34" t="e">
        <f t="shared" si="36"/>
        <v>#REF!</v>
      </c>
      <c r="V69" s="34" t="e">
        <f t="shared" si="36"/>
        <v>#REF!</v>
      </c>
    </row>
    <row r="70" spans="1:22" s="2" customFormat="1" x14ac:dyDescent="0.25">
      <c r="A70" s="496"/>
      <c r="B70" s="47" t="s">
        <v>84</v>
      </c>
      <c r="C70" s="48" t="e">
        <f>SUM(C62:C69)</f>
        <v>#REF!</v>
      </c>
      <c r="D70" s="48" t="e">
        <f t="shared" ref="D70:V70" si="38">SUM(D62:D69)</f>
        <v>#REF!</v>
      </c>
      <c r="E70" s="48" t="e">
        <f t="shared" si="38"/>
        <v>#REF!</v>
      </c>
      <c r="F70" s="48" t="e">
        <f t="shared" si="38"/>
        <v>#REF!</v>
      </c>
      <c r="G70" s="48" t="e">
        <f t="shared" si="38"/>
        <v>#REF!</v>
      </c>
      <c r="H70" s="48" t="e">
        <f t="shared" si="38"/>
        <v>#REF!</v>
      </c>
      <c r="I70" s="48" t="e">
        <f t="shared" si="38"/>
        <v>#REF!</v>
      </c>
      <c r="J70" s="48" t="e">
        <f t="shared" si="38"/>
        <v>#REF!</v>
      </c>
      <c r="K70" s="48" t="e">
        <f t="shared" si="38"/>
        <v>#REF!</v>
      </c>
      <c r="L70" s="48" t="e">
        <f t="shared" si="38"/>
        <v>#REF!</v>
      </c>
      <c r="M70" s="48" t="e">
        <f t="shared" si="38"/>
        <v>#REF!</v>
      </c>
      <c r="N70" s="48" t="e">
        <f t="shared" si="38"/>
        <v>#REF!</v>
      </c>
      <c r="O70" s="48" t="e">
        <f t="shared" si="38"/>
        <v>#REF!</v>
      </c>
      <c r="P70" s="48" t="e">
        <f t="shared" si="38"/>
        <v>#REF!</v>
      </c>
      <c r="Q70" s="48" t="e">
        <f t="shared" si="38"/>
        <v>#REF!</v>
      </c>
      <c r="R70" s="48" t="e">
        <f t="shared" si="38"/>
        <v>#REF!</v>
      </c>
      <c r="S70" s="48" t="e">
        <f t="shared" si="38"/>
        <v>#REF!</v>
      </c>
      <c r="T70" s="48" t="e">
        <f t="shared" si="38"/>
        <v>#REF!</v>
      </c>
      <c r="U70" s="48" t="e">
        <f t="shared" si="38"/>
        <v>#REF!</v>
      </c>
      <c r="V70" s="48" t="e">
        <f t="shared" si="38"/>
        <v>#REF!</v>
      </c>
    </row>
    <row r="71" spans="1:22" s="2" customFormat="1" x14ac:dyDescent="0.25">
      <c r="A71" s="45"/>
      <c r="B71" s="45"/>
      <c r="C71" s="46"/>
      <c r="D71" s="46"/>
      <c r="E71" s="46"/>
      <c r="F71" s="46"/>
      <c r="G71" s="46"/>
      <c r="H71" s="46"/>
      <c r="I71" s="46"/>
      <c r="J71" s="46"/>
      <c r="K71" s="46"/>
      <c r="L71" s="46"/>
      <c r="M71" s="46"/>
      <c r="N71" s="46"/>
      <c r="O71" s="46"/>
      <c r="P71" s="46"/>
      <c r="Q71" s="46"/>
      <c r="R71" s="46"/>
      <c r="S71" s="46"/>
      <c r="T71" s="46"/>
      <c r="U71" s="46"/>
      <c r="V71" s="46"/>
    </row>
    <row r="72" spans="1:22" s="2" customFormat="1" x14ac:dyDescent="0.25">
      <c r="A72" s="499" t="s">
        <v>116</v>
      </c>
      <c r="B72" s="499"/>
      <c r="C72" s="46"/>
      <c r="D72" s="46"/>
      <c r="E72" s="46"/>
      <c r="F72" s="46"/>
      <c r="G72" s="46"/>
      <c r="H72" s="46"/>
      <c r="I72" s="46"/>
      <c r="J72" s="46"/>
      <c r="K72" s="46"/>
      <c r="L72" s="46"/>
      <c r="M72" s="46"/>
      <c r="N72" s="46"/>
      <c r="O72" s="46"/>
      <c r="P72" s="46"/>
      <c r="Q72" s="46"/>
      <c r="R72" s="46"/>
      <c r="S72" s="46"/>
      <c r="T72" s="46"/>
      <c r="U72" s="46"/>
      <c r="V72" s="46"/>
    </row>
    <row r="73" spans="1:22" s="2" customFormat="1" x14ac:dyDescent="0.25">
      <c r="A73" s="50" t="s">
        <v>16</v>
      </c>
      <c r="B73" s="50" t="s">
        <v>82</v>
      </c>
      <c r="C73" s="50">
        <v>2021</v>
      </c>
      <c r="D73" s="51">
        <v>2022</v>
      </c>
      <c r="E73" s="50">
        <v>2023</v>
      </c>
      <c r="F73" s="51">
        <v>2024</v>
      </c>
      <c r="G73" s="50">
        <v>2025</v>
      </c>
      <c r="H73" s="51">
        <v>2026</v>
      </c>
      <c r="I73" s="50">
        <v>2027</v>
      </c>
      <c r="J73" s="51">
        <v>2028</v>
      </c>
      <c r="K73" s="50">
        <v>2029</v>
      </c>
      <c r="L73" s="51">
        <v>2030</v>
      </c>
      <c r="M73" s="50">
        <v>2031</v>
      </c>
      <c r="N73" s="51">
        <v>2032</v>
      </c>
      <c r="O73" s="50">
        <v>2033</v>
      </c>
      <c r="P73" s="51">
        <v>2034</v>
      </c>
      <c r="Q73" s="50">
        <v>2035</v>
      </c>
      <c r="R73" s="51">
        <v>2036</v>
      </c>
      <c r="S73" s="50">
        <v>2037</v>
      </c>
      <c r="T73" s="51">
        <v>2038</v>
      </c>
      <c r="U73" s="50">
        <v>2039</v>
      </c>
      <c r="V73" s="51">
        <v>2040</v>
      </c>
    </row>
    <row r="74" spans="1:22" s="2" customFormat="1" x14ac:dyDescent="0.25">
      <c r="A74" s="494" t="s">
        <v>87</v>
      </c>
      <c r="B74" s="30" t="s">
        <v>43</v>
      </c>
      <c r="C74" s="34" t="e">
        <f t="shared" ref="C74:C81" si="39">SUM(C2,C14,C38)</f>
        <v>#REF!</v>
      </c>
      <c r="D74" s="34" t="e">
        <f t="shared" ref="D74:V81" si="40">SUM(D2,D14,D38)</f>
        <v>#REF!</v>
      </c>
      <c r="E74" s="34" t="e">
        <f t="shared" si="40"/>
        <v>#REF!</v>
      </c>
      <c r="F74" s="34" t="e">
        <f t="shared" si="40"/>
        <v>#REF!</v>
      </c>
      <c r="G74" s="34" t="e">
        <f t="shared" si="40"/>
        <v>#REF!</v>
      </c>
      <c r="H74" s="34" t="e">
        <f t="shared" si="40"/>
        <v>#REF!</v>
      </c>
      <c r="I74" s="34" t="e">
        <f t="shared" si="40"/>
        <v>#REF!</v>
      </c>
      <c r="J74" s="34" t="e">
        <f t="shared" si="40"/>
        <v>#REF!</v>
      </c>
      <c r="K74" s="34" t="e">
        <f t="shared" si="40"/>
        <v>#REF!</v>
      </c>
      <c r="L74" s="34" t="e">
        <f t="shared" si="40"/>
        <v>#REF!</v>
      </c>
      <c r="M74" s="34" t="e">
        <f t="shared" si="40"/>
        <v>#REF!</v>
      </c>
      <c r="N74" s="34" t="e">
        <f t="shared" si="40"/>
        <v>#REF!</v>
      </c>
      <c r="O74" s="34" t="e">
        <f t="shared" si="40"/>
        <v>#REF!</v>
      </c>
      <c r="P74" s="34" t="e">
        <f t="shared" si="40"/>
        <v>#REF!</v>
      </c>
      <c r="Q74" s="34" t="e">
        <f t="shared" si="40"/>
        <v>#REF!</v>
      </c>
      <c r="R74" s="34" t="e">
        <f t="shared" si="40"/>
        <v>#REF!</v>
      </c>
      <c r="S74" s="34" t="e">
        <f t="shared" si="40"/>
        <v>#REF!</v>
      </c>
      <c r="T74" s="34" t="e">
        <f t="shared" si="40"/>
        <v>#REF!</v>
      </c>
      <c r="U74" s="34" t="e">
        <f t="shared" si="40"/>
        <v>#REF!</v>
      </c>
      <c r="V74" s="34" t="e">
        <f t="shared" si="40"/>
        <v>#REF!</v>
      </c>
    </row>
    <row r="75" spans="1:22" s="2" customFormat="1" x14ac:dyDescent="0.25">
      <c r="A75" s="495"/>
      <c r="B75" s="30" t="s">
        <v>41</v>
      </c>
      <c r="C75" s="34" t="e">
        <f t="shared" si="39"/>
        <v>#REF!</v>
      </c>
      <c r="D75" s="34" t="e">
        <f t="shared" ref="D75:R75" si="41">SUM(D3,D15,D39)</f>
        <v>#REF!</v>
      </c>
      <c r="E75" s="34" t="e">
        <f t="shared" si="41"/>
        <v>#REF!</v>
      </c>
      <c r="F75" s="34" t="e">
        <f t="shared" si="41"/>
        <v>#REF!</v>
      </c>
      <c r="G75" s="34" t="e">
        <f t="shared" si="41"/>
        <v>#REF!</v>
      </c>
      <c r="H75" s="34" t="e">
        <f t="shared" si="41"/>
        <v>#REF!</v>
      </c>
      <c r="I75" s="34" t="e">
        <f t="shared" si="41"/>
        <v>#REF!</v>
      </c>
      <c r="J75" s="34" t="e">
        <f t="shared" si="41"/>
        <v>#REF!</v>
      </c>
      <c r="K75" s="34" t="e">
        <f t="shared" si="41"/>
        <v>#REF!</v>
      </c>
      <c r="L75" s="34" t="e">
        <f t="shared" si="41"/>
        <v>#REF!</v>
      </c>
      <c r="M75" s="34" t="e">
        <f t="shared" si="41"/>
        <v>#REF!</v>
      </c>
      <c r="N75" s="34" t="e">
        <f t="shared" si="41"/>
        <v>#REF!</v>
      </c>
      <c r="O75" s="34" t="e">
        <f t="shared" si="41"/>
        <v>#REF!</v>
      </c>
      <c r="P75" s="34" t="e">
        <f t="shared" si="41"/>
        <v>#REF!</v>
      </c>
      <c r="Q75" s="34" t="e">
        <f t="shared" si="41"/>
        <v>#REF!</v>
      </c>
      <c r="R75" s="34" t="e">
        <f t="shared" si="41"/>
        <v>#REF!</v>
      </c>
      <c r="S75" s="34" t="e">
        <f t="shared" si="40"/>
        <v>#REF!</v>
      </c>
      <c r="T75" s="34" t="e">
        <f t="shared" si="40"/>
        <v>#REF!</v>
      </c>
      <c r="U75" s="34" t="e">
        <f t="shared" si="40"/>
        <v>#REF!</v>
      </c>
      <c r="V75" s="34" t="e">
        <f t="shared" si="40"/>
        <v>#REF!</v>
      </c>
    </row>
    <row r="76" spans="1:22" s="2" customFormat="1" x14ac:dyDescent="0.25">
      <c r="A76" s="495"/>
      <c r="B76" s="30" t="s">
        <v>40</v>
      </c>
      <c r="C76" s="34" t="e">
        <f t="shared" si="39"/>
        <v>#REF!</v>
      </c>
      <c r="D76" s="34" t="e">
        <f t="shared" si="40"/>
        <v>#REF!</v>
      </c>
      <c r="E76" s="34" t="e">
        <f t="shared" si="40"/>
        <v>#REF!</v>
      </c>
      <c r="F76" s="34" t="e">
        <f t="shared" si="40"/>
        <v>#REF!</v>
      </c>
      <c r="G76" s="34" t="e">
        <f t="shared" si="40"/>
        <v>#REF!</v>
      </c>
      <c r="H76" s="34" t="e">
        <f t="shared" si="40"/>
        <v>#REF!</v>
      </c>
      <c r="I76" s="34" t="e">
        <f t="shared" si="40"/>
        <v>#REF!</v>
      </c>
      <c r="J76" s="34" t="e">
        <f t="shared" si="40"/>
        <v>#REF!</v>
      </c>
      <c r="K76" s="34" t="e">
        <f t="shared" si="40"/>
        <v>#REF!</v>
      </c>
      <c r="L76" s="34" t="e">
        <f t="shared" si="40"/>
        <v>#REF!</v>
      </c>
      <c r="M76" s="34" t="e">
        <f t="shared" si="40"/>
        <v>#REF!</v>
      </c>
      <c r="N76" s="34" t="e">
        <f t="shared" si="40"/>
        <v>#REF!</v>
      </c>
      <c r="O76" s="34" t="e">
        <f t="shared" si="40"/>
        <v>#REF!</v>
      </c>
      <c r="P76" s="34" t="e">
        <f t="shared" si="40"/>
        <v>#REF!</v>
      </c>
      <c r="Q76" s="34" t="e">
        <f t="shared" si="40"/>
        <v>#REF!</v>
      </c>
      <c r="R76" s="34" t="e">
        <f t="shared" si="40"/>
        <v>#REF!</v>
      </c>
      <c r="S76" s="34" t="e">
        <f t="shared" si="40"/>
        <v>#REF!</v>
      </c>
      <c r="T76" s="34" t="e">
        <f t="shared" si="40"/>
        <v>#REF!</v>
      </c>
      <c r="U76" s="34" t="e">
        <f t="shared" si="40"/>
        <v>#REF!</v>
      </c>
      <c r="V76" s="34" t="e">
        <f t="shared" si="40"/>
        <v>#REF!</v>
      </c>
    </row>
    <row r="77" spans="1:22" s="2" customFormat="1" x14ac:dyDescent="0.25">
      <c r="A77" s="495"/>
      <c r="B77" s="30" t="s">
        <v>80</v>
      </c>
      <c r="C77" s="34" t="e">
        <f t="shared" si="39"/>
        <v>#REF!</v>
      </c>
      <c r="D77" s="34" t="e">
        <f t="shared" si="40"/>
        <v>#REF!</v>
      </c>
      <c r="E77" s="34" t="e">
        <f t="shared" si="40"/>
        <v>#REF!</v>
      </c>
      <c r="F77" s="34" t="e">
        <f t="shared" si="40"/>
        <v>#REF!</v>
      </c>
      <c r="G77" s="34" t="e">
        <f t="shared" si="40"/>
        <v>#REF!</v>
      </c>
      <c r="H77" s="34" t="e">
        <f t="shared" si="40"/>
        <v>#REF!</v>
      </c>
      <c r="I77" s="34" t="e">
        <f t="shared" si="40"/>
        <v>#REF!</v>
      </c>
      <c r="J77" s="34" t="e">
        <f t="shared" si="40"/>
        <v>#REF!</v>
      </c>
      <c r="K77" s="34" t="e">
        <f t="shared" si="40"/>
        <v>#REF!</v>
      </c>
      <c r="L77" s="34" t="e">
        <f t="shared" si="40"/>
        <v>#REF!</v>
      </c>
      <c r="M77" s="34" t="e">
        <f t="shared" si="40"/>
        <v>#REF!</v>
      </c>
      <c r="N77" s="34" t="e">
        <f t="shared" si="40"/>
        <v>#REF!</v>
      </c>
      <c r="O77" s="34" t="e">
        <f t="shared" si="40"/>
        <v>#REF!</v>
      </c>
      <c r="P77" s="34" t="e">
        <f t="shared" si="40"/>
        <v>#REF!</v>
      </c>
      <c r="Q77" s="34" t="e">
        <f t="shared" si="40"/>
        <v>#REF!</v>
      </c>
      <c r="R77" s="34" t="e">
        <f t="shared" si="40"/>
        <v>#REF!</v>
      </c>
      <c r="S77" s="34" t="e">
        <f t="shared" si="40"/>
        <v>#REF!</v>
      </c>
      <c r="T77" s="34" t="e">
        <f t="shared" si="40"/>
        <v>#REF!</v>
      </c>
      <c r="U77" s="34" t="e">
        <f t="shared" si="40"/>
        <v>#REF!</v>
      </c>
      <c r="V77" s="34" t="e">
        <f t="shared" si="40"/>
        <v>#REF!</v>
      </c>
    </row>
    <row r="78" spans="1:22" s="2" customFormat="1" x14ac:dyDescent="0.25">
      <c r="A78" s="495"/>
      <c r="B78" s="30" t="s">
        <v>44</v>
      </c>
      <c r="C78" s="34" t="e">
        <f t="shared" si="39"/>
        <v>#REF!</v>
      </c>
      <c r="D78" s="34" t="e">
        <f t="shared" si="40"/>
        <v>#REF!</v>
      </c>
      <c r="E78" s="34" t="e">
        <f t="shared" si="40"/>
        <v>#REF!</v>
      </c>
      <c r="F78" s="34" t="e">
        <f t="shared" si="40"/>
        <v>#REF!</v>
      </c>
      <c r="G78" s="34" t="e">
        <f t="shared" si="40"/>
        <v>#REF!</v>
      </c>
      <c r="H78" s="34" t="e">
        <f t="shared" si="40"/>
        <v>#REF!</v>
      </c>
      <c r="I78" s="34" t="e">
        <f t="shared" si="40"/>
        <v>#REF!</v>
      </c>
      <c r="J78" s="34" t="e">
        <f t="shared" si="40"/>
        <v>#REF!</v>
      </c>
      <c r="K78" s="34" t="e">
        <f t="shared" si="40"/>
        <v>#REF!</v>
      </c>
      <c r="L78" s="34" t="e">
        <f t="shared" si="40"/>
        <v>#REF!</v>
      </c>
      <c r="M78" s="34" t="e">
        <f t="shared" si="40"/>
        <v>#REF!</v>
      </c>
      <c r="N78" s="34" t="e">
        <f t="shared" si="40"/>
        <v>#REF!</v>
      </c>
      <c r="O78" s="34" t="e">
        <f t="shared" si="40"/>
        <v>#REF!</v>
      </c>
      <c r="P78" s="34" t="e">
        <f t="shared" si="40"/>
        <v>#REF!</v>
      </c>
      <c r="Q78" s="34" t="e">
        <f t="shared" si="40"/>
        <v>#REF!</v>
      </c>
      <c r="R78" s="34" t="e">
        <f t="shared" si="40"/>
        <v>#REF!</v>
      </c>
      <c r="S78" s="34" t="e">
        <f t="shared" si="40"/>
        <v>#REF!</v>
      </c>
      <c r="T78" s="34" t="e">
        <f t="shared" si="40"/>
        <v>#REF!</v>
      </c>
      <c r="U78" s="34" t="e">
        <f t="shared" si="40"/>
        <v>#REF!</v>
      </c>
      <c r="V78" s="34" t="e">
        <f t="shared" si="40"/>
        <v>#REF!</v>
      </c>
    </row>
    <row r="79" spans="1:22" s="2" customFormat="1" x14ac:dyDescent="0.25">
      <c r="A79" s="495"/>
      <c r="B79" s="30" t="s">
        <v>81</v>
      </c>
      <c r="C79" s="34" t="e">
        <f t="shared" si="39"/>
        <v>#REF!</v>
      </c>
      <c r="D79" s="34" t="e">
        <f t="shared" si="40"/>
        <v>#REF!</v>
      </c>
      <c r="E79" s="34" t="e">
        <f t="shared" si="40"/>
        <v>#REF!</v>
      </c>
      <c r="F79" s="34" t="e">
        <f t="shared" si="40"/>
        <v>#REF!</v>
      </c>
      <c r="G79" s="34" t="e">
        <f t="shared" si="40"/>
        <v>#REF!</v>
      </c>
      <c r="H79" s="34" t="e">
        <f t="shared" si="40"/>
        <v>#REF!</v>
      </c>
      <c r="I79" s="34" t="e">
        <f t="shared" si="40"/>
        <v>#REF!</v>
      </c>
      <c r="J79" s="34" t="e">
        <f t="shared" si="40"/>
        <v>#REF!</v>
      </c>
      <c r="K79" s="34" t="e">
        <f t="shared" si="40"/>
        <v>#REF!</v>
      </c>
      <c r="L79" s="34" t="e">
        <f t="shared" si="40"/>
        <v>#REF!</v>
      </c>
      <c r="M79" s="34" t="e">
        <f t="shared" si="40"/>
        <v>#REF!</v>
      </c>
      <c r="N79" s="34" t="e">
        <f t="shared" si="40"/>
        <v>#REF!</v>
      </c>
      <c r="O79" s="34" t="e">
        <f t="shared" si="40"/>
        <v>#REF!</v>
      </c>
      <c r="P79" s="34" t="e">
        <f t="shared" si="40"/>
        <v>#REF!</v>
      </c>
      <c r="Q79" s="34" t="e">
        <f t="shared" si="40"/>
        <v>#REF!</v>
      </c>
      <c r="R79" s="34" t="e">
        <f t="shared" si="40"/>
        <v>#REF!</v>
      </c>
      <c r="S79" s="34" t="e">
        <f t="shared" si="40"/>
        <v>#REF!</v>
      </c>
      <c r="T79" s="34" t="e">
        <f t="shared" si="40"/>
        <v>#REF!</v>
      </c>
      <c r="U79" s="34" t="e">
        <f t="shared" si="40"/>
        <v>#REF!</v>
      </c>
      <c r="V79" s="34" t="e">
        <f t="shared" si="40"/>
        <v>#REF!</v>
      </c>
    </row>
    <row r="80" spans="1:22" s="2" customFormat="1" x14ac:dyDescent="0.25">
      <c r="A80" s="495"/>
      <c r="B80" s="30" t="s">
        <v>42</v>
      </c>
      <c r="C80" s="34" t="e">
        <f t="shared" si="39"/>
        <v>#REF!</v>
      </c>
      <c r="D80" s="34" t="e">
        <f t="shared" si="40"/>
        <v>#REF!</v>
      </c>
      <c r="E80" s="34" t="e">
        <f t="shared" si="40"/>
        <v>#REF!</v>
      </c>
      <c r="F80" s="34" t="e">
        <f t="shared" si="40"/>
        <v>#REF!</v>
      </c>
      <c r="G80" s="34" t="e">
        <f t="shared" si="40"/>
        <v>#REF!</v>
      </c>
      <c r="H80" s="34" t="e">
        <f t="shared" si="40"/>
        <v>#REF!</v>
      </c>
      <c r="I80" s="34" t="e">
        <f t="shared" si="40"/>
        <v>#REF!</v>
      </c>
      <c r="J80" s="34" t="e">
        <f t="shared" si="40"/>
        <v>#REF!</v>
      </c>
      <c r="K80" s="34" t="e">
        <f t="shared" si="40"/>
        <v>#REF!</v>
      </c>
      <c r="L80" s="34" t="e">
        <f t="shared" si="40"/>
        <v>#REF!</v>
      </c>
      <c r="M80" s="34" t="e">
        <f t="shared" si="40"/>
        <v>#REF!</v>
      </c>
      <c r="N80" s="34" t="e">
        <f t="shared" si="40"/>
        <v>#REF!</v>
      </c>
      <c r="O80" s="34" t="e">
        <f t="shared" si="40"/>
        <v>#REF!</v>
      </c>
      <c r="P80" s="34" t="e">
        <f t="shared" si="40"/>
        <v>#REF!</v>
      </c>
      <c r="Q80" s="34" t="e">
        <f t="shared" si="40"/>
        <v>#REF!</v>
      </c>
      <c r="R80" s="34" t="e">
        <f t="shared" si="40"/>
        <v>#REF!</v>
      </c>
      <c r="S80" s="34" t="e">
        <f t="shared" si="40"/>
        <v>#REF!</v>
      </c>
      <c r="T80" s="34" t="e">
        <f t="shared" si="40"/>
        <v>#REF!</v>
      </c>
      <c r="U80" s="34" t="e">
        <f t="shared" si="40"/>
        <v>#REF!</v>
      </c>
      <c r="V80" s="34" t="e">
        <f t="shared" si="40"/>
        <v>#REF!</v>
      </c>
    </row>
    <row r="81" spans="1:22" s="2" customFormat="1" x14ac:dyDescent="0.25">
      <c r="A81" s="495"/>
      <c r="B81" s="30" t="s">
        <v>45</v>
      </c>
      <c r="C81" s="34" t="e">
        <f t="shared" si="39"/>
        <v>#REF!</v>
      </c>
      <c r="D81" s="34" t="e">
        <f t="shared" si="40"/>
        <v>#REF!</v>
      </c>
      <c r="E81" s="34" t="e">
        <f t="shared" si="40"/>
        <v>#REF!</v>
      </c>
      <c r="F81" s="34" t="e">
        <f t="shared" si="40"/>
        <v>#REF!</v>
      </c>
      <c r="G81" s="34" t="e">
        <f t="shared" si="40"/>
        <v>#REF!</v>
      </c>
      <c r="H81" s="34" t="e">
        <f t="shared" si="40"/>
        <v>#REF!</v>
      </c>
      <c r="I81" s="34" t="e">
        <f t="shared" si="40"/>
        <v>#REF!</v>
      </c>
      <c r="J81" s="34" t="e">
        <f t="shared" si="40"/>
        <v>#REF!</v>
      </c>
      <c r="K81" s="34" t="e">
        <f t="shared" si="40"/>
        <v>#REF!</v>
      </c>
      <c r="L81" s="34" t="e">
        <f t="shared" si="40"/>
        <v>#REF!</v>
      </c>
      <c r="M81" s="34" t="e">
        <f t="shared" si="40"/>
        <v>#REF!</v>
      </c>
      <c r="N81" s="34" t="e">
        <f t="shared" si="40"/>
        <v>#REF!</v>
      </c>
      <c r="O81" s="34" t="e">
        <f t="shared" si="40"/>
        <v>#REF!</v>
      </c>
      <c r="P81" s="34" t="e">
        <f t="shared" si="40"/>
        <v>#REF!</v>
      </c>
      <c r="Q81" s="34" t="e">
        <f t="shared" si="40"/>
        <v>#REF!</v>
      </c>
      <c r="R81" s="34" t="e">
        <f t="shared" si="40"/>
        <v>#REF!</v>
      </c>
      <c r="S81" s="34" t="e">
        <f t="shared" si="40"/>
        <v>#REF!</v>
      </c>
      <c r="T81" s="34" t="e">
        <f t="shared" si="40"/>
        <v>#REF!</v>
      </c>
      <c r="U81" s="34" t="e">
        <f t="shared" si="40"/>
        <v>#REF!</v>
      </c>
      <c r="V81" s="34" t="e">
        <f t="shared" si="40"/>
        <v>#REF!</v>
      </c>
    </row>
    <row r="82" spans="1:22" s="2" customFormat="1" x14ac:dyDescent="0.25">
      <c r="A82" s="496"/>
      <c r="B82" s="47" t="s">
        <v>84</v>
      </c>
      <c r="C82" s="48" t="e">
        <f>SUM(C74:C81)</f>
        <v>#REF!</v>
      </c>
      <c r="D82" s="48" t="e">
        <f t="shared" ref="D82:V82" si="42">SUM(D74:D81)</f>
        <v>#REF!</v>
      </c>
      <c r="E82" s="48" t="e">
        <f t="shared" si="42"/>
        <v>#REF!</v>
      </c>
      <c r="F82" s="48" t="e">
        <f t="shared" si="42"/>
        <v>#REF!</v>
      </c>
      <c r="G82" s="48" t="e">
        <f t="shared" si="42"/>
        <v>#REF!</v>
      </c>
      <c r="H82" s="48" t="e">
        <f t="shared" si="42"/>
        <v>#REF!</v>
      </c>
      <c r="I82" s="48" t="e">
        <f t="shared" si="42"/>
        <v>#REF!</v>
      </c>
      <c r="J82" s="48" t="e">
        <f t="shared" si="42"/>
        <v>#REF!</v>
      </c>
      <c r="K82" s="48" t="e">
        <f t="shared" si="42"/>
        <v>#REF!</v>
      </c>
      <c r="L82" s="48" t="e">
        <f t="shared" si="42"/>
        <v>#REF!</v>
      </c>
      <c r="M82" s="48" t="e">
        <f t="shared" si="42"/>
        <v>#REF!</v>
      </c>
      <c r="N82" s="48" t="e">
        <f t="shared" si="42"/>
        <v>#REF!</v>
      </c>
      <c r="O82" s="48" t="e">
        <f t="shared" si="42"/>
        <v>#REF!</v>
      </c>
      <c r="P82" s="48" t="e">
        <f t="shared" si="42"/>
        <v>#REF!</v>
      </c>
      <c r="Q82" s="48" t="e">
        <f t="shared" si="42"/>
        <v>#REF!</v>
      </c>
      <c r="R82" s="48" t="e">
        <f t="shared" si="42"/>
        <v>#REF!</v>
      </c>
      <c r="S82" s="48" t="e">
        <f t="shared" si="42"/>
        <v>#REF!</v>
      </c>
      <c r="T82" s="48" t="e">
        <f t="shared" si="42"/>
        <v>#REF!</v>
      </c>
      <c r="U82" s="48" t="e">
        <f t="shared" si="42"/>
        <v>#REF!</v>
      </c>
      <c r="V82" s="48" t="e">
        <f t="shared" si="42"/>
        <v>#REF!</v>
      </c>
    </row>
    <row r="83" spans="1:22" s="2" customFormat="1" x14ac:dyDescent="0.25">
      <c r="A83" s="45"/>
      <c r="B83" s="45"/>
      <c r="C83" s="46"/>
      <c r="D83" s="46"/>
      <c r="E83" s="46"/>
      <c r="F83" s="46"/>
      <c r="G83" s="46"/>
      <c r="H83" s="46"/>
      <c r="I83" s="46"/>
      <c r="J83" s="46"/>
      <c r="K83" s="46"/>
      <c r="L83" s="46"/>
      <c r="M83" s="46"/>
      <c r="N83" s="46"/>
      <c r="O83" s="46"/>
      <c r="P83" s="46"/>
      <c r="Q83" s="46"/>
      <c r="R83" s="46"/>
      <c r="S83" s="46"/>
      <c r="T83" s="46"/>
      <c r="U83" s="46"/>
      <c r="V83" s="46"/>
    </row>
    <row r="84" spans="1:22" s="2" customFormat="1" x14ac:dyDescent="0.25">
      <c r="A84" s="500" t="s">
        <v>117</v>
      </c>
      <c r="B84" s="500"/>
      <c r="C84" s="46"/>
      <c r="D84" s="46"/>
      <c r="E84" s="46"/>
      <c r="F84" s="46"/>
      <c r="G84" s="46"/>
      <c r="H84" s="46"/>
      <c r="I84" s="46"/>
      <c r="J84" s="46"/>
      <c r="K84" s="46"/>
      <c r="L84" s="46"/>
      <c r="M84" s="46"/>
      <c r="N84" s="46"/>
      <c r="O84" s="46"/>
      <c r="P84" s="46"/>
      <c r="Q84" s="46"/>
      <c r="R84" s="46"/>
      <c r="S84" s="46"/>
      <c r="T84" s="46"/>
      <c r="U84" s="46"/>
      <c r="V84" s="46"/>
    </row>
    <row r="85" spans="1:22" s="2" customFormat="1" x14ac:dyDescent="0.25">
      <c r="A85" s="27" t="s">
        <v>16</v>
      </c>
      <c r="B85" s="27" t="s">
        <v>82</v>
      </c>
      <c r="C85" s="27">
        <v>2021</v>
      </c>
      <c r="D85" s="28">
        <v>2022</v>
      </c>
      <c r="E85" s="27">
        <v>2023</v>
      </c>
      <c r="F85" s="28">
        <v>2024</v>
      </c>
      <c r="G85" s="27">
        <v>2025</v>
      </c>
      <c r="H85" s="28">
        <v>2026</v>
      </c>
      <c r="I85" s="27">
        <v>2027</v>
      </c>
      <c r="J85" s="28">
        <v>2028</v>
      </c>
      <c r="K85" s="27">
        <v>2029</v>
      </c>
      <c r="L85" s="28">
        <v>2030</v>
      </c>
      <c r="M85" s="27">
        <v>2031</v>
      </c>
      <c r="N85" s="28">
        <v>2032</v>
      </c>
      <c r="O85" s="27">
        <v>2033</v>
      </c>
      <c r="P85" s="28">
        <v>2034</v>
      </c>
      <c r="Q85" s="27">
        <v>2035</v>
      </c>
      <c r="R85" s="28">
        <v>2036</v>
      </c>
      <c r="S85" s="27">
        <v>2037</v>
      </c>
      <c r="T85" s="28">
        <v>2038</v>
      </c>
      <c r="U85" s="27">
        <v>2039</v>
      </c>
      <c r="V85" s="28">
        <v>2040</v>
      </c>
    </row>
    <row r="86" spans="1:22" s="2" customFormat="1" x14ac:dyDescent="0.25">
      <c r="A86" s="497" t="s">
        <v>87</v>
      </c>
      <c r="B86" s="30" t="s">
        <v>43</v>
      </c>
      <c r="C86" s="34" t="e">
        <f t="shared" ref="C86:C93" si="43">SUM(C2,C14,C50)</f>
        <v>#REF!</v>
      </c>
      <c r="D86" s="34" t="e">
        <f t="shared" ref="D86:V93" si="44">SUM(D2,D14,D50)</f>
        <v>#REF!</v>
      </c>
      <c r="E86" s="34" t="e">
        <f t="shared" si="44"/>
        <v>#REF!</v>
      </c>
      <c r="F86" s="34" t="e">
        <f t="shared" si="44"/>
        <v>#REF!</v>
      </c>
      <c r="G86" s="34" t="e">
        <f t="shared" si="44"/>
        <v>#REF!</v>
      </c>
      <c r="H86" s="34" t="e">
        <f t="shared" si="44"/>
        <v>#REF!</v>
      </c>
      <c r="I86" s="34" t="e">
        <f t="shared" si="44"/>
        <v>#REF!</v>
      </c>
      <c r="J86" s="34" t="e">
        <f t="shared" si="44"/>
        <v>#REF!</v>
      </c>
      <c r="K86" s="34" t="e">
        <f t="shared" si="44"/>
        <v>#REF!</v>
      </c>
      <c r="L86" s="34" t="e">
        <f t="shared" si="44"/>
        <v>#REF!</v>
      </c>
      <c r="M86" s="34" t="e">
        <f t="shared" si="44"/>
        <v>#REF!</v>
      </c>
      <c r="N86" s="34" t="e">
        <f t="shared" si="44"/>
        <v>#REF!</v>
      </c>
      <c r="O86" s="34" t="e">
        <f t="shared" si="44"/>
        <v>#REF!</v>
      </c>
      <c r="P86" s="34" t="e">
        <f t="shared" si="44"/>
        <v>#REF!</v>
      </c>
      <c r="Q86" s="34" t="e">
        <f t="shared" si="44"/>
        <v>#REF!</v>
      </c>
      <c r="R86" s="34" t="e">
        <f t="shared" si="44"/>
        <v>#REF!</v>
      </c>
      <c r="S86" s="34" t="e">
        <f t="shared" si="44"/>
        <v>#REF!</v>
      </c>
      <c r="T86" s="34" t="e">
        <f t="shared" si="44"/>
        <v>#REF!</v>
      </c>
      <c r="U86" s="34" t="e">
        <f t="shared" si="44"/>
        <v>#REF!</v>
      </c>
      <c r="V86" s="34" t="e">
        <f t="shared" si="44"/>
        <v>#REF!</v>
      </c>
    </row>
    <row r="87" spans="1:22" s="2" customFormat="1" x14ac:dyDescent="0.25">
      <c r="A87" s="497"/>
      <c r="B87" s="30" t="s">
        <v>41</v>
      </c>
      <c r="C87" s="34" t="e">
        <f t="shared" si="43"/>
        <v>#REF!</v>
      </c>
      <c r="D87" s="34" t="e">
        <f t="shared" ref="D87:R87" si="45">SUM(D3,D15,D51)</f>
        <v>#REF!</v>
      </c>
      <c r="E87" s="34" t="e">
        <f t="shared" si="45"/>
        <v>#REF!</v>
      </c>
      <c r="F87" s="34" t="e">
        <f t="shared" si="45"/>
        <v>#REF!</v>
      </c>
      <c r="G87" s="34" t="e">
        <f t="shared" si="45"/>
        <v>#REF!</v>
      </c>
      <c r="H87" s="34" t="e">
        <f t="shared" si="45"/>
        <v>#REF!</v>
      </c>
      <c r="I87" s="34" t="e">
        <f t="shared" si="45"/>
        <v>#REF!</v>
      </c>
      <c r="J87" s="34" t="e">
        <f t="shared" si="45"/>
        <v>#REF!</v>
      </c>
      <c r="K87" s="34" t="e">
        <f t="shared" si="45"/>
        <v>#REF!</v>
      </c>
      <c r="L87" s="34" t="e">
        <f t="shared" si="45"/>
        <v>#REF!</v>
      </c>
      <c r="M87" s="34" t="e">
        <f t="shared" si="45"/>
        <v>#REF!</v>
      </c>
      <c r="N87" s="34" t="e">
        <f t="shared" si="45"/>
        <v>#REF!</v>
      </c>
      <c r="O87" s="34" t="e">
        <f t="shared" si="45"/>
        <v>#REF!</v>
      </c>
      <c r="P87" s="34" t="e">
        <f t="shared" si="45"/>
        <v>#REF!</v>
      </c>
      <c r="Q87" s="34" t="e">
        <f t="shared" si="45"/>
        <v>#REF!</v>
      </c>
      <c r="R87" s="34" t="e">
        <f t="shared" si="45"/>
        <v>#REF!</v>
      </c>
      <c r="S87" s="34" t="e">
        <f t="shared" si="44"/>
        <v>#REF!</v>
      </c>
      <c r="T87" s="34" t="e">
        <f t="shared" si="44"/>
        <v>#REF!</v>
      </c>
      <c r="U87" s="34" t="e">
        <f t="shared" si="44"/>
        <v>#REF!</v>
      </c>
      <c r="V87" s="34" t="e">
        <f t="shared" si="44"/>
        <v>#REF!</v>
      </c>
    </row>
    <row r="88" spans="1:22" s="2" customFormat="1" x14ac:dyDescent="0.25">
      <c r="A88" s="497"/>
      <c r="B88" s="30" t="s">
        <v>40</v>
      </c>
      <c r="C88" s="34" t="e">
        <f t="shared" si="43"/>
        <v>#REF!</v>
      </c>
      <c r="D88" s="34" t="e">
        <f t="shared" si="44"/>
        <v>#REF!</v>
      </c>
      <c r="E88" s="34" t="e">
        <f t="shared" si="44"/>
        <v>#REF!</v>
      </c>
      <c r="F88" s="34" t="e">
        <f t="shared" si="44"/>
        <v>#REF!</v>
      </c>
      <c r="G88" s="34" t="e">
        <f t="shared" si="44"/>
        <v>#REF!</v>
      </c>
      <c r="H88" s="34" t="e">
        <f t="shared" si="44"/>
        <v>#REF!</v>
      </c>
      <c r="I88" s="34" t="e">
        <f t="shared" si="44"/>
        <v>#REF!</v>
      </c>
      <c r="J88" s="34" t="e">
        <f t="shared" si="44"/>
        <v>#REF!</v>
      </c>
      <c r="K88" s="34" t="e">
        <f t="shared" si="44"/>
        <v>#REF!</v>
      </c>
      <c r="L88" s="34" t="e">
        <f t="shared" si="44"/>
        <v>#REF!</v>
      </c>
      <c r="M88" s="34" t="e">
        <f t="shared" si="44"/>
        <v>#REF!</v>
      </c>
      <c r="N88" s="34" t="e">
        <f t="shared" si="44"/>
        <v>#REF!</v>
      </c>
      <c r="O88" s="34" t="e">
        <f t="shared" si="44"/>
        <v>#REF!</v>
      </c>
      <c r="P88" s="34" t="e">
        <f t="shared" si="44"/>
        <v>#REF!</v>
      </c>
      <c r="Q88" s="34" t="e">
        <f t="shared" si="44"/>
        <v>#REF!</v>
      </c>
      <c r="R88" s="34" t="e">
        <f t="shared" si="44"/>
        <v>#REF!</v>
      </c>
      <c r="S88" s="34" t="e">
        <f t="shared" si="44"/>
        <v>#REF!</v>
      </c>
      <c r="T88" s="34" t="e">
        <f t="shared" si="44"/>
        <v>#REF!</v>
      </c>
      <c r="U88" s="34" t="e">
        <f t="shared" si="44"/>
        <v>#REF!</v>
      </c>
      <c r="V88" s="34" t="e">
        <f t="shared" si="44"/>
        <v>#REF!</v>
      </c>
    </row>
    <row r="89" spans="1:22" s="2" customFormat="1" x14ac:dyDescent="0.25">
      <c r="A89" s="497"/>
      <c r="B89" s="30" t="s">
        <v>80</v>
      </c>
      <c r="C89" s="34" t="e">
        <f t="shared" si="43"/>
        <v>#REF!</v>
      </c>
      <c r="D89" s="34" t="e">
        <f t="shared" si="44"/>
        <v>#REF!</v>
      </c>
      <c r="E89" s="34" t="e">
        <f t="shared" si="44"/>
        <v>#REF!</v>
      </c>
      <c r="F89" s="34" t="e">
        <f t="shared" si="44"/>
        <v>#REF!</v>
      </c>
      <c r="G89" s="34" t="e">
        <f t="shared" si="44"/>
        <v>#REF!</v>
      </c>
      <c r="H89" s="34" t="e">
        <f t="shared" si="44"/>
        <v>#REF!</v>
      </c>
      <c r="I89" s="34" t="e">
        <f t="shared" si="44"/>
        <v>#REF!</v>
      </c>
      <c r="J89" s="34" t="e">
        <f t="shared" si="44"/>
        <v>#REF!</v>
      </c>
      <c r="K89" s="34" t="e">
        <f t="shared" si="44"/>
        <v>#REF!</v>
      </c>
      <c r="L89" s="34" t="e">
        <f t="shared" si="44"/>
        <v>#REF!</v>
      </c>
      <c r="M89" s="34" t="e">
        <f t="shared" si="44"/>
        <v>#REF!</v>
      </c>
      <c r="N89" s="34" t="e">
        <f t="shared" si="44"/>
        <v>#REF!</v>
      </c>
      <c r="O89" s="34" t="e">
        <f t="shared" si="44"/>
        <v>#REF!</v>
      </c>
      <c r="P89" s="34" t="e">
        <f t="shared" si="44"/>
        <v>#REF!</v>
      </c>
      <c r="Q89" s="34" t="e">
        <f t="shared" si="44"/>
        <v>#REF!</v>
      </c>
      <c r="R89" s="34" t="e">
        <f t="shared" si="44"/>
        <v>#REF!</v>
      </c>
      <c r="S89" s="34" t="e">
        <f t="shared" si="44"/>
        <v>#REF!</v>
      </c>
      <c r="T89" s="34" t="e">
        <f t="shared" si="44"/>
        <v>#REF!</v>
      </c>
      <c r="U89" s="34" t="e">
        <f t="shared" si="44"/>
        <v>#REF!</v>
      </c>
      <c r="V89" s="34" t="e">
        <f t="shared" si="44"/>
        <v>#REF!</v>
      </c>
    </row>
    <row r="90" spans="1:22" s="2" customFormat="1" x14ac:dyDescent="0.25">
      <c r="A90" s="497"/>
      <c r="B90" s="30" t="s">
        <v>44</v>
      </c>
      <c r="C90" s="34" t="e">
        <f t="shared" si="43"/>
        <v>#REF!</v>
      </c>
      <c r="D90" s="34" t="e">
        <f t="shared" si="44"/>
        <v>#REF!</v>
      </c>
      <c r="E90" s="34" t="e">
        <f t="shared" si="44"/>
        <v>#REF!</v>
      </c>
      <c r="F90" s="34" t="e">
        <f t="shared" si="44"/>
        <v>#REF!</v>
      </c>
      <c r="G90" s="34" t="e">
        <f t="shared" si="44"/>
        <v>#REF!</v>
      </c>
      <c r="H90" s="34" t="e">
        <f t="shared" si="44"/>
        <v>#REF!</v>
      </c>
      <c r="I90" s="34" t="e">
        <f t="shared" si="44"/>
        <v>#REF!</v>
      </c>
      <c r="J90" s="34" t="e">
        <f t="shared" si="44"/>
        <v>#REF!</v>
      </c>
      <c r="K90" s="34" t="e">
        <f t="shared" si="44"/>
        <v>#REF!</v>
      </c>
      <c r="L90" s="34" t="e">
        <f t="shared" si="44"/>
        <v>#REF!</v>
      </c>
      <c r="M90" s="34" t="e">
        <f t="shared" si="44"/>
        <v>#REF!</v>
      </c>
      <c r="N90" s="34" t="e">
        <f t="shared" si="44"/>
        <v>#REF!</v>
      </c>
      <c r="O90" s="34" t="e">
        <f t="shared" si="44"/>
        <v>#REF!</v>
      </c>
      <c r="P90" s="34" t="e">
        <f t="shared" si="44"/>
        <v>#REF!</v>
      </c>
      <c r="Q90" s="34" t="e">
        <f t="shared" si="44"/>
        <v>#REF!</v>
      </c>
      <c r="R90" s="34" t="e">
        <f t="shared" si="44"/>
        <v>#REF!</v>
      </c>
      <c r="S90" s="34" t="e">
        <f t="shared" si="44"/>
        <v>#REF!</v>
      </c>
      <c r="T90" s="34" t="e">
        <f t="shared" si="44"/>
        <v>#REF!</v>
      </c>
      <c r="U90" s="34" t="e">
        <f t="shared" si="44"/>
        <v>#REF!</v>
      </c>
      <c r="V90" s="34" t="e">
        <f t="shared" si="44"/>
        <v>#REF!</v>
      </c>
    </row>
    <row r="91" spans="1:22" s="2" customFormat="1" x14ac:dyDescent="0.25">
      <c r="A91" s="497"/>
      <c r="B91" s="30" t="s">
        <v>81</v>
      </c>
      <c r="C91" s="34" t="e">
        <f t="shared" si="43"/>
        <v>#REF!</v>
      </c>
      <c r="D91" s="34" t="e">
        <f t="shared" si="44"/>
        <v>#REF!</v>
      </c>
      <c r="E91" s="34" t="e">
        <f t="shared" si="44"/>
        <v>#REF!</v>
      </c>
      <c r="F91" s="34" t="e">
        <f t="shared" si="44"/>
        <v>#REF!</v>
      </c>
      <c r="G91" s="34" t="e">
        <f t="shared" si="44"/>
        <v>#REF!</v>
      </c>
      <c r="H91" s="34" t="e">
        <f t="shared" si="44"/>
        <v>#REF!</v>
      </c>
      <c r="I91" s="34" t="e">
        <f t="shared" si="44"/>
        <v>#REF!</v>
      </c>
      <c r="J91" s="34" t="e">
        <f t="shared" si="44"/>
        <v>#REF!</v>
      </c>
      <c r="K91" s="34" t="e">
        <f t="shared" si="44"/>
        <v>#REF!</v>
      </c>
      <c r="L91" s="34" t="e">
        <f t="shared" si="44"/>
        <v>#REF!</v>
      </c>
      <c r="M91" s="34" t="e">
        <f t="shared" si="44"/>
        <v>#REF!</v>
      </c>
      <c r="N91" s="34" t="e">
        <f t="shared" si="44"/>
        <v>#REF!</v>
      </c>
      <c r="O91" s="34" t="e">
        <f t="shared" si="44"/>
        <v>#REF!</v>
      </c>
      <c r="P91" s="34" t="e">
        <f t="shared" si="44"/>
        <v>#REF!</v>
      </c>
      <c r="Q91" s="34" t="e">
        <f t="shared" si="44"/>
        <v>#REF!</v>
      </c>
      <c r="R91" s="34" t="e">
        <f t="shared" si="44"/>
        <v>#REF!</v>
      </c>
      <c r="S91" s="34" t="e">
        <f t="shared" si="44"/>
        <v>#REF!</v>
      </c>
      <c r="T91" s="34" t="e">
        <f t="shared" si="44"/>
        <v>#REF!</v>
      </c>
      <c r="U91" s="34" t="e">
        <f t="shared" si="44"/>
        <v>#REF!</v>
      </c>
      <c r="V91" s="34" t="e">
        <f t="shared" si="44"/>
        <v>#REF!</v>
      </c>
    </row>
    <row r="92" spans="1:22" s="2" customFormat="1" x14ac:dyDescent="0.25">
      <c r="A92" s="497"/>
      <c r="B92" s="30" t="s">
        <v>42</v>
      </c>
      <c r="C92" s="34" t="e">
        <f t="shared" si="43"/>
        <v>#REF!</v>
      </c>
      <c r="D92" s="34" t="e">
        <f t="shared" si="44"/>
        <v>#REF!</v>
      </c>
      <c r="E92" s="34" t="e">
        <f t="shared" si="44"/>
        <v>#REF!</v>
      </c>
      <c r="F92" s="34" t="e">
        <f t="shared" si="44"/>
        <v>#REF!</v>
      </c>
      <c r="G92" s="34" t="e">
        <f t="shared" si="44"/>
        <v>#REF!</v>
      </c>
      <c r="H92" s="34" t="e">
        <f t="shared" si="44"/>
        <v>#REF!</v>
      </c>
      <c r="I92" s="34" t="e">
        <f t="shared" si="44"/>
        <v>#REF!</v>
      </c>
      <c r="J92" s="34" t="e">
        <f t="shared" si="44"/>
        <v>#REF!</v>
      </c>
      <c r="K92" s="34" t="e">
        <f t="shared" si="44"/>
        <v>#REF!</v>
      </c>
      <c r="L92" s="34" t="e">
        <f t="shared" si="44"/>
        <v>#REF!</v>
      </c>
      <c r="M92" s="34" t="e">
        <f t="shared" si="44"/>
        <v>#REF!</v>
      </c>
      <c r="N92" s="34" t="e">
        <f t="shared" si="44"/>
        <v>#REF!</v>
      </c>
      <c r="O92" s="34" t="e">
        <f t="shared" si="44"/>
        <v>#REF!</v>
      </c>
      <c r="P92" s="34" t="e">
        <f t="shared" si="44"/>
        <v>#REF!</v>
      </c>
      <c r="Q92" s="34" t="e">
        <f t="shared" si="44"/>
        <v>#REF!</v>
      </c>
      <c r="R92" s="34" t="e">
        <f t="shared" si="44"/>
        <v>#REF!</v>
      </c>
      <c r="S92" s="34" t="e">
        <f t="shared" si="44"/>
        <v>#REF!</v>
      </c>
      <c r="T92" s="34" t="e">
        <f t="shared" si="44"/>
        <v>#REF!</v>
      </c>
      <c r="U92" s="34" t="e">
        <f t="shared" si="44"/>
        <v>#REF!</v>
      </c>
      <c r="V92" s="34" t="e">
        <f t="shared" si="44"/>
        <v>#REF!</v>
      </c>
    </row>
    <row r="93" spans="1:22" s="2" customFormat="1" x14ac:dyDescent="0.25">
      <c r="A93" s="497"/>
      <c r="B93" s="30" t="s">
        <v>45</v>
      </c>
      <c r="C93" s="34" t="e">
        <f t="shared" si="43"/>
        <v>#REF!</v>
      </c>
      <c r="D93" s="34" t="e">
        <f t="shared" si="44"/>
        <v>#REF!</v>
      </c>
      <c r="E93" s="34" t="e">
        <f t="shared" si="44"/>
        <v>#REF!</v>
      </c>
      <c r="F93" s="34" t="e">
        <f t="shared" si="44"/>
        <v>#REF!</v>
      </c>
      <c r="G93" s="34" t="e">
        <f t="shared" si="44"/>
        <v>#REF!</v>
      </c>
      <c r="H93" s="34" t="e">
        <f t="shared" si="44"/>
        <v>#REF!</v>
      </c>
      <c r="I93" s="34" t="e">
        <f t="shared" si="44"/>
        <v>#REF!</v>
      </c>
      <c r="J93" s="34" t="e">
        <f t="shared" si="44"/>
        <v>#REF!</v>
      </c>
      <c r="K93" s="34" t="e">
        <f t="shared" si="44"/>
        <v>#REF!</v>
      </c>
      <c r="L93" s="34" t="e">
        <f t="shared" si="44"/>
        <v>#REF!</v>
      </c>
      <c r="M93" s="34" t="e">
        <f t="shared" si="44"/>
        <v>#REF!</v>
      </c>
      <c r="N93" s="34" t="e">
        <f t="shared" si="44"/>
        <v>#REF!</v>
      </c>
      <c r="O93" s="34" t="e">
        <f t="shared" si="44"/>
        <v>#REF!</v>
      </c>
      <c r="P93" s="34" t="e">
        <f t="shared" si="44"/>
        <v>#REF!</v>
      </c>
      <c r="Q93" s="34" t="e">
        <f t="shared" si="44"/>
        <v>#REF!</v>
      </c>
      <c r="R93" s="34" t="e">
        <f t="shared" si="44"/>
        <v>#REF!</v>
      </c>
      <c r="S93" s="34" t="e">
        <f t="shared" si="44"/>
        <v>#REF!</v>
      </c>
      <c r="T93" s="34" t="e">
        <f t="shared" si="44"/>
        <v>#REF!</v>
      </c>
      <c r="U93" s="34" t="e">
        <f t="shared" si="44"/>
        <v>#REF!</v>
      </c>
      <c r="V93" s="34" t="e">
        <f t="shared" si="44"/>
        <v>#REF!</v>
      </c>
    </row>
    <row r="94" spans="1:22" s="2" customFormat="1" x14ac:dyDescent="0.25">
      <c r="A94" s="497"/>
      <c r="B94" s="47" t="s">
        <v>84</v>
      </c>
      <c r="C94" s="48" t="e">
        <f>SUM(C86:C93)</f>
        <v>#REF!</v>
      </c>
      <c r="D94" s="48" t="e">
        <f t="shared" ref="D94:V94" si="46">SUM(D86:D93)</f>
        <v>#REF!</v>
      </c>
      <c r="E94" s="48" t="e">
        <f t="shared" si="46"/>
        <v>#REF!</v>
      </c>
      <c r="F94" s="48" t="e">
        <f t="shared" si="46"/>
        <v>#REF!</v>
      </c>
      <c r="G94" s="48" t="e">
        <f t="shared" si="46"/>
        <v>#REF!</v>
      </c>
      <c r="H94" s="48" t="e">
        <f t="shared" si="46"/>
        <v>#REF!</v>
      </c>
      <c r="I94" s="48" t="e">
        <f t="shared" si="46"/>
        <v>#REF!</v>
      </c>
      <c r="J94" s="48" t="e">
        <f t="shared" si="46"/>
        <v>#REF!</v>
      </c>
      <c r="K94" s="48" t="e">
        <f t="shared" si="46"/>
        <v>#REF!</v>
      </c>
      <c r="L94" s="48" t="e">
        <f t="shared" si="46"/>
        <v>#REF!</v>
      </c>
      <c r="M94" s="48" t="e">
        <f t="shared" si="46"/>
        <v>#REF!</v>
      </c>
      <c r="N94" s="48" t="e">
        <f t="shared" si="46"/>
        <v>#REF!</v>
      </c>
      <c r="O94" s="48" t="e">
        <f t="shared" si="46"/>
        <v>#REF!</v>
      </c>
      <c r="P94" s="48" t="e">
        <f t="shared" si="46"/>
        <v>#REF!</v>
      </c>
      <c r="Q94" s="48" t="e">
        <f t="shared" si="46"/>
        <v>#REF!</v>
      </c>
      <c r="R94" s="48" t="e">
        <f t="shared" si="46"/>
        <v>#REF!</v>
      </c>
      <c r="S94" s="48" t="e">
        <f t="shared" si="46"/>
        <v>#REF!</v>
      </c>
      <c r="T94" s="48" t="e">
        <f t="shared" si="46"/>
        <v>#REF!</v>
      </c>
      <c r="U94" s="48" t="e">
        <f t="shared" si="46"/>
        <v>#REF!</v>
      </c>
      <c r="V94" s="48" t="e">
        <f t="shared" si="46"/>
        <v>#REF!</v>
      </c>
    </row>
    <row r="96" spans="1:22" ht="14.4" x14ac:dyDescent="0.3">
      <c r="A96" s="97" t="s">
        <v>126</v>
      </c>
    </row>
  </sheetData>
  <mergeCells count="14">
    <mergeCell ref="A74:A82"/>
    <mergeCell ref="A86:A94"/>
    <mergeCell ref="A2:A10"/>
    <mergeCell ref="A14:A22"/>
    <mergeCell ref="A26:A34"/>
    <mergeCell ref="A62:A70"/>
    <mergeCell ref="A38:A46"/>
    <mergeCell ref="A50:A58"/>
    <mergeCell ref="A24:B24"/>
    <mergeCell ref="A36:B36"/>
    <mergeCell ref="A48:B48"/>
    <mergeCell ref="A60:B60"/>
    <mergeCell ref="A72:B72"/>
    <mergeCell ref="A84:B84"/>
  </mergeCells>
  <conditionalFormatting sqref="C2:V9">
    <cfRule type="dataBar" priority="1">
      <dataBar>
        <cfvo type="min"/>
        <cfvo type="max"/>
        <color rgb="FF638EC6"/>
      </dataBar>
      <extLst>
        <ext xmlns:x14="http://schemas.microsoft.com/office/spreadsheetml/2009/9/main" uri="{B025F937-C7B1-47D3-B67F-A62EFF666E3E}">
          <x14:id>{231B5313-97E3-4C93-94AB-6D5B432A2F23}</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231B5313-97E3-4C93-94AB-6D5B432A2F23}">
            <x14:dataBar minLength="0" maxLength="100" border="1" negativeBarBorderColorSameAsPositive="0">
              <x14:cfvo type="autoMin"/>
              <x14:cfvo type="autoMax"/>
              <x14:borderColor rgb="FF638EC6"/>
              <x14:negativeFillColor rgb="FFFF0000"/>
              <x14:negativeBorderColor rgb="FFFF0000"/>
              <x14:axisColor rgb="FF000000"/>
            </x14:dataBar>
          </x14:cfRule>
          <xm:sqref>C2:V9</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1DA15-4524-41AA-8ED9-217CAF60EA8F}">
  <sheetPr codeName="Sheet21">
    <tabColor rgb="FF92D050"/>
  </sheetPr>
  <dimension ref="A1:V233"/>
  <sheetViews>
    <sheetView zoomScaleNormal="100" workbookViewId="0">
      <selection activeCell="D24" sqref="D24"/>
    </sheetView>
  </sheetViews>
  <sheetFormatPr defaultRowHeight="13.8" x14ac:dyDescent="0.25"/>
  <cols>
    <col min="1" max="1" width="18.6640625" style="2" customWidth="1"/>
    <col min="2" max="2" width="51.88671875" style="2" bestFit="1" customWidth="1"/>
    <col min="3" max="11" width="9.44140625" style="82" customWidth="1"/>
    <col min="12" max="12" width="9.44140625" style="90" customWidth="1"/>
    <col min="13" max="22" width="9.44140625" style="82" customWidth="1"/>
    <col min="23" max="16384" width="8.88671875" style="2"/>
  </cols>
  <sheetData>
    <row r="1" spans="1:22" s="11" customFormat="1" x14ac:dyDescent="0.25">
      <c r="A1" s="27" t="s">
        <v>16</v>
      </c>
      <c r="B1" s="27" t="s">
        <v>121</v>
      </c>
      <c r="C1" s="27">
        <v>2021</v>
      </c>
      <c r="D1" s="28">
        <v>2022</v>
      </c>
      <c r="E1" s="27">
        <v>2023</v>
      </c>
      <c r="F1" s="28">
        <v>2024</v>
      </c>
      <c r="G1" s="27">
        <v>2025</v>
      </c>
      <c r="H1" s="28">
        <v>2026</v>
      </c>
      <c r="I1" s="27">
        <v>2027</v>
      </c>
      <c r="J1" s="28">
        <v>2028</v>
      </c>
      <c r="K1" s="27">
        <v>2029</v>
      </c>
      <c r="L1" s="64">
        <v>2030</v>
      </c>
      <c r="M1" s="65">
        <v>2031</v>
      </c>
      <c r="N1" s="28">
        <v>2032</v>
      </c>
      <c r="O1" s="27">
        <v>2033</v>
      </c>
      <c r="P1" s="28">
        <v>2034</v>
      </c>
      <c r="Q1" s="27">
        <v>2035</v>
      </c>
      <c r="R1" s="28">
        <v>2036</v>
      </c>
      <c r="S1" s="27">
        <v>2037</v>
      </c>
      <c r="T1" s="28">
        <v>2038</v>
      </c>
      <c r="U1" s="27">
        <v>2039</v>
      </c>
      <c r="V1" s="28">
        <v>2040</v>
      </c>
    </row>
    <row r="2" spans="1:22" x14ac:dyDescent="0.25">
      <c r="A2" s="29" t="s">
        <v>47</v>
      </c>
      <c r="B2" s="30" t="s">
        <v>41</v>
      </c>
      <c r="C2" s="38">
        <v>1</v>
      </c>
      <c r="D2" s="38">
        <v>1</v>
      </c>
      <c r="E2" s="38">
        <v>0</v>
      </c>
      <c r="F2" s="38">
        <v>0</v>
      </c>
      <c r="G2" s="38">
        <v>0</v>
      </c>
      <c r="H2" s="38">
        <v>0</v>
      </c>
      <c r="I2" s="38">
        <v>0</v>
      </c>
      <c r="J2" s="38">
        <v>0</v>
      </c>
      <c r="K2" s="38">
        <v>0</v>
      </c>
      <c r="L2" s="66">
        <v>0</v>
      </c>
      <c r="M2" s="67">
        <v>0</v>
      </c>
      <c r="N2" s="38">
        <v>0</v>
      </c>
      <c r="O2" s="38">
        <v>0</v>
      </c>
      <c r="P2" s="38">
        <v>0</v>
      </c>
      <c r="Q2" s="38">
        <v>0</v>
      </c>
      <c r="R2" s="38">
        <v>0</v>
      </c>
      <c r="S2" s="38">
        <v>0</v>
      </c>
      <c r="T2" s="38">
        <v>0</v>
      </c>
      <c r="U2" s="38">
        <v>0</v>
      </c>
      <c r="V2" s="38">
        <v>0</v>
      </c>
    </row>
    <row r="3" spans="1:22" x14ac:dyDescent="0.25">
      <c r="A3" s="29" t="s">
        <v>17</v>
      </c>
      <c r="B3" s="30" t="s">
        <v>41</v>
      </c>
      <c r="C3" s="38">
        <v>1</v>
      </c>
      <c r="D3" s="38">
        <v>1</v>
      </c>
      <c r="E3" s="38">
        <v>1</v>
      </c>
      <c r="F3" s="38">
        <v>1</v>
      </c>
      <c r="G3" s="38">
        <v>0</v>
      </c>
      <c r="H3" s="38">
        <v>0</v>
      </c>
      <c r="I3" s="38">
        <v>0</v>
      </c>
      <c r="J3" s="38">
        <v>0</v>
      </c>
      <c r="K3" s="38">
        <v>0</v>
      </c>
      <c r="L3" s="66">
        <v>0</v>
      </c>
      <c r="M3" s="67">
        <v>0</v>
      </c>
      <c r="N3" s="38">
        <v>0</v>
      </c>
      <c r="O3" s="38">
        <v>0</v>
      </c>
      <c r="P3" s="38">
        <v>0</v>
      </c>
      <c r="Q3" s="38">
        <v>0</v>
      </c>
      <c r="R3" s="38">
        <v>0</v>
      </c>
      <c r="S3" s="38">
        <v>0</v>
      </c>
      <c r="T3" s="38">
        <v>0</v>
      </c>
      <c r="U3" s="38">
        <v>0</v>
      </c>
      <c r="V3" s="38">
        <v>0</v>
      </c>
    </row>
    <row r="4" spans="1:22" x14ac:dyDescent="0.25">
      <c r="A4" s="29" t="s">
        <v>49</v>
      </c>
      <c r="B4" s="30" t="s">
        <v>41</v>
      </c>
      <c r="C4" s="38">
        <v>1</v>
      </c>
      <c r="D4" s="38">
        <v>1</v>
      </c>
      <c r="E4" s="38">
        <v>1</v>
      </c>
      <c r="F4" s="38">
        <v>1</v>
      </c>
      <c r="G4" s="38">
        <v>1</v>
      </c>
      <c r="H4" s="38">
        <v>1</v>
      </c>
      <c r="I4" s="38">
        <v>0</v>
      </c>
      <c r="J4" s="38">
        <v>0</v>
      </c>
      <c r="K4" s="38">
        <v>0</v>
      </c>
      <c r="L4" s="66">
        <v>0</v>
      </c>
      <c r="M4" s="67">
        <v>0</v>
      </c>
      <c r="N4" s="38">
        <v>0</v>
      </c>
      <c r="O4" s="38">
        <v>0</v>
      </c>
      <c r="P4" s="38">
        <v>0</v>
      </c>
      <c r="Q4" s="38">
        <v>0</v>
      </c>
      <c r="R4" s="38">
        <v>0</v>
      </c>
      <c r="S4" s="38">
        <v>0</v>
      </c>
      <c r="T4" s="38">
        <v>0</v>
      </c>
      <c r="U4" s="38">
        <v>0</v>
      </c>
      <c r="V4" s="38">
        <v>0</v>
      </c>
    </row>
    <row r="5" spans="1:22" x14ac:dyDescent="0.25">
      <c r="A5" s="29" t="s">
        <v>50</v>
      </c>
      <c r="B5" s="36" t="s">
        <v>43</v>
      </c>
      <c r="C5" s="53">
        <v>1</v>
      </c>
      <c r="D5" s="53">
        <v>1</v>
      </c>
      <c r="E5" s="53">
        <v>1</v>
      </c>
      <c r="F5" s="53">
        <v>1</v>
      </c>
      <c r="G5" s="53">
        <v>1</v>
      </c>
      <c r="H5" s="53">
        <v>1</v>
      </c>
      <c r="I5" s="53">
        <v>1</v>
      </c>
      <c r="J5" s="53">
        <v>1</v>
      </c>
      <c r="K5" s="53">
        <v>1</v>
      </c>
      <c r="L5" s="68">
        <v>1</v>
      </c>
      <c r="M5" s="69">
        <v>1</v>
      </c>
      <c r="N5" s="53">
        <v>1</v>
      </c>
      <c r="O5" s="53">
        <v>1</v>
      </c>
      <c r="P5" s="53">
        <v>1</v>
      </c>
      <c r="Q5" s="53">
        <v>1</v>
      </c>
      <c r="R5" s="53">
        <v>1</v>
      </c>
      <c r="S5" s="53">
        <v>1</v>
      </c>
      <c r="T5" s="53">
        <v>1</v>
      </c>
      <c r="U5" s="53">
        <v>1</v>
      </c>
      <c r="V5" s="53">
        <v>1</v>
      </c>
    </row>
    <row r="6" spans="1:22" x14ac:dyDescent="0.25">
      <c r="A6" s="29" t="s">
        <v>51</v>
      </c>
      <c r="B6" s="37" t="s">
        <v>42</v>
      </c>
      <c r="C6" s="29">
        <v>1</v>
      </c>
      <c r="D6" s="29">
        <v>1</v>
      </c>
      <c r="E6" s="29">
        <v>1</v>
      </c>
      <c r="F6" s="29">
        <v>1</v>
      </c>
      <c r="G6" s="29">
        <v>0</v>
      </c>
      <c r="H6" s="29">
        <v>0</v>
      </c>
      <c r="I6" s="29">
        <v>0</v>
      </c>
      <c r="J6" s="29">
        <v>0</v>
      </c>
      <c r="K6" s="29">
        <v>0</v>
      </c>
      <c r="L6" s="70">
        <v>0</v>
      </c>
      <c r="M6" s="71">
        <v>0</v>
      </c>
      <c r="N6" s="29">
        <v>0</v>
      </c>
      <c r="O6" s="29">
        <v>0</v>
      </c>
      <c r="P6" s="29">
        <v>0</v>
      </c>
      <c r="Q6" s="29">
        <v>0</v>
      </c>
      <c r="R6" s="29">
        <v>0</v>
      </c>
      <c r="S6" s="29">
        <v>0</v>
      </c>
      <c r="T6" s="29">
        <v>0</v>
      </c>
      <c r="U6" s="29">
        <v>0</v>
      </c>
      <c r="V6" s="29">
        <v>0</v>
      </c>
    </row>
    <row r="7" spans="1:22" x14ac:dyDescent="0.25">
      <c r="A7" s="29" t="s">
        <v>52</v>
      </c>
      <c r="B7" s="30" t="s">
        <v>41</v>
      </c>
      <c r="C7" s="29">
        <v>1</v>
      </c>
      <c r="D7" s="29">
        <v>1</v>
      </c>
      <c r="E7" s="29">
        <v>1</v>
      </c>
      <c r="F7" s="29">
        <v>1</v>
      </c>
      <c r="G7" s="29">
        <v>1</v>
      </c>
      <c r="H7" s="29">
        <v>1</v>
      </c>
      <c r="I7" s="29">
        <v>0</v>
      </c>
      <c r="J7" s="29">
        <v>0</v>
      </c>
      <c r="K7" s="29">
        <v>0</v>
      </c>
      <c r="L7" s="70">
        <v>0</v>
      </c>
      <c r="M7" s="71">
        <v>0</v>
      </c>
      <c r="N7" s="29">
        <v>0</v>
      </c>
      <c r="O7" s="29">
        <v>0</v>
      </c>
      <c r="P7" s="29">
        <v>0</v>
      </c>
      <c r="Q7" s="29">
        <v>0</v>
      </c>
      <c r="R7" s="29">
        <v>0</v>
      </c>
      <c r="S7" s="29">
        <v>0</v>
      </c>
      <c r="T7" s="29">
        <v>0</v>
      </c>
      <c r="U7" s="29">
        <v>0</v>
      </c>
      <c r="V7" s="29">
        <v>0</v>
      </c>
    </row>
    <row r="8" spans="1:22" x14ac:dyDescent="0.25">
      <c r="A8" s="29" t="s">
        <v>18</v>
      </c>
      <c r="B8" s="38" t="s">
        <v>48</v>
      </c>
      <c r="C8" s="38">
        <v>1</v>
      </c>
      <c r="D8" s="38">
        <v>1</v>
      </c>
      <c r="E8" s="38">
        <v>1</v>
      </c>
      <c r="F8" s="38">
        <v>1</v>
      </c>
      <c r="G8" s="38">
        <v>1</v>
      </c>
      <c r="H8" s="38">
        <v>1</v>
      </c>
      <c r="I8" s="38">
        <v>1</v>
      </c>
      <c r="J8" s="38">
        <v>1</v>
      </c>
      <c r="K8" s="38">
        <v>1</v>
      </c>
      <c r="L8" s="66">
        <v>1</v>
      </c>
      <c r="M8" s="67">
        <v>1</v>
      </c>
      <c r="N8" s="38">
        <v>1</v>
      </c>
      <c r="O8" s="38">
        <v>1</v>
      </c>
      <c r="P8" s="38">
        <v>1</v>
      </c>
      <c r="Q8" s="38">
        <v>1</v>
      </c>
      <c r="R8" s="38">
        <v>1</v>
      </c>
      <c r="S8" s="38">
        <v>1</v>
      </c>
      <c r="T8" s="38">
        <v>1</v>
      </c>
      <c r="U8" s="38">
        <v>1</v>
      </c>
      <c r="V8" s="38">
        <v>1</v>
      </c>
    </row>
    <row r="9" spans="1:22" x14ac:dyDescent="0.25">
      <c r="A9" s="29" t="s">
        <v>53</v>
      </c>
      <c r="B9" s="30" t="s">
        <v>41</v>
      </c>
      <c r="C9" s="38"/>
      <c r="D9" s="38"/>
      <c r="E9" s="38"/>
      <c r="F9" s="38"/>
      <c r="G9" s="38"/>
      <c r="H9" s="38"/>
      <c r="I9" s="38"/>
      <c r="J9" s="38"/>
      <c r="K9" s="38"/>
      <c r="L9" s="66"/>
      <c r="M9" s="67"/>
      <c r="N9" s="38"/>
      <c r="O9" s="38"/>
      <c r="P9" s="38"/>
      <c r="Q9" s="38"/>
      <c r="R9" s="38"/>
      <c r="S9" s="38"/>
      <c r="T9" s="38"/>
      <c r="U9" s="38"/>
      <c r="V9" s="38"/>
    </row>
    <row r="10" spans="1:22" x14ac:dyDescent="0.25">
      <c r="A10" s="29" t="s">
        <v>54</v>
      </c>
      <c r="B10" s="37" t="s">
        <v>43</v>
      </c>
      <c r="C10" s="29">
        <v>1</v>
      </c>
      <c r="D10" s="29">
        <v>1</v>
      </c>
      <c r="E10" s="29">
        <v>1</v>
      </c>
      <c r="F10" s="29">
        <v>1</v>
      </c>
      <c r="G10" s="29">
        <v>1</v>
      </c>
      <c r="H10" s="29">
        <v>1</v>
      </c>
      <c r="I10" s="29">
        <v>1</v>
      </c>
      <c r="J10" s="29">
        <v>1</v>
      </c>
      <c r="K10" s="29">
        <v>1</v>
      </c>
      <c r="L10" s="70">
        <v>1</v>
      </c>
      <c r="M10" s="71">
        <v>0</v>
      </c>
      <c r="N10" s="29">
        <v>0</v>
      </c>
      <c r="O10" s="29">
        <v>0</v>
      </c>
      <c r="P10" s="29">
        <v>0</v>
      </c>
      <c r="Q10" s="29">
        <v>0</v>
      </c>
      <c r="R10" s="29">
        <v>0</v>
      </c>
      <c r="S10" s="29">
        <v>0</v>
      </c>
      <c r="T10" s="29">
        <v>0</v>
      </c>
      <c r="U10" s="29">
        <v>0</v>
      </c>
      <c r="V10" s="29">
        <v>0</v>
      </c>
    </row>
    <row r="11" spans="1:22" x14ac:dyDescent="0.25">
      <c r="A11" s="29" t="s">
        <v>55</v>
      </c>
      <c r="B11" s="37" t="s">
        <v>42</v>
      </c>
      <c r="C11" s="29">
        <v>1</v>
      </c>
      <c r="D11" s="29">
        <v>1</v>
      </c>
      <c r="E11" s="29">
        <v>1</v>
      </c>
      <c r="F11" s="29">
        <v>1</v>
      </c>
      <c r="G11" s="29">
        <v>1</v>
      </c>
      <c r="H11" s="29">
        <v>1</v>
      </c>
      <c r="I11" s="29">
        <v>1</v>
      </c>
      <c r="J11" s="29">
        <v>1</v>
      </c>
      <c r="K11" s="29">
        <v>1</v>
      </c>
      <c r="L11" s="70">
        <v>1</v>
      </c>
      <c r="M11" s="71">
        <v>1</v>
      </c>
      <c r="N11" s="29">
        <v>1</v>
      </c>
      <c r="O11" s="29">
        <v>1</v>
      </c>
      <c r="P11" s="29">
        <v>1</v>
      </c>
      <c r="Q11" s="29">
        <v>1</v>
      </c>
      <c r="R11" s="29">
        <v>1</v>
      </c>
      <c r="S11" s="29">
        <v>1</v>
      </c>
      <c r="T11" s="29">
        <v>1</v>
      </c>
      <c r="U11" s="29">
        <v>1</v>
      </c>
      <c r="V11" s="29">
        <v>1</v>
      </c>
    </row>
    <row r="12" spans="1:22" x14ac:dyDescent="0.25">
      <c r="A12" s="29" t="s">
        <v>56</v>
      </c>
      <c r="B12" s="36" t="s">
        <v>43</v>
      </c>
      <c r="C12" s="29">
        <v>1</v>
      </c>
      <c r="D12" s="29">
        <v>1</v>
      </c>
      <c r="E12" s="29">
        <v>1</v>
      </c>
      <c r="F12" s="29">
        <v>1</v>
      </c>
      <c r="G12" s="29">
        <v>1</v>
      </c>
      <c r="H12" s="29">
        <v>1</v>
      </c>
      <c r="I12" s="29">
        <v>1</v>
      </c>
      <c r="J12" s="29">
        <v>1</v>
      </c>
      <c r="K12" s="29">
        <v>1</v>
      </c>
      <c r="L12" s="70">
        <v>1</v>
      </c>
      <c r="M12" s="71">
        <v>1</v>
      </c>
      <c r="N12" s="29">
        <v>1</v>
      </c>
      <c r="O12" s="29">
        <v>1</v>
      </c>
      <c r="P12" s="29">
        <v>1</v>
      </c>
      <c r="Q12" s="29">
        <v>1</v>
      </c>
      <c r="R12" s="29">
        <v>1</v>
      </c>
      <c r="S12" s="29">
        <v>1</v>
      </c>
      <c r="T12" s="29">
        <v>1</v>
      </c>
      <c r="U12" s="29">
        <v>1</v>
      </c>
      <c r="V12" s="29">
        <v>1</v>
      </c>
    </row>
    <row r="13" spans="1:22" x14ac:dyDescent="0.25">
      <c r="A13" s="29" t="s">
        <v>66</v>
      </c>
      <c r="B13" s="38" t="s">
        <v>48</v>
      </c>
      <c r="C13" s="29">
        <v>1</v>
      </c>
      <c r="D13" s="29">
        <v>1</v>
      </c>
      <c r="E13" s="29">
        <v>1</v>
      </c>
      <c r="F13" s="29">
        <v>0</v>
      </c>
      <c r="G13" s="29">
        <v>0</v>
      </c>
      <c r="H13" s="29">
        <v>0</v>
      </c>
      <c r="I13" s="29">
        <v>0</v>
      </c>
      <c r="J13" s="29">
        <v>0</v>
      </c>
      <c r="K13" s="29">
        <v>0</v>
      </c>
      <c r="L13" s="70">
        <v>0</v>
      </c>
      <c r="M13" s="71">
        <v>0</v>
      </c>
      <c r="N13" s="29">
        <v>0</v>
      </c>
      <c r="O13" s="29">
        <v>0</v>
      </c>
      <c r="P13" s="29">
        <v>0</v>
      </c>
      <c r="Q13" s="29">
        <v>0</v>
      </c>
      <c r="R13" s="29">
        <v>0</v>
      </c>
      <c r="S13" s="29">
        <v>0</v>
      </c>
      <c r="T13" s="29">
        <v>0</v>
      </c>
      <c r="U13" s="29">
        <v>0</v>
      </c>
      <c r="V13" s="29">
        <v>0</v>
      </c>
    </row>
    <row r="14" spans="1:22" x14ac:dyDescent="0.25">
      <c r="A14" s="29" t="s">
        <v>19</v>
      </c>
      <c r="B14" s="30" t="s">
        <v>41</v>
      </c>
      <c r="C14" s="29">
        <v>1</v>
      </c>
      <c r="D14" s="29">
        <v>1</v>
      </c>
      <c r="E14" s="29">
        <v>1</v>
      </c>
      <c r="F14" s="29">
        <v>1</v>
      </c>
      <c r="G14" s="29">
        <v>1</v>
      </c>
      <c r="H14" s="29">
        <v>1</v>
      </c>
      <c r="I14" s="29">
        <v>1</v>
      </c>
      <c r="J14" s="29">
        <v>0</v>
      </c>
      <c r="K14" s="29">
        <v>0</v>
      </c>
      <c r="L14" s="70">
        <v>0</v>
      </c>
      <c r="M14" s="71">
        <v>0</v>
      </c>
      <c r="N14" s="29">
        <v>0</v>
      </c>
      <c r="O14" s="29">
        <v>0</v>
      </c>
      <c r="P14" s="29">
        <v>0</v>
      </c>
      <c r="Q14" s="29">
        <v>0</v>
      </c>
      <c r="R14" s="29">
        <v>0</v>
      </c>
      <c r="S14" s="29">
        <v>0</v>
      </c>
      <c r="T14" s="29">
        <v>0</v>
      </c>
      <c r="U14" s="29">
        <v>0</v>
      </c>
      <c r="V14" s="29">
        <v>0</v>
      </c>
    </row>
    <row r="15" spans="1:22" x14ac:dyDescent="0.25">
      <c r="A15" s="41" t="s">
        <v>67</v>
      </c>
      <c r="B15" s="30" t="s">
        <v>40</v>
      </c>
      <c r="C15" s="29">
        <v>1</v>
      </c>
      <c r="D15" s="29">
        <v>1</v>
      </c>
      <c r="E15" s="29">
        <v>1</v>
      </c>
      <c r="F15" s="29">
        <v>1</v>
      </c>
      <c r="G15" s="29">
        <v>1</v>
      </c>
      <c r="H15" s="29">
        <v>1</v>
      </c>
      <c r="I15" s="29">
        <v>1</v>
      </c>
      <c r="J15" s="29">
        <v>1</v>
      </c>
      <c r="K15" s="29">
        <v>1</v>
      </c>
      <c r="L15" s="70">
        <v>1</v>
      </c>
      <c r="M15" s="71">
        <v>1</v>
      </c>
      <c r="N15" s="29">
        <v>1</v>
      </c>
      <c r="O15" s="29">
        <v>1</v>
      </c>
      <c r="P15" s="29">
        <v>1</v>
      </c>
      <c r="Q15" s="29">
        <v>1</v>
      </c>
      <c r="R15" s="29">
        <v>1</v>
      </c>
      <c r="S15" s="29">
        <v>1</v>
      </c>
      <c r="T15" s="29">
        <v>1</v>
      </c>
      <c r="U15" s="29">
        <v>1</v>
      </c>
      <c r="V15" s="29">
        <v>1</v>
      </c>
    </row>
    <row r="16" spans="1:22" x14ac:dyDescent="0.25">
      <c r="A16" s="41" t="s">
        <v>68</v>
      </c>
      <c r="B16" s="30" t="s">
        <v>40</v>
      </c>
      <c r="C16" s="29">
        <v>1</v>
      </c>
      <c r="D16" s="29">
        <v>1</v>
      </c>
      <c r="E16" s="29">
        <v>1</v>
      </c>
      <c r="F16" s="29">
        <v>1</v>
      </c>
      <c r="G16" s="29">
        <v>1</v>
      </c>
      <c r="H16" s="29">
        <v>1</v>
      </c>
      <c r="I16" s="29">
        <v>1</v>
      </c>
      <c r="J16" s="29">
        <v>1</v>
      </c>
      <c r="K16" s="29">
        <v>1</v>
      </c>
      <c r="L16" s="70">
        <v>1</v>
      </c>
      <c r="M16" s="71">
        <v>1</v>
      </c>
      <c r="N16" s="29">
        <v>1</v>
      </c>
      <c r="O16" s="29">
        <v>1</v>
      </c>
      <c r="P16" s="29">
        <v>1</v>
      </c>
      <c r="Q16" s="29">
        <v>1</v>
      </c>
      <c r="R16" s="29">
        <v>1</v>
      </c>
      <c r="S16" s="29">
        <v>1</v>
      </c>
      <c r="T16" s="29">
        <v>1</v>
      </c>
      <c r="U16" s="29">
        <v>1</v>
      </c>
      <c r="V16" s="29">
        <v>1</v>
      </c>
    </row>
    <row r="17" spans="1:22" x14ac:dyDescent="0.25">
      <c r="A17" s="41" t="s">
        <v>69</v>
      </c>
      <c r="B17" s="30" t="s">
        <v>40</v>
      </c>
      <c r="C17" s="29">
        <v>1</v>
      </c>
      <c r="D17" s="29">
        <v>1</v>
      </c>
      <c r="E17" s="29">
        <v>1</v>
      </c>
      <c r="F17" s="29">
        <v>1</v>
      </c>
      <c r="G17" s="29">
        <v>1</v>
      </c>
      <c r="H17" s="29">
        <v>1</v>
      </c>
      <c r="I17" s="29">
        <v>1</v>
      </c>
      <c r="J17" s="29">
        <v>1</v>
      </c>
      <c r="K17" s="29">
        <v>1</v>
      </c>
      <c r="L17" s="70">
        <v>1</v>
      </c>
      <c r="M17" s="71">
        <v>1</v>
      </c>
      <c r="N17" s="29">
        <v>1</v>
      </c>
      <c r="O17" s="29">
        <v>1</v>
      </c>
      <c r="P17" s="29">
        <v>1</v>
      </c>
      <c r="Q17" s="29">
        <v>1</v>
      </c>
      <c r="R17" s="29">
        <v>1</v>
      </c>
      <c r="S17" s="29">
        <v>1</v>
      </c>
      <c r="T17" s="29">
        <v>1</v>
      </c>
      <c r="U17" s="29">
        <v>1</v>
      </c>
      <c r="V17" s="29">
        <v>1</v>
      </c>
    </row>
    <row r="18" spans="1:22" x14ac:dyDescent="0.25">
      <c r="A18" s="41" t="s">
        <v>70</v>
      </c>
      <c r="B18" s="30" t="s">
        <v>40</v>
      </c>
      <c r="C18" s="29">
        <v>1</v>
      </c>
      <c r="D18" s="29">
        <v>1</v>
      </c>
      <c r="E18" s="29">
        <v>1</v>
      </c>
      <c r="F18" s="29">
        <v>1</v>
      </c>
      <c r="G18" s="29">
        <v>1</v>
      </c>
      <c r="H18" s="29">
        <v>1</v>
      </c>
      <c r="I18" s="29">
        <v>1</v>
      </c>
      <c r="J18" s="29">
        <v>1</v>
      </c>
      <c r="K18" s="29">
        <v>1</v>
      </c>
      <c r="L18" s="70">
        <v>1</v>
      </c>
      <c r="M18" s="71">
        <v>1</v>
      </c>
      <c r="N18" s="29">
        <v>1</v>
      </c>
      <c r="O18" s="29">
        <v>1</v>
      </c>
      <c r="P18" s="29">
        <v>1</v>
      </c>
      <c r="Q18" s="29">
        <v>1</v>
      </c>
      <c r="R18" s="29">
        <v>1</v>
      </c>
      <c r="S18" s="29">
        <v>1</v>
      </c>
      <c r="T18" s="29">
        <v>1</v>
      </c>
      <c r="U18" s="29">
        <v>1</v>
      </c>
      <c r="V18" s="29">
        <v>1</v>
      </c>
    </row>
    <row r="19" spans="1:22" x14ac:dyDescent="0.25">
      <c r="A19" s="29" t="s">
        <v>20</v>
      </c>
      <c r="B19" s="30" t="s">
        <v>41</v>
      </c>
      <c r="C19" s="29">
        <v>1</v>
      </c>
      <c r="D19" s="29">
        <v>1</v>
      </c>
      <c r="E19" s="29">
        <v>1</v>
      </c>
      <c r="F19" s="29">
        <v>1</v>
      </c>
      <c r="G19" s="29">
        <v>1</v>
      </c>
      <c r="H19" s="29">
        <v>1</v>
      </c>
      <c r="I19" s="29">
        <v>1</v>
      </c>
      <c r="J19" s="29">
        <v>1</v>
      </c>
      <c r="K19" s="29">
        <v>1</v>
      </c>
      <c r="L19" s="70">
        <v>1</v>
      </c>
      <c r="M19" s="71">
        <v>1</v>
      </c>
      <c r="N19" s="29">
        <v>1</v>
      </c>
      <c r="O19" s="29">
        <v>1</v>
      </c>
      <c r="P19" s="29">
        <v>1</v>
      </c>
      <c r="Q19" s="29">
        <v>1</v>
      </c>
      <c r="R19" s="29">
        <v>1</v>
      </c>
      <c r="S19" s="29">
        <v>1</v>
      </c>
      <c r="T19" s="29">
        <v>1</v>
      </c>
      <c r="U19" s="29">
        <v>1</v>
      </c>
      <c r="V19" s="29">
        <v>1</v>
      </c>
    </row>
    <row r="20" spans="1:22" x14ac:dyDescent="0.25">
      <c r="A20" s="29" t="s">
        <v>21</v>
      </c>
      <c r="B20" s="30" t="s">
        <v>41</v>
      </c>
      <c r="C20" s="29">
        <v>1</v>
      </c>
      <c r="D20" s="29">
        <v>1</v>
      </c>
      <c r="E20" s="29">
        <v>1</v>
      </c>
      <c r="F20" s="29">
        <v>1</v>
      </c>
      <c r="G20" s="29">
        <v>1</v>
      </c>
      <c r="H20" s="29">
        <v>0</v>
      </c>
      <c r="I20" s="29">
        <v>0</v>
      </c>
      <c r="J20" s="29">
        <v>0</v>
      </c>
      <c r="K20" s="29">
        <v>0</v>
      </c>
      <c r="L20" s="70">
        <v>0</v>
      </c>
      <c r="M20" s="71">
        <v>0</v>
      </c>
      <c r="N20" s="29">
        <v>0</v>
      </c>
      <c r="O20" s="29">
        <v>0</v>
      </c>
      <c r="P20" s="29">
        <v>0</v>
      </c>
      <c r="Q20" s="29">
        <v>0</v>
      </c>
      <c r="R20" s="29">
        <v>0</v>
      </c>
      <c r="S20" s="29">
        <v>0</v>
      </c>
      <c r="T20" s="29">
        <v>0</v>
      </c>
      <c r="U20" s="29">
        <v>0</v>
      </c>
      <c r="V20" s="29">
        <v>0</v>
      </c>
    </row>
    <row r="21" spans="1:22" x14ac:dyDescent="0.25">
      <c r="A21" s="29" t="s">
        <v>24</v>
      </c>
      <c r="B21" s="42" t="s">
        <v>42</v>
      </c>
      <c r="C21" s="29">
        <v>0</v>
      </c>
      <c r="D21" s="29">
        <v>0</v>
      </c>
      <c r="E21" s="29">
        <v>0</v>
      </c>
      <c r="F21" s="29">
        <v>0</v>
      </c>
      <c r="G21" s="29">
        <v>0</v>
      </c>
      <c r="H21" s="29">
        <v>0</v>
      </c>
      <c r="I21" s="29">
        <v>0</v>
      </c>
      <c r="J21" s="29">
        <v>0</v>
      </c>
      <c r="K21" s="29">
        <v>0</v>
      </c>
      <c r="L21" s="70">
        <v>0</v>
      </c>
      <c r="M21" s="71">
        <v>0</v>
      </c>
      <c r="N21" s="29">
        <v>0</v>
      </c>
      <c r="O21" s="29">
        <v>0</v>
      </c>
      <c r="P21" s="29">
        <v>0</v>
      </c>
      <c r="Q21" s="29">
        <v>0</v>
      </c>
      <c r="R21" s="29">
        <v>0</v>
      </c>
      <c r="S21" s="29">
        <v>0</v>
      </c>
      <c r="T21" s="29">
        <v>0</v>
      </c>
      <c r="U21" s="29">
        <v>0</v>
      </c>
      <c r="V21" s="29">
        <v>0</v>
      </c>
    </row>
    <row r="22" spans="1:22" x14ac:dyDescent="0.25">
      <c r="A22" s="29" t="s">
        <v>57</v>
      </c>
      <c r="B22" s="30" t="s">
        <v>41</v>
      </c>
      <c r="C22" s="29">
        <v>1</v>
      </c>
      <c r="D22" s="29">
        <v>1</v>
      </c>
      <c r="E22" s="29">
        <v>1</v>
      </c>
      <c r="F22" s="29">
        <v>1</v>
      </c>
      <c r="G22" s="29">
        <v>1</v>
      </c>
      <c r="H22" s="29">
        <v>0</v>
      </c>
      <c r="I22" s="29">
        <v>0</v>
      </c>
      <c r="J22" s="29">
        <v>0</v>
      </c>
      <c r="K22" s="29">
        <v>0</v>
      </c>
      <c r="L22" s="70">
        <v>0</v>
      </c>
      <c r="M22" s="71">
        <v>0</v>
      </c>
      <c r="N22" s="29">
        <v>0</v>
      </c>
      <c r="O22" s="29">
        <v>0</v>
      </c>
      <c r="P22" s="29">
        <v>0</v>
      </c>
      <c r="Q22" s="29">
        <v>0</v>
      </c>
      <c r="R22" s="29">
        <v>0</v>
      </c>
      <c r="S22" s="29">
        <v>0</v>
      </c>
      <c r="T22" s="29">
        <v>0</v>
      </c>
      <c r="U22" s="29">
        <v>0</v>
      </c>
      <c r="V22" s="29">
        <v>0</v>
      </c>
    </row>
    <row r="23" spans="1:22" x14ac:dyDescent="0.25">
      <c r="A23" s="29" t="s">
        <v>22</v>
      </c>
      <c r="B23" s="30" t="s">
        <v>41</v>
      </c>
      <c r="C23" s="29">
        <v>1</v>
      </c>
      <c r="D23" s="29">
        <v>1</v>
      </c>
      <c r="E23" s="29">
        <v>1</v>
      </c>
      <c r="F23" s="29">
        <v>1</v>
      </c>
      <c r="G23" s="29">
        <v>0</v>
      </c>
      <c r="H23" s="29">
        <v>0</v>
      </c>
      <c r="I23" s="29">
        <v>0</v>
      </c>
      <c r="J23" s="29">
        <v>0</v>
      </c>
      <c r="K23" s="29">
        <v>0</v>
      </c>
      <c r="L23" s="70">
        <v>0</v>
      </c>
      <c r="M23" s="71">
        <v>0</v>
      </c>
      <c r="N23" s="29">
        <v>0</v>
      </c>
      <c r="O23" s="29">
        <v>0</v>
      </c>
      <c r="P23" s="29">
        <v>0</v>
      </c>
      <c r="Q23" s="29">
        <v>0</v>
      </c>
      <c r="R23" s="29">
        <v>0</v>
      </c>
      <c r="S23" s="29">
        <v>0</v>
      </c>
      <c r="T23" s="29">
        <v>0</v>
      </c>
      <c r="U23" s="29">
        <v>0</v>
      </c>
      <c r="V23" s="29">
        <v>0</v>
      </c>
    </row>
    <row r="24" spans="1:22" x14ac:dyDescent="0.25">
      <c r="A24" s="29" t="s">
        <v>23</v>
      </c>
      <c r="B24" s="37" t="s">
        <v>43</v>
      </c>
      <c r="C24" s="29">
        <v>1</v>
      </c>
      <c r="D24" s="29">
        <v>1</v>
      </c>
      <c r="E24" s="29">
        <v>1</v>
      </c>
      <c r="F24" s="29">
        <v>1</v>
      </c>
      <c r="G24" s="29">
        <v>1</v>
      </c>
      <c r="H24" s="29">
        <v>1</v>
      </c>
      <c r="I24" s="29">
        <v>1</v>
      </c>
      <c r="J24" s="29">
        <v>1</v>
      </c>
      <c r="K24" s="29">
        <v>1</v>
      </c>
      <c r="L24" s="70">
        <v>1</v>
      </c>
      <c r="M24" s="71">
        <v>0</v>
      </c>
      <c r="N24" s="29">
        <v>0</v>
      </c>
      <c r="O24" s="29">
        <v>0</v>
      </c>
      <c r="P24" s="29">
        <v>0</v>
      </c>
      <c r="Q24" s="29">
        <v>0</v>
      </c>
      <c r="R24" s="29">
        <v>0</v>
      </c>
      <c r="S24" s="29">
        <v>0</v>
      </c>
      <c r="T24" s="29">
        <v>0</v>
      </c>
      <c r="U24" s="29">
        <v>0</v>
      </c>
      <c r="V24" s="29">
        <v>0</v>
      </c>
    </row>
    <row r="25" spans="1:22" x14ac:dyDescent="0.25">
      <c r="A25" s="29" t="s">
        <v>25</v>
      </c>
      <c r="B25" s="30" t="s">
        <v>44</v>
      </c>
      <c r="C25" s="29">
        <v>1</v>
      </c>
      <c r="D25" s="29">
        <v>1</v>
      </c>
      <c r="E25" s="29">
        <v>1</v>
      </c>
      <c r="F25" s="29">
        <v>1</v>
      </c>
      <c r="G25" s="29">
        <v>0</v>
      </c>
      <c r="H25" s="29">
        <v>0</v>
      </c>
      <c r="I25" s="29">
        <v>0</v>
      </c>
      <c r="J25" s="29">
        <v>0</v>
      </c>
      <c r="K25" s="29">
        <v>0</v>
      </c>
      <c r="L25" s="70">
        <v>0</v>
      </c>
      <c r="M25" s="71">
        <v>0</v>
      </c>
      <c r="N25" s="29">
        <v>0</v>
      </c>
      <c r="O25" s="29">
        <v>0</v>
      </c>
      <c r="P25" s="29">
        <v>0</v>
      </c>
      <c r="Q25" s="29">
        <v>0</v>
      </c>
      <c r="R25" s="29">
        <v>0</v>
      </c>
      <c r="S25" s="29">
        <v>0</v>
      </c>
      <c r="T25" s="29">
        <v>0</v>
      </c>
      <c r="U25" s="29">
        <v>0</v>
      </c>
      <c r="V25" s="29">
        <v>0</v>
      </c>
    </row>
    <row r="26" spans="1:22" x14ac:dyDescent="0.25">
      <c r="A26" s="29" t="s">
        <v>58</v>
      </c>
      <c r="B26" s="30" t="s">
        <v>41</v>
      </c>
      <c r="C26" s="29">
        <v>1</v>
      </c>
      <c r="D26" s="29">
        <v>0</v>
      </c>
      <c r="E26" s="29">
        <v>0</v>
      </c>
      <c r="F26" s="29">
        <v>0</v>
      </c>
      <c r="G26" s="29">
        <v>0</v>
      </c>
      <c r="H26" s="29">
        <v>0</v>
      </c>
      <c r="I26" s="29">
        <v>0</v>
      </c>
      <c r="J26" s="29">
        <v>0</v>
      </c>
      <c r="K26" s="29">
        <v>0</v>
      </c>
      <c r="L26" s="70">
        <v>0</v>
      </c>
      <c r="M26" s="71">
        <v>0</v>
      </c>
      <c r="N26" s="29">
        <v>0</v>
      </c>
      <c r="O26" s="29">
        <v>0</v>
      </c>
      <c r="P26" s="29">
        <v>0</v>
      </c>
      <c r="Q26" s="29">
        <v>0</v>
      </c>
      <c r="R26" s="29">
        <v>0</v>
      </c>
      <c r="S26" s="29">
        <v>0</v>
      </c>
      <c r="T26" s="29">
        <v>0</v>
      </c>
      <c r="U26" s="29">
        <v>0</v>
      </c>
      <c r="V26" s="29">
        <v>0</v>
      </c>
    </row>
    <row r="27" spans="1:22" x14ac:dyDescent="0.25">
      <c r="A27" s="29" t="s">
        <v>59</v>
      </c>
      <c r="B27" s="30" t="s">
        <v>41</v>
      </c>
      <c r="C27" s="29">
        <v>1</v>
      </c>
      <c r="D27" s="29">
        <v>1</v>
      </c>
      <c r="E27" s="29">
        <v>1</v>
      </c>
      <c r="F27" s="29">
        <v>0</v>
      </c>
      <c r="G27" s="29">
        <v>0</v>
      </c>
      <c r="H27" s="29">
        <v>0</v>
      </c>
      <c r="I27" s="29">
        <v>0</v>
      </c>
      <c r="J27" s="29">
        <v>0</v>
      </c>
      <c r="K27" s="29">
        <v>0</v>
      </c>
      <c r="L27" s="70">
        <v>0</v>
      </c>
      <c r="M27" s="71">
        <v>0</v>
      </c>
      <c r="N27" s="29">
        <v>0</v>
      </c>
      <c r="O27" s="29">
        <v>0</v>
      </c>
      <c r="P27" s="29">
        <v>0</v>
      </c>
      <c r="Q27" s="29">
        <v>0</v>
      </c>
      <c r="R27" s="29">
        <v>0</v>
      </c>
      <c r="S27" s="29">
        <v>0</v>
      </c>
      <c r="T27" s="29">
        <v>0</v>
      </c>
      <c r="U27" s="29">
        <v>0</v>
      </c>
      <c r="V27" s="29">
        <v>0</v>
      </c>
    </row>
    <row r="28" spans="1:22" x14ac:dyDescent="0.25">
      <c r="A28" s="29" t="s">
        <v>60</v>
      </c>
      <c r="B28" s="30" t="s">
        <v>41</v>
      </c>
      <c r="C28" s="29">
        <v>1</v>
      </c>
      <c r="D28" s="29">
        <v>1</v>
      </c>
      <c r="E28" s="29">
        <v>1</v>
      </c>
      <c r="F28" s="29">
        <v>1</v>
      </c>
      <c r="G28" s="29">
        <v>1</v>
      </c>
      <c r="H28" s="29">
        <v>1</v>
      </c>
      <c r="I28" s="29">
        <v>0</v>
      </c>
      <c r="J28" s="29">
        <v>0</v>
      </c>
      <c r="K28" s="29">
        <v>0</v>
      </c>
      <c r="L28" s="70">
        <v>0</v>
      </c>
      <c r="M28" s="71">
        <v>0</v>
      </c>
      <c r="N28" s="29">
        <v>0</v>
      </c>
      <c r="O28" s="29">
        <v>0</v>
      </c>
      <c r="P28" s="29">
        <v>0</v>
      </c>
      <c r="Q28" s="29">
        <v>0</v>
      </c>
      <c r="R28" s="29">
        <v>0</v>
      </c>
      <c r="S28" s="29">
        <v>0</v>
      </c>
      <c r="T28" s="29">
        <v>0</v>
      </c>
      <c r="U28" s="29">
        <v>0</v>
      </c>
      <c r="V28" s="29">
        <v>0</v>
      </c>
    </row>
    <row r="29" spans="1:22" x14ac:dyDescent="0.25">
      <c r="A29" s="29" t="s">
        <v>26</v>
      </c>
      <c r="B29" s="37" t="s">
        <v>45</v>
      </c>
      <c r="C29" s="29">
        <v>1</v>
      </c>
      <c r="D29" s="29">
        <v>1</v>
      </c>
      <c r="E29" s="29">
        <v>1</v>
      </c>
      <c r="F29" s="29">
        <v>1</v>
      </c>
      <c r="G29" s="29">
        <v>1</v>
      </c>
      <c r="H29" s="29">
        <v>1</v>
      </c>
      <c r="I29" s="29">
        <v>1</v>
      </c>
      <c r="J29" s="29">
        <v>1</v>
      </c>
      <c r="K29" s="29">
        <v>1</v>
      </c>
      <c r="L29" s="70">
        <v>1</v>
      </c>
      <c r="M29" s="71">
        <v>1</v>
      </c>
      <c r="N29" s="29">
        <v>1</v>
      </c>
      <c r="O29" s="29">
        <v>1</v>
      </c>
      <c r="P29" s="29">
        <v>1</v>
      </c>
      <c r="Q29" s="29">
        <v>1</v>
      </c>
      <c r="R29" s="29">
        <v>1</v>
      </c>
      <c r="S29" s="29">
        <v>1</v>
      </c>
      <c r="T29" s="29">
        <v>1</v>
      </c>
      <c r="U29" s="29">
        <v>1</v>
      </c>
      <c r="V29" s="29">
        <v>1</v>
      </c>
    </row>
    <row r="30" spans="1:22" x14ac:dyDescent="0.25">
      <c r="A30" s="29" t="s">
        <v>61</v>
      </c>
      <c r="B30" s="37" t="s">
        <v>42</v>
      </c>
      <c r="C30" s="29">
        <v>1</v>
      </c>
      <c r="D30" s="29">
        <v>1</v>
      </c>
      <c r="E30" s="29">
        <v>1</v>
      </c>
      <c r="F30" s="29">
        <v>1</v>
      </c>
      <c r="G30" s="29">
        <v>1</v>
      </c>
      <c r="H30" s="29">
        <v>1</v>
      </c>
      <c r="I30" s="29">
        <v>1</v>
      </c>
      <c r="J30" s="29">
        <v>1</v>
      </c>
      <c r="K30" s="29">
        <v>1</v>
      </c>
      <c r="L30" s="70">
        <v>1</v>
      </c>
      <c r="M30" s="71">
        <v>1</v>
      </c>
      <c r="N30" s="29">
        <v>1</v>
      </c>
      <c r="O30" s="29">
        <v>1</v>
      </c>
      <c r="P30" s="29">
        <v>1</v>
      </c>
      <c r="Q30" s="29">
        <v>1</v>
      </c>
      <c r="R30" s="29">
        <v>1</v>
      </c>
      <c r="S30" s="29">
        <v>1</v>
      </c>
      <c r="T30" s="29">
        <v>1</v>
      </c>
      <c r="U30" s="29">
        <v>1</v>
      </c>
      <c r="V30" s="29">
        <v>1</v>
      </c>
    </row>
    <row r="31" spans="1:22" x14ac:dyDescent="0.25">
      <c r="A31" s="29" t="s">
        <v>71</v>
      </c>
      <c r="B31" s="30" t="s">
        <v>40</v>
      </c>
      <c r="C31" s="29">
        <v>1</v>
      </c>
      <c r="D31" s="29">
        <v>1</v>
      </c>
      <c r="E31" s="29">
        <v>0</v>
      </c>
      <c r="F31" s="29">
        <v>0</v>
      </c>
      <c r="G31" s="29">
        <v>0</v>
      </c>
      <c r="H31" s="29">
        <v>0</v>
      </c>
      <c r="I31" s="29">
        <v>0</v>
      </c>
      <c r="J31" s="29">
        <v>0</v>
      </c>
      <c r="K31" s="29">
        <v>0</v>
      </c>
      <c r="L31" s="70">
        <v>0</v>
      </c>
      <c r="M31" s="71">
        <v>0</v>
      </c>
      <c r="N31" s="29">
        <v>0</v>
      </c>
      <c r="O31" s="29">
        <v>0</v>
      </c>
      <c r="P31" s="29">
        <v>0</v>
      </c>
      <c r="Q31" s="29">
        <v>0</v>
      </c>
      <c r="R31" s="29">
        <v>0</v>
      </c>
      <c r="S31" s="29">
        <v>0</v>
      </c>
      <c r="T31" s="29">
        <v>0</v>
      </c>
      <c r="U31" s="29">
        <v>0</v>
      </c>
      <c r="V31" s="29">
        <v>0</v>
      </c>
    </row>
    <row r="32" spans="1:22" x14ac:dyDescent="0.25">
      <c r="A32" s="29" t="s">
        <v>27</v>
      </c>
      <c r="B32" s="37" t="s">
        <v>45</v>
      </c>
      <c r="C32" s="29">
        <v>1</v>
      </c>
      <c r="D32" s="29">
        <v>0</v>
      </c>
      <c r="E32" s="29">
        <v>0</v>
      </c>
      <c r="F32" s="29">
        <v>0</v>
      </c>
      <c r="G32" s="29">
        <v>0</v>
      </c>
      <c r="H32" s="29">
        <v>0</v>
      </c>
      <c r="I32" s="29">
        <v>0</v>
      </c>
      <c r="J32" s="29">
        <v>0</v>
      </c>
      <c r="K32" s="29">
        <v>0</v>
      </c>
      <c r="L32" s="70">
        <v>0</v>
      </c>
      <c r="M32" s="71">
        <v>0</v>
      </c>
      <c r="N32" s="29">
        <v>0</v>
      </c>
      <c r="O32" s="29">
        <v>0</v>
      </c>
      <c r="P32" s="29">
        <v>0</v>
      </c>
      <c r="Q32" s="29">
        <v>0</v>
      </c>
      <c r="R32" s="29">
        <v>0</v>
      </c>
      <c r="S32" s="29">
        <v>0</v>
      </c>
      <c r="T32" s="29">
        <v>0</v>
      </c>
      <c r="U32" s="29">
        <v>0</v>
      </c>
      <c r="V32" s="29">
        <v>0</v>
      </c>
    </row>
    <row r="33" spans="1:22" x14ac:dyDescent="0.25">
      <c r="A33" s="29" t="s">
        <v>39</v>
      </c>
      <c r="B33" s="30" t="s">
        <v>41</v>
      </c>
      <c r="C33" s="29">
        <v>1</v>
      </c>
      <c r="D33" s="29">
        <v>1</v>
      </c>
      <c r="E33" s="29">
        <v>1</v>
      </c>
      <c r="F33" s="29">
        <v>1</v>
      </c>
      <c r="G33" s="29">
        <v>0</v>
      </c>
      <c r="H33" s="29">
        <v>0</v>
      </c>
      <c r="I33" s="29">
        <v>0</v>
      </c>
      <c r="J33" s="29">
        <v>0</v>
      </c>
      <c r="K33" s="29">
        <v>0</v>
      </c>
      <c r="L33" s="70">
        <v>0</v>
      </c>
      <c r="M33" s="71">
        <v>0</v>
      </c>
      <c r="N33" s="29">
        <v>0</v>
      </c>
      <c r="O33" s="29">
        <v>0</v>
      </c>
      <c r="P33" s="29">
        <v>0</v>
      </c>
      <c r="Q33" s="29">
        <v>0</v>
      </c>
      <c r="R33" s="29">
        <v>0</v>
      </c>
      <c r="S33" s="29">
        <v>0</v>
      </c>
      <c r="T33" s="29">
        <v>0</v>
      </c>
      <c r="U33" s="29">
        <v>0</v>
      </c>
      <c r="V33" s="29">
        <v>0</v>
      </c>
    </row>
    <row r="34" spans="1:22" x14ac:dyDescent="0.25">
      <c r="A34" s="29" t="s">
        <v>28</v>
      </c>
      <c r="B34" s="29"/>
      <c r="C34" s="29">
        <v>1</v>
      </c>
      <c r="D34" s="29">
        <v>0</v>
      </c>
      <c r="E34" s="29">
        <v>0</v>
      </c>
      <c r="F34" s="29">
        <v>0</v>
      </c>
      <c r="G34" s="29">
        <v>0</v>
      </c>
      <c r="H34" s="29">
        <v>0</v>
      </c>
      <c r="I34" s="29">
        <v>0</v>
      </c>
      <c r="J34" s="29">
        <v>0</v>
      </c>
      <c r="K34" s="29">
        <v>0</v>
      </c>
      <c r="L34" s="70">
        <v>0</v>
      </c>
      <c r="M34" s="71">
        <v>0</v>
      </c>
      <c r="N34" s="29">
        <v>0</v>
      </c>
      <c r="O34" s="29">
        <v>0</v>
      </c>
      <c r="P34" s="29">
        <v>0</v>
      </c>
      <c r="Q34" s="29">
        <v>0</v>
      </c>
      <c r="R34" s="29">
        <v>0</v>
      </c>
      <c r="S34" s="29">
        <v>0</v>
      </c>
      <c r="T34" s="29">
        <v>0</v>
      </c>
      <c r="U34" s="29">
        <v>0</v>
      </c>
      <c r="V34" s="29">
        <v>0</v>
      </c>
    </row>
    <row r="35" spans="1:22" x14ac:dyDescent="0.25">
      <c r="A35" s="29" t="s">
        <v>62</v>
      </c>
      <c r="B35" s="30" t="s">
        <v>41</v>
      </c>
      <c r="C35" s="29">
        <v>1</v>
      </c>
      <c r="D35" s="29">
        <v>1</v>
      </c>
      <c r="E35" s="29">
        <v>1</v>
      </c>
      <c r="F35" s="29">
        <v>1</v>
      </c>
      <c r="G35" s="29">
        <v>1</v>
      </c>
      <c r="H35" s="29">
        <v>0</v>
      </c>
      <c r="I35" s="29">
        <v>0</v>
      </c>
      <c r="J35" s="29">
        <v>0</v>
      </c>
      <c r="K35" s="29">
        <v>0</v>
      </c>
      <c r="L35" s="70">
        <v>0</v>
      </c>
      <c r="M35" s="71">
        <v>0</v>
      </c>
      <c r="N35" s="29">
        <v>0</v>
      </c>
      <c r="O35" s="29">
        <v>0</v>
      </c>
      <c r="P35" s="29">
        <v>0</v>
      </c>
      <c r="Q35" s="29">
        <v>0</v>
      </c>
      <c r="R35" s="29">
        <v>0</v>
      </c>
      <c r="S35" s="29">
        <v>0</v>
      </c>
      <c r="T35" s="29">
        <v>0</v>
      </c>
      <c r="U35" s="29">
        <v>0</v>
      </c>
      <c r="V35" s="29">
        <v>0</v>
      </c>
    </row>
    <row r="36" spans="1:22" x14ac:dyDescent="0.25">
      <c r="A36" s="29" t="s">
        <v>29</v>
      </c>
      <c r="B36" s="30" t="s">
        <v>41</v>
      </c>
      <c r="C36" s="29">
        <v>1</v>
      </c>
      <c r="D36" s="29">
        <v>1</v>
      </c>
      <c r="E36" s="29">
        <v>1</v>
      </c>
      <c r="F36" s="29">
        <v>0</v>
      </c>
      <c r="G36" s="29">
        <v>0</v>
      </c>
      <c r="H36" s="29">
        <v>0</v>
      </c>
      <c r="I36" s="29">
        <v>0</v>
      </c>
      <c r="J36" s="29">
        <v>0</v>
      </c>
      <c r="K36" s="29">
        <v>0</v>
      </c>
      <c r="L36" s="70">
        <v>0</v>
      </c>
      <c r="M36" s="71">
        <v>0</v>
      </c>
      <c r="N36" s="29">
        <v>0</v>
      </c>
      <c r="O36" s="29">
        <v>0</v>
      </c>
      <c r="P36" s="29">
        <v>0</v>
      </c>
      <c r="Q36" s="29">
        <v>0</v>
      </c>
      <c r="R36" s="29">
        <v>0</v>
      </c>
      <c r="S36" s="29">
        <v>0</v>
      </c>
      <c r="T36" s="29">
        <v>0</v>
      </c>
      <c r="U36" s="29">
        <v>0</v>
      </c>
      <c r="V36" s="29">
        <v>0</v>
      </c>
    </row>
    <row r="37" spans="1:22" x14ac:dyDescent="0.25">
      <c r="A37" s="29" t="s">
        <v>30</v>
      </c>
      <c r="B37" s="37" t="s">
        <v>43</v>
      </c>
      <c r="C37" s="29">
        <v>1</v>
      </c>
      <c r="D37" s="29">
        <v>1</v>
      </c>
      <c r="E37" s="29">
        <v>1</v>
      </c>
      <c r="F37" s="29">
        <v>1</v>
      </c>
      <c r="G37" s="29">
        <v>1</v>
      </c>
      <c r="H37" s="29">
        <v>1</v>
      </c>
      <c r="I37" s="29">
        <v>1</v>
      </c>
      <c r="J37" s="29">
        <v>1</v>
      </c>
      <c r="K37" s="29">
        <v>1</v>
      </c>
      <c r="L37" s="70">
        <v>1</v>
      </c>
      <c r="M37" s="71">
        <v>1</v>
      </c>
      <c r="N37" s="29">
        <v>1</v>
      </c>
      <c r="O37" s="29">
        <v>1</v>
      </c>
      <c r="P37" s="29">
        <v>1</v>
      </c>
      <c r="Q37" s="29">
        <v>1</v>
      </c>
      <c r="R37" s="29">
        <v>1</v>
      </c>
      <c r="S37" s="29">
        <v>1</v>
      </c>
      <c r="T37" s="29">
        <v>1</v>
      </c>
      <c r="U37" s="29">
        <v>1</v>
      </c>
      <c r="V37" s="29">
        <v>1</v>
      </c>
    </row>
    <row r="38" spans="1:22" x14ac:dyDescent="0.25">
      <c r="A38" s="29" t="s">
        <v>31</v>
      </c>
      <c r="B38" s="38" t="s">
        <v>48</v>
      </c>
      <c r="C38" s="29">
        <v>0</v>
      </c>
      <c r="D38" s="29">
        <v>0</v>
      </c>
      <c r="E38" s="29">
        <v>0</v>
      </c>
      <c r="F38" s="29">
        <v>0</v>
      </c>
      <c r="G38" s="29">
        <v>0</v>
      </c>
      <c r="H38" s="29">
        <v>0</v>
      </c>
      <c r="I38" s="29">
        <v>0</v>
      </c>
      <c r="J38" s="29">
        <v>0</v>
      </c>
      <c r="K38" s="29">
        <v>0</v>
      </c>
      <c r="L38" s="70">
        <v>0</v>
      </c>
      <c r="M38" s="71">
        <v>0</v>
      </c>
      <c r="N38" s="29">
        <v>0</v>
      </c>
      <c r="O38" s="29">
        <v>0</v>
      </c>
      <c r="P38" s="29">
        <v>0</v>
      </c>
      <c r="Q38" s="29">
        <v>0</v>
      </c>
      <c r="R38" s="29">
        <v>0</v>
      </c>
      <c r="S38" s="29">
        <v>0</v>
      </c>
      <c r="T38" s="29">
        <v>0</v>
      </c>
      <c r="U38" s="29">
        <v>0</v>
      </c>
      <c r="V38" s="29">
        <v>0</v>
      </c>
    </row>
    <row r="39" spans="1:22" x14ac:dyDescent="0.25">
      <c r="A39" s="29" t="s">
        <v>32</v>
      </c>
      <c r="B39" s="38" t="s">
        <v>48</v>
      </c>
      <c r="C39" s="29">
        <v>0</v>
      </c>
      <c r="D39" s="29">
        <v>0</v>
      </c>
      <c r="E39" s="29">
        <v>0</v>
      </c>
      <c r="F39" s="29">
        <v>0</v>
      </c>
      <c r="G39" s="29">
        <v>0</v>
      </c>
      <c r="H39" s="29">
        <v>0</v>
      </c>
      <c r="I39" s="29">
        <v>0</v>
      </c>
      <c r="J39" s="29">
        <v>0</v>
      </c>
      <c r="K39" s="29">
        <v>0</v>
      </c>
      <c r="L39" s="70">
        <v>0</v>
      </c>
      <c r="M39" s="71">
        <v>0</v>
      </c>
      <c r="N39" s="29">
        <v>0</v>
      </c>
      <c r="O39" s="29">
        <v>0</v>
      </c>
      <c r="P39" s="29">
        <v>0</v>
      </c>
      <c r="Q39" s="29">
        <v>0</v>
      </c>
      <c r="R39" s="29">
        <v>0</v>
      </c>
      <c r="S39" s="29">
        <v>0</v>
      </c>
      <c r="T39" s="29">
        <v>0</v>
      </c>
      <c r="U39" s="29">
        <v>0</v>
      </c>
      <c r="V39" s="29">
        <v>0</v>
      </c>
    </row>
    <row r="40" spans="1:22" x14ac:dyDescent="0.25">
      <c r="A40" s="29" t="s">
        <v>33</v>
      </c>
      <c r="B40" s="30" t="s">
        <v>41</v>
      </c>
      <c r="C40" s="29">
        <v>0</v>
      </c>
      <c r="D40" s="29">
        <v>0</v>
      </c>
      <c r="E40" s="29">
        <v>0</v>
      </c>
      <c r="F40" s="29">
        <v>0</v>
      </c>
      <c r="G40" s="29">
        <v>0</v>
      </c>
      <c r="H40" s="29">
        <v>0</v>
      </c>
      <c r="I40" s="29">
        <v>0</v>
      </c>
      <c r="J40" s="29">
        <v>0</v>
      </c>
      <c r="K40" s="29">
        <v>0</v>
      </c>
      <c r="L40" s="70">
        <v>0</v>
      </c>
      <c r="M40" s="71">
        <v>0</v>
      </c>
      <c r="N40" s="29">
        <v>0</v>
      </c>
      <c r="O40" s="29">
        <v>0</v>
      </c>
      <c r="P40" s="29">
        <v>0</v>
      </c>
      <c r="Q40" s="29">
        <v>0</v>
      </c>
      <c r="R40" s="29">
        <v>0</v>
      </c>
      <c r="S40" s="29">
        <v>0</v>
      </c>
      <c r="T40" s="29">
        <v>0</v>
      </c>
      <c r="U40" s="29">
        <v>0</v>
      </c>
      <c r="V40" s="29">
        <v>0</v>
      </c>
    </row>
    <row r="41" spans="1:22" x14ac:dyDescent="0.25">
      <c r="A41" s="29" t="s">
        <v>34</v>
      </c>
      <c r="B41" s="37" t="s">
        <v>45</v>
      </c>
      <c r="C41" s="29">
        <v>1</v>
      </c>
      <c r="D41" s="29">
        <v>1</v>
      </c>
      <c r="E41" s="29">
        <v>1</v>
      </c>
      <c r="F41" s="29">
        <v>1</v>
      </c>
      <c r="G41" s="29">
        <v>1</v>
      </c>
      <c r="H41" s="29">
        <v>0</v>
      </c>
      <c r="I41" s="29">
        <v>0</v>
      </c>
      <c r="J41" s="29">
        <v>0</v>
      </c>
      <c r="K41" s="29">
        <v>0</v>
      </c>
      <c r="L41" s="70">
        <v>0</v>
      </c>
      <c r="M41" s="71">
        <v>0</v>
      </c>
      <c r="N41" s="29">
        <v>0</v>
      </c>
      <c r="O41" s="29">
        <v>0</v>
      </c>
      <c r="P41" s="29">
        <v>0</v>
      </c>
      <c r="Q41" s="29">
        <v>0</v>
      </c>
      <c r="R41" s="29">
        <v>0</v>
      </c>
      <c r="S41" s="29">
        <v>0</v>
      </c>
      <c r="T41" s="29">
        <v>0</v>
      </c>
      <c r="U41" s="29">
        <v>0</v>
      </c>
      <c r="V41" s="29">
        <v>0</v>
      </c>
    </row>
    <row r="42" spans="1:22" x14ac:dyDescent="0.25">
      <c r="A42" s="29" t="s">
        <v>63</v>
      </c>
      <c r="B42" s="37" t="s">
        <v>43</v>
      </c>
      <c r="C42" s="29">
        <v>1</v>
      </c>
      <c r="D42" s="29">
        <v>1</v>
      </c>
      <c r="E42" s="29">
        <v>1</v>
      </c>
      <c r="F42" s="29">
        <v>1</v>
      </c>
      <c r="G42" s="29">
        <v>1</v>
      </c>
      <c r="H42" s="29">
        <v>1</v>
      </c>
      <c r="I42" s="29">
        <v>1</v>
      </c>
      <c r="J42" s="29">
        <v>1</v>
      </c>
      <c r="K42" s="29">
        <v>1</v>
      </c>
      <c r="L42" s="70">
        <v>1</v>
      </c>
      <c r="M42" s="71">
        <v>1</v>
      </c>
      <c r="N42" s="29">
        <v>1</v>
      </c>
      <c r="O42" s="29">
        <v>1</v>
      </c>
      <c r="P42" s="29">
        <v>1</v>
      </c>
      <c r="Q42" s="29">
        <v>1</v>
      </c>
      <c r="R42" s="29">
        <v>1</v>
      </c>
      <c r="S42" s="29">
        <v>1</v>
      </c>
      <c r="T42" s="29">
        <v>1</v>
      </c>
      <c r="U42" s="29">
        <v>1</v>
      </c>
      <c r="V42" s="29">
        <v>1</v>
      </c>
    </row>
    <row r="43" spans="1:22" x14ac:dyDescent="0.25">
      <c r="A43" s="29" t="s">
        <v>64</v>
      </c>
      <c r="B43" s="30" t="s">
        <v>46</v>
      </c>
      <c r="C43" s="29">
        <v>1</v>
      </c>
      <c r="D43" s="29">
        <v>1</v>
      </c>
      <c r="E43" s="29">
        <v>0</v>
      </c>
      <c r="F43" s="29">
        <v>0</v>
      </c>
      <c r="G43" s="29">
        <v>0</v>
      </c>
      <c r="H43" s="29">
        <v>0</v>
      </c>
      <c r="I43" s="29">
        <v>0</v>
      </c>
      <c r="J43" s="29">
        <v>0</v>
      </c>
      <c r="K43" s="29">
        <v>0</v>
      </c>
      <c r="L43" s="70">
        <v>0</v>
      </c>
      <c r="M43" s="71">
        <v>0</v>
      </c>
      <c r="N43" s="29">
        <v>0</v>
      </c>
      <c r="O43" s="29">
        <v>0</v>
      </c>
      <c r="P43" s="29">
        <v>0</v>
      </c>
      <c r="Q43" s="29">
        <v>0</v>
      </c>
      <c r="R43" s="29">
        <v>0</v>
      </c>
      <c r="S43" s="29">
        <v>0</v>
      </c>
      <c r="T43" s="29">
        <v>0</v>
      </c>
      <c r="U43" s="29">
        <v>0</v>
      </c>
      <c r="V43" s="29">
        <v>0</v>
      </c>
    </row>
    <row r="44" spans="1:22" x14ac:dyDescent="0.25">
      <c r="A44" s="29" t="s">
        <v>65</v>
      </c>
      <c r="B44" s="30" t="s">
        <v>41</v>
      </c>
      <c r="C44" s="29">
        <v>1</v>
      </c>
      <c r="D44" s="29">
        <v>1</v>
      </c>
      <c r="E44" s="29">
        <v>1</v>
      </c>
      <c r="F44" s="29">
        <v>1</v>
      </c>
      <c r="G44" s="29">
        <v>1</v>
      </c>
      <c r="H44" s="29">
        <v>1</v>
      </c>
      <c r="I44" s="29">
        <v>1</v>
      </c>
      <c r="J44" s="29">
        <v>0</v>
      </c>
      <c r="K44" s="29">
        <v>0</v>
      </c>
      <c r="L44" s="70">
        <v>0</v>
      </c>
      <c r="M44" s="71">
        <v>0</v>
      </c>
      <c r="N44" s="29">
        <v>0</v>
      </c>
      <c r="O44" s="29">
        <v>0</v>
      </c>
      <c r="P44" s="29">
        <v>0</v>
      </c>
      <c r="Q44" s="29">
        <v>0</v>
      </c>
      <c r="R44" s="29">
        <v>0</v>
      </c>
      <c r="S44" s="29">
        <v>0</v>
      </c>
      <c r="T44" s="29">
        <v>0</v>
      </c>
      <c r="U44" s="29">
        <v>0</v>
      </c>
      <c r="V44" s="29">
        <v>0</v>
      </c>
    </row>
    <row r="45" spans="1:22" x14ac:dyDescent="0.25">
      <c r="A45" s="29" t="s">
        <v>35</v>
      </c>
      <c r="B45" s="30" t="s">
        <v>40</v>
      </c>
      <c r="C45" s="29">
        <v>1</v>
      </c>
      <c r="D45" s="29">
        <v>1</v>
      </c>
      <c r="E45" s="29">
        <v>0</v>
      </c>
      <c r="F45" s="29">
        <v>0</v>
      </c>
      <c r="G45" s="29">
        <v>0</v>
      </c>
      <c r="H45" s="29">
        <v>0</v>
      </c>
      <c r="I45" s="29">
        <v>0</v>
      </c>
      <c r="J45" s="29">
        <v>0</v>
      </c>
      <c r="K45" s="29">
        <v>0</v>
      </c>
      <c r="L45" s="70">
        <v>0</v>
      </c>
      <c r="M45" s="71">
        <v>0</v>
      </c>
      <c r="N45" s="29">
        <v>0</v>
      </c>
      <c r="O45" s="29">
        <v>0</v>
      </c>
      <c r="P45" s="29">
        <v>0</v>
      </c>
      <c r="Q45" s="29">
        <v>0</v>
      </c>
      <c r="R45" s="29">
        <v>0</v>
      </c>
      <c r="S45" s="29">
        <v>0</v>
      </c>
      <c r="T45" s="29">
        <v>0</v>
      </c>
      <c r="U45" s="29">
        <v>0</v>
      </c>
      <c r="V45" s="29">
        <v>0</v>
      </c>
    </row>
    <row r="46" spans="1:22" x14ac:dyDescent="0.25">
      <c r="A46" s="29" t="s">
        <v>36</v>
      </c>
      <c r="B46" s="30" t="s">
        <v>40</v>
      </c>
      <c r="C46" s="29">
        <v>1</v>
      </c>
      <c r="D46" s="29">
        <v>1</v>
      </c>
      <c r="E46" s="29">
        <v>0</v>
      </c>
      <c r="F46" s="29">
        <v>0</v>
      </c>
      <c r="G46" s="29">
        <v>0</v>
      </c>
      <c r="H46" s="29">
        <v>0</v>
      </c>
      <c r="I46" s="29">
        <v>0</v>
      </c>
      <c r="J46" s="29">
        <v>0</v>
      </c>
      <c r="K46" s="29">
        <v>0</v>
      </c>
      <c r="L46" s="70">
        <v>0</v>
      </c>
      <c r="M46" s="71">
        <v>0</v>
      </c>
      <c r="N46" s="29">
        <v>0</v>
      </c>
      <c r="O46" s="29">
        <v>0</v>
      </c>
      <c r="P46" s="29">
        <v>0</v>
      </c>
      <c r="Q46" s="29">
        <v>0</v>
      </c>
      <c r="R46" s="29">
        <v>0</v>
      </c>
      <c r="S46" s="29">
        <v>0</v>
      </c>
      <c r="T46" s="29">
        <v>0</v>
      </c>
      <c r="U46" s="29">
        <v>0</v>
      </c>
      <c r="V46" s="29">
        <v>0</v>
      </c>
    </row>
    <row r="47" spans="1:22" x14ac:dyDescent="0.25">
      <c r="A47" s="29" t="s">
        <v>37</v>
      </c>
      <c r="B47" s="30" t="s">
        <v>40</v>
      </c>
      <c r="C47" s="29">
        <v>1</v>
      </c>
      <c r="D47" s="29">
        <v>1</v>
      </c>
      <c r="E47" s="29">
        <v>0</v>
      </c>
      <c r="F47" s="29">
        <v>0</v>
      </c>
      <c r="G47" s="29">
        <v>0</v>
      </c>
      <c r="H47" s="29">
        <v>0</v>
      </c>
      <c r="I47" s="29">
        <v>0</v>
      </c>
      <c r="J47" s="29">
        <v>0</v>
      </c>
      <c r="K47" s="29">
        <v>0</v>
      </c>
      <c r="L47" s="70">
        <v>0</v>
      </c>
      <c r="M47" s="71">
        <v>0</v>
      </c>
      <c r="N47" s="29">
        <v>0</v>
      </c>
      <c r="O47" s="29">
        <v>0</v>
      </c>
      <c r="P47" s="29">
        <v>0</v>
      </c>
      <c r="Q47" s="29">
        <v>0</v>
      </c>
      <c r="R47" s="29">
        <v>0</v>
      </c>
      <c r="S47" s="29">
        <v>0</v>
      </c>
      <c r="T47" s="29">
        <v>0</v>
      </c>
      <c r="U47" s="29">
        <v>0</v>
      </c>
      <c r="V47" s="29">
        <v>0</v>
      </c>
    </row>
    <row r="48" spans="1:22" x14ac:dyDescent="0.25">
      <c r="A48" s="29" t="s">
        <v>38</v>
      </c>
      <c r="B48" s="30" t="s">
        <v>41</v>
      </c>
      <c r="C48" s="29">
        <v>1</v>
      </c>
      <c r="D48" s="29">
        <v>0</v>
      </c>
      <c r="E48" s="29">
        <v>0</v>
      </c>
      <c r="F48" s="29">
        <v>0</v>
      </c>
      <c r="G48" s="29">
        <v>0</v>
      </c>
      <c r="H48" s="29">
        <v>0</v>
      </c>
      <c r="I48" s="29">
        <v>0</v>
      </c>
      <c r="J48" s="29">
        <v>0</v>
      </c>
      <c r="K48" s="29">
        <v>0</v>
      </c>
      <c r="L48" s="70">
        <v>0</v>
      </c>
      <c r="M48" s="71">
        <v>0</v>
      </c>
      <c r="N48" s="29">
        <v>0</v>
      </c>
      <c r="O48" s="29">
        <v>0</v>
      </c>
      <c r="P48" s="29">
        <v>0</v>
      </c>
      <c r="Q48" s="29">
        <v>0</v>
      </c>
      <c r="R48" s="29">
        <v>0</v>
      </c>
      <c r="S48" s="29">
        <v>0</v>
      </c>
      <c r="T48" s="29">
        <v>0</v>
      </c>
      <c r="U48" s="29">
        <v>0</v>
      </c>
      <c r="V48" s="29">
        <v>0</v>
      </c>
    </row>
    <row r="49" spans="1:22" x14ac:dyDescent="0.25">
      <c r="A49" s="88" t="s">
        <v>88</v>
      </c>
      <c r="B49" s="20" t="str">
        <f>New_missions!B14</f>
        <v>Human Space Flight</v>
      </c>
      <c r="C49" s="20" t="e">
        <f>New_missions!C14+New_missions!C26</f>
        <v>#REF!</v>
      </c>
      <c r="D49" s="20" t="e">
        <f>New_missions!D14+New_missions!D26</f>
        <v>#REF!</v>
      </c>
      <c r="E49" s="20" t="e">
        <f>New_missions!E14+New_missions!E26</f>
        <v>#REF!</v>
      </c>
      <c r="F49" s="20" t="e">
        <f>New_missions!F14+New_missions!F26</f>
        <v>#REF!</v>
      </c>
      <c r="G49" s="20" t="e">
        <f>New_missions!G14+New_missions!G26</f>
        <v>#REF!</v>
      </c>
      <c r="H49" s="20" t="e">
        <f>New_missions!H14+New_missions!H26</f>
        <v>#REF!</v>
      </c>
      <c r="I49" s="20" t="e">
        <f>New_missions!I14+New_missions!I26</f>
        <v>#REF!</v>
      </c>
      <c r="J49" s="20" t="e">
        <f>New_missions!J14+New_missions!J26</f>
        <v>#REF!</v>
      </c>
      <c r="K49" s="20" t="e">
        <f>New_missions!K14+New_missions!K26</f>
        <v>#REF!</v>
      </c>
      <c r="L49" s="20" t="e">
        <f>New_missions!L14+New_missions!L26</f>
        <v>#REF!</v>
      </c>
      <c r="M49" s="20" t="e">
        <f>New_missions!M14+New_missions!M26</f>
        <v>#REF!</v>
      </c>
      <c r="N49" s="20" t="e">
        <f>New_missions!N14+New_missions!N26</f>
        <v>#REF!</v>
      </c>
      <c r="O49" s="20" t="e">
        <f>New_missions!O14+New_missions!O26</f>
        <v>#REF!</v>
      </c>
      <c r="P49" s="20" t="e">
        <f>New_missions!P14+New_missions!P26</f>
        <v>#REF!</v>
      </c>
      <c r="Q49" s="20" t="e">
        <f>New_missions!Q14+New_missions!Q26</f>
        <v>#REF!</v>
      </c>
      <c r="R49" s="20" t="e">
        <f>New_missions!R14+New_missions!R26</f>
        <v>#REF!</v>
      </c>
      <c r="S49" s="20" t="e">
        <f>New_missions!S14+New_missions!S26</f>
        <v>#REF!</v>
      </c>
      <c r="T49" s="20" t="e">
        <f>New_missions!T14+New_missions!T26</f>
        <v>#REF!</v>
      </c>
      <c r="U49" s="20" t="e">
        <f>New_missions!U14+New_missions!U26</f>
        <v>#REF!</v>
      </c>
      <c r="V49" s="20" t="e">
        <f>New_missions!V14+New_missions!V26</f>
        <v>#REF!</v>
      </c>
    </row>
    <row r="50" spans="1:22" x14ac:dyDescent="0.25">
      <c r="A50" s="88" t="s">
        <v>88</v>
      </c>
      <c r="B50" s="20" t="str">
        <f>New_missions!B15</f>
        <v>Near Earth Robotic - LEO Science</v>
      </c>
      <c r="C50" s="20" t="e">
        <f>New_missions!C15+New_missions!C27</f>
        <v>#REF!</v>
      </c>
      <c r="D50" s="20" t="e">
        <f>New_missions!D15+New_missions!D27</f>
        <v>#REF!</v>
      </c>
      <c r="E50" s="20" t="e">
        <f>New_missions!E15+New_missions!E27</f>
        <v>#REF!</v>
      </c>
      <c r="F50" s="20" t="e">
        <f>New_missions!F15+New_missions!F27</f>
        <v>#REF!</v>
      </c>
      <c r="G50" s="20" t="e">
        <f>New_missions!G15+New_missions!G27</f>
        <v>#REF!</v>
      </c>
      <c r="H50" s="20" t="e">
        <f>New_missions!H15+New_missions!H27</f>
        <v>#REF!</v>
      </c>
      <c r="I50" s="20" t="e">
        <f>New_missions!I15+New_missions!I27</f>
        <v>#REF!</v>
      </c>
      <c r="J50" s="20" t="e">
        <f>New_missions!J15+New_missions!J27</f>
        <v>#REF!</v>
      </c>
      <c r="K50" s="20" t="e">
        <f>New_missions!K15+New_missions!K27</f>
        <v>#REF!</v>
      </c>
      <c r="L50" s="20" t="e">
        <f>New_missions!L15+New_missions!L27</f>
        <v>#REF!</v>
      </c>
      <c r="M50" s="20" t="e">
        <f>New_missions!M15+New_missions!M27</f>
        <v>#REF!</v>
      </c>
      <c r="N50" s="20" t="e">
        <f>New_missions!N15+New_missions!N27</f>
        <v>#REF!</v>
      </c>
      <c r="O50" s="20" t="e">
        <f>New_missions!O15+New_missions!O27</f>
        <v>#REF!</v>
      </c>
      <c r="P50" s="20" t="e">
        <f>New_missions!P15+New_missions!P27</f>
        <v>#REF!</v>
      </c>
      <c r="Q50" s="20" t="e">
        <f>New_missions!Q15+New_missions!Q27</f>
        <v>#REF!</v>
      </c>
      <c r="R50" s="20" t="e">
        <f>New_missions!R15+New_missions!R27</f>
        <v>#REF!</v>
      </c>
      <c r="S50" s="20" t="e">
        <f>New_missions!S15+New_missions!S27</f>
        <v>#REF!</v>
      </c>
      <c r="T50" s="20" t="e">
        <f>New_missions!T15+New_missions!T27</f>
        <v>#REF!</v>
      </c>
      <c r="U50" s="20" t="e">
        <f>New_missions!U15+New_missions!U27</f>
        <v>#REF!</v>
      </c>
      <c r="V50" s="20" t="e">
        <f>New_missions!V15+New_missions!V27</f>
        <v>#REF!</v>
      </c>
    </row>
    <row r="51" spans="1:22" x14ac:dyDescent="0.25">
      <c r="A51" s="88" t="s">
        <v>88</v>
      </c>
      <c r="B51" s="20" t="str">
        <f>New_missions!B16</f>
        <v>Near Earth Robotic - GEO and Near Earth</v>
      </c>
      <c r="C51" s="20" t="e">
        <f>New_missions!C16+New_missions!C28</f>
        <v>#REF!</v>
      </c>
      <c r="D51" s="20" t="e">
        <f>New_missions!D16+New_missions!D28</f>
        <v>#REF!</v>
      </c>
      <c r="E51" s="20" t="e">
        <f>New_missions!E16+New_missions!E28</f>
        <v>#REF!</v>
      </c>
      <c r="F51" s="20" t="e">
        <f>New_missions!F16+New_missions!F28</f>
        <v>#REF!</v>
      </c>
      <c r="G51" s="20" t="e">
        <f>New_missions!G16+New_missions!G28</f>
        <v>#REF!</v>
      </c>
      <c r="H51" s="20" t="e">
        <f>New_missions!H16+New_missions!H28</f>
        <v>#REF!</v>
      </c>
      <c r="I51" s="20" t="e">
        <f>New_missions!I16+New_missions!I28</f>
        <v>#REF!</v>
      </c>
      <c r="J51" s="20" t="e">
        <f>New_missions!J16+New_missions!J28</f>
        <v>#REF!</v>
      </c>
      <c r="K51" s="20" t="e">
        <f>New_missions!K16+New_missions!K28</f>
        <v>#REF!</v>
      </c>
      <c r="L51" s="20" t="e">
        <f>New_missions!L16+New_missions!L28</f>
        <v>#REF!</v>
      </c>
      <c r="M51" s="20" t="e">
        <f>New_missions!M16+New_missions!M28</f>
        <v>#REF!</v>
      </c>
      <c r="N51" s="20" t="e">
        <f>New_missions!N16+New_missions!N28</f>
        <v>#REF!</v>
      </c>
      <c r="O51" s="20" t="e">
        <f>New_missions!O16+New_missions!O28</f>
        <v>#REF!</v>
      </c>
      <c r="P51" s="20" t="e">
        <f>New_missions!P16+New_missions!P28</f>
        <v>#REF!</v>
      </c>
      <c r="Q51" s="20" t="e">
        <f>New_missions!Q16+New_missions!Q28</f>
        <v>#REF!</v>
      </c>
      <c r="R51" s="20" t="e">
        <f>New_missions!R16+New_missions!R28</f>
        <v>#REF!</v>
      </c>
      <c r="S51" s="20" t="e">
        <f>New_missions!S16+New_missions!S28</f>
        <v>#REF!</v>
      </c>
      <c r="T51" s="20" t="e">
        <f>New_missions!T16+New_missions!T28</f>
        <v>#REF!</v>
      </c>
      <c r="U51" s="20" t="e">
        <f>New_missions!U16+New_missions!U28</f>
        <v>#REF!</v>
      </c>
      <c r="V51" s="20" t="e">
        <f>New_missions!V16+New_missions!V28</f>
        <v>#REF!</v>
      </c>
    </row>
    <row r="52" spans="1:22" x14ac:dyDescent="0.25">
      <c r="A52" s="88" t="s">
        <v>88</v>
      </c>
      <c r="B52" s="20" t="str">
        <f>New_missions!B17</f>
        <v>Deep Space Robotic</v>
      </c>
      <c r="C52" s="20" t="e">
        <f>New_missions!C17+New_missions!C29</f>
        <v>#REF!</v>
      </c>
      <c r="D52" s="20" t="e">
        <f>New_missions!D17+New_missions!D29</f>
        <v>#REF!</v>
      </c>
      <c r="E52" s="20" t="e">
        <f>New_missions!E17+New_missions!E29</f>
        <v>#REF!</v>
      </c>
      <c r="F52" s="20" t="e">
        <f>New_missions!F17+New_missions!F29</f>
        <v>#REF!</v>
      </c>
      <c r="G52" s="20" t="e">
        <f>New_missions!G17+New_missions!G29</f>
        <v>#REF!</v>
      </c>
      <c r="H52" s="20" t="e">
        <f>New_missions!H17+New_missions!H29</f>
        <v>#REF!</v>
      </c>
      <c r="I52" s="20" t="e">
        <f>New_missions!I17+New_missions!I29</f>
        <v>#REF!</v>
      </c>
      <c r="J52" s="20" t="e">
        <f>New_missions!J17+New_missions!J29</f>
        <v>#REF!</v>
      </c>
      <c r="K52" s="20" t="e">
        <f>New_missions!K17+New_missions!K29</f>
        <v>#REF!</v>
      </c>
      <c r="L52" s="20" t="e">
        <f>New_missions!L17+New_missions!L29</f>
        <v>#REF!</v>
      </c>
      <c r="M52" s="20" t="e">
        <f>New_missions!M17+New_missions!M29</f>
        <v>#REF!</v>
      </c>
      <c r="N52" s="20" t="e">
        <f>New_missions!N17+New_missions!N29</f>
        <v>#REF!</v>
      </c>
      <c r="O52" s="20" t="e">
        <f>New_missions!O17+New_missions!O29</f>
        <v>#REF!</v>
      </c>
      <c r="P52" s="20" t="e">
        <f>New_missions!P17+New_missions!P29</f>
        <v>#REF!</v>
      </c>
      <c r="Q52" s="20" t="e">
        <f>New_missions!Q17+New_missions!Q29</f>
        <v>#REF!</v>
      </c>
      <c r="R52" s="20" t="e">
        <f>New_missions!R17+New_missions!R29</f>
        <v>#REF!</v>
      </c>
      <c r="S52" s="20" t="e">
        <f>New_missions!S17+New_missions!S29</f>
        <v>#REF!</v>
      </c>
      <c r="T52" s="20" t="e">
        <f>New_missions!T17+New_missions!T29</f>
        <v>#REF!</v>
      </c>
      <c r="U52" s="20" t="e">
        <f>New_missions!U17+New_missions!U29</f>
        <v>#REF!</v>
      </c>
      <c r="V52" s="20" t="e">
        <f>New_missions!V17+New_missions!V29</f>
        <v>#REF!</v>
      </c>
    </row>
    <row r="53" spans="1:22" x14ac:dyDescent="0.25">
      <c r="A53" s="88" t="s">
        <v>88</v>
      </c>
      <c r="B53" s="20" t="str">
        <f>New_missions!B18</f>
        <v>Near Earth Robotic - Low Latency &amp; Complex Needs</v>
      </c>
      <c r="C53" s="20" t="e">
        <f>New_missions!C18+New_missions!C30</f>
        <v>#REF!</v>
      </c>
      <c r="D53" s="20" t="e">
        <f>New_missions!D18+New_missions!D30</f>
        <v>#REF!</v>
      </c>
      <c r="E53" s="20" t="e">
        <f>New_missions!E18+New_missions!E30</f>
        <v>#REF!</v>
      </c>
      <c r="F53" s="20" t="e">
        <f>New_missions!F18+New_missions!F30</f>
        <v>#REF!</v>
      </c>
      <c r="G53" s="20" t="e">
        <f>New_missions!G18+New_missions!G30</f>
        <v>#REF!</v>
      </c>
      <c r="H53" s="20" t="e">
        <f>New_missions!H18+New_missions!H30</f>
        <v>#REF!</v>
      </c>
      <c r="I53" s="20" t="e">
        <f>New_missions!I18+New_missions!I30</f>
        <v>#REF!</v>
      </c>
      <c r="J53" s="20" t="e">
        <f>New_missions!J18+New_missions!J30</f>
        <v>#REF!</v>
      </c>
      <c r="K53" s="20" t="e">
        <f>New_missions!K18+New_missions!K30</f>
        <v>#REF!</v>
      </c>
      <c r="L53" s="20" t="e">
        <f>New_missions!L18+New_missions!L30</f>
        <v>#REF!</v>
      </c>
      <c r="M53" s="20" t="e">
        <f>New_missions!M18+New_missions!M30</f>
        <v>#REF!</v>
      </c>
      <c r="N53" s="20" t="e">
        <f>New_missions!N18+New_missions!N30</f>
        <v>#REF!</v>
      </c>
      <c r="O53" s="20" t="e">
        <f>New_missions!O18+New_missions!O30</f>
        <v>#REF!</v>
      </c>
      <c r="P53" s="20" t="e">
        <f>New_missions!P18+New_missions!P30</f>
        <v>#REF!</v>
      </c>
      <c r="Q53" s="20" t="e">
        <f>New_missions!Q18+New_missions!Q30</f>
        <v>#REF!</v>
      </c>
      <c r="R53" s="20" t="e">
        <f>New_missions!R18+New_missions!R30</f>
        <v>#REF!</v>
      </c>
      <c r="S53" s="20" t="e">
        <f>New_missions!S18+New_missions!S30</f>
        <v>#REF!</v>
      </c>
      <c r="T53" s="20" t="e">
        <f>New_missions!T18+New_missions!T30</f>
        <v>#REF!</v>
      </c>
      <c r="U53" s="20" t="e">
        <f>New_missions!U18+New_missions!U30</f>
        <v>#REF!</v>
      </c>
      <c r="V53" s="20" t="e">
        <f>New_missions!V18+New_missions!V30</f>
        <v>#REF!</v>
      </c>
    </row>
    <row r="54" spans="1:22" x14ac:dyDescent="0.25">
      <c r="A54" s="88" t="s">
        <v>88</v>
      </c>
      <c r="B54" s="20" t="str">
        <f>New_missions!B19</f>
        <v>Mission Operations</v>
      </c>
      <c r="C54" s="20" t="e">
        <f>New_missions!C19+New_missions!C31</f>
        <v>#REF!</v>
      </c>
      <c r="D54" s="20" t="e">
        <f>New_missions!D19+New_missions!D31</f>
        <v>#REF!</v>
      </c>
      <c r="E54" s="20" t="e">
        <f>New_missions!E19+New_missions!E31</f>
        <v>#REF!</v>
      </c>
      <c r="F54" s="20" t="e">
        <f>New_missions!F19+New_missions!F31</f>
        <v>#REF!</v>
      </c>
      <c r="G54" s="20" t="e">
        <f>New_missions!G19+New_missions!G31</f>
        <v>#REF!</v>
      </c>
      <c r="H54" s="20" t="e">
        <f>New_missions!H19+New_missions!H31</f>
        <v>#REF!</v>
      </c>
      <c r="I54" s="20" t="e">
        <f>New_missions!I19+New_missions!I31</f>
        <v>#REF!</v>
      </c>
      <c r="J54" s="20" t="e">
        <f>New_missions!J19+New_missions!J31</f>
        <v>#REF!</v>
      </c>
      <c r="K54" s="20" t="e">
        <f>New_missions!K19+New_missions!K31</f>
        <v>#REF!</v>
      </c>
      <c r="L54" s="20" t="e">
        <f>New_missions!L19+New_missions!L31</f>
        <v>#REF!</v>
      </c>
      <c r="M54" s="20" t="e">
        <f>New_missions!M19+New_missions!M31</f>
        <v>#REF!</v>
      </c>
      <c r="N54" s="20" t="e">
        <f>New_missions!N19+New_missions!N31</f>
        <v>#REF!</v>
      </c>
      <c r="O54" s="20" t="e">
        <f>New_missions!O19+New_missions!O31</f>
        <v>#REF!</v>
      </c>
      <c r="P54" s="20" t="e">
        <f>New_missions!P19+New_missions!P31</f>
        <v>#REF!</v>
      </c>
      <c r="Q54" s="20" t="e">
        <f>New_missions!Q19+New_missions!Q31</f>
        <v>#REF!</v>
      </c>
      <c r="R54" s="20" t="e">
        <f>New_missions!R19+New_missions!R31</f>
        <v>#REF!</v>
      </c>
      <c r="S54" s="20" t="e">
        <f>New_missions!S19+New_missions!S31</f>
        <v>#REF!</v>
      </c>
      <c r="T54" s="20" t="e">
        <f>New_missions!T19+New_missions!T31</f>
        <v>#REF!</v>
      </c>
      <c r="U54" s="20" t="e">
        <f>New_missions!U19+New_missions!U31</f>
        <v>#REF!</v>
      </c>
      <c r="V54" s="20" t="e">
        <f>New_missions!V19+New_missions!V31</f>
        <v>#REF!</v>
      </c>
    </row>
    <row r="55" spans="1:22" x14ac:dyDescent="0.25">
      <c r="A55" s="88" t="s">
        <v>88</v>
      </c>
      <c r="B55" s="20" t="str">
        <f>New_missions!B20</f>
        <v>Launch Events</v>
      </c>
      <c r="C55" s="20" t="e">
        <f>New_missions!C20+New_missions!C32</f>
        <v>#REF!</v>
      </c>
      <c r="D55" s="20" t="e">
        <f>New_missions!D20+New_missions!D32</f>
        <v>#REF!</v>
      </c>
      <c r="E55" s="20" t="e">
        <f>New_missions!E20+New_missions!E32</f>
        <v>#REF!</v>
      </c>
      <c r="F55" s="20" t="e">
        <f>New_missions!F20+New_missions!F32</f>
        <v>#REF!</v>
      </c>
      <c r="G55" s="20" t="e">
        <f>New_missions!G20+New_missions!G32</f>
        <v>#REF!</v>
      </c>
      <c r="H55" s="20" t="e">
        <f>New_missions!H20+New_missions!H32</f>
        <v>#REF!</v>
      </c>
      <c r="I55" s="20" t="e">
        <f>New_missions!I20+New_missions!I32</f>
        <v>#REF!</v>
      </c>
      <c r="J55" s="20" t="e">
        <f>New_missions!J20+New_missions!J32</f>
        <v>#REF!</v>
      </c>
      <c r="K55" s="20" t="e">
        <f>New_missions!K20+New_missions!K32</f>
        <v>#REF!</v>
      </c>
      <c r="L55" s="20" t="e">
        <f>New_missions!L20+New_missions!L32</f>
        <v>#REF!</v>
      </c>
      <c r="M55" s="20" t="e">
        <f>New_missions!M20+New_missions!M32</f>
        <v>#REF!</v>
      </c>
      <c r="N55" s="20" t="e">
        <f>New_missions!N20+New_missions!N32</f>
        <v>#REF!</v>
      </c>
      <c r="O55" s="20" t="e">
        <f>New_missions!O20+New_missions!O32</f>
        <v>#REF!</v>
      </c>
      <c r="P55" s="20" t="e">
        <f>New_missions!P20+New_missions!P32</f>
        <v>#REF!</v>
      </c>
      <c r="Q55" s="20" t="e">
        <f>New_missions!Q20+New_missions!Q32</f>
        <v>#REF!</v>
      </c>
      <c r="R55" s="20" t="e">
        <f>New_missions!R20+New_missions!R32</f>
        <v>#REF!</v>
      </c>
      <c r="S55" s="20" t="e">
        <f>New_missions!S20+New_missions!S32</f>
        <v>#REF!</v>
      </c>
      <c r="T55" s="20" t="e">
        <f>New_missions!T20+New_missions!T32</f>
        <v>#REF!</v>
      </c>
      <c r="U55" s="20" t="e">
        <f>New_missions!U20+New_missions!U32</f>
        <v>#REF!</v>
      </c>
      <c r="V55" s="20" t="e">
        <f>New_missions!V20+New_missions!V32</f>
        <v>#REF!</v>
      </c>
    </row>
    <row r="56" spans="1:22" x14ac:dyDescent="0.25">
      <c r="A56" s="88" t="s">
        <v>88</v>
      </c>
      <c r="B56" s="20" t="str">
        <f>New_missions!B21</f>
        <v>Terrestrial &amp; Aerial</v>
      </c>
      <c r="C56" s="20" t="e">
        <f>New_missions!C21+New_missions!C33</f>
        <v>#REF!</v>
      </c>
      <c r="D56" s="20" t="e">
        <f>New_missions!D21+New_missions!D33</f>
        <v>#REF!</v>
      </c>
      <c r="E56" s="20" t="e">
        <f>New_missions!E21+New_missions!E33</f>
        <v>#REF!</v>
      </c>
      <c r="F56" s="20" t="e">
        <f>New_missions!F21+New_missions!F33</f>
        <v>#REF!</v>
      </c>
      <c r="G56" s="20" t="e">
        <f>New_missions!G21+New_missions!G33</f>
        <v>#REF!</v>
      </c>
      <c r="H56" s="20" t="e">
        <f>New_missions!H21+New_missions!H33</f>
        <v>#REF!</v>
      </c>
      <c r="I56" s="20" t="e">
        <f>New_missions!I21+New_missions!I33</f>
        <v>#REF!</v>
      </c>
      <c r="J56" s="20" t="e">
        <f>New_missions!J21+New_missions!J33</f>
        <v>#REF!</v>
      </c>
      <c r="K56" s="20" t="e">
        <f>New_missions!K21+New_missions!K33</f>
        <v>#REF!</v>
      </c>
      <c r="L56" s="20" t="e">
        <f>New_missions!L21+New_missions!L33</f>
        <v>#REF!</v>
      </c>
      <c r="M56" s="20" t="e">
        <f>New_missions!M21+New_missions!M33</f>
        <v>#REF!</v>
      </c>
      <c r="N56" s="20" t="e">
        <f>New_missions!N21+New_missions!N33</f>
        <v>#REF!</v>
      </c>
      <c r="O56" s="20" t="e">
        <f>New_missions!O21+New_missions!O33</f>
        <v>#REF!</v>
      </c>
      <c r="P56" s="20" t="e">
        <f>New_missions!P21+New_missions!P33</f>
        <v>#REF!</v>
      </c>
      <c r="Q56" s="20" t="e">
        <f>New_missions!Q21+New_missions!Q33</f>
        <v>#REF!</v>
      </c>
      <c r="R56" s="20" t="e">
        <f>New_missions!R21+New_missions!R33</f>
        <v>#REF!</v>
      </c>
      <c r="S56" s="20" t="e">
        <f>New_missions!S21+New_missions!S33</f>
        <v>#REF!</v>
      </c>
      <c r="T56" s="20" t="e">
        <f>New_missions!T21+New_missions!T33</f>
        <v>#REF!</v>
      </c>
      <c r="U56" s="20" t="e">
        <f>New_missions!U21+New_missions!U33</f>
        <v>#REF!</v>
      </c>
      <c r="V56" s="20" t="e">
        <f>New_missions!V21+New_missions!V33</f>
        <v>#REF!</v>
      </c>
    </row>
    <row r="57" spans="1:22" x14ac:dyDescent="0.25">
      <c r="A57" s="82"/>
      <c r="B57" s="89"/>
    </row>
    <row r="58" spans="1:22" x14ac:dyDescent="0.25">
      <c r="A58" s="82"/>
      <c r="B58" s="89"/>
      <c r="C58" s="91" t="e">
        <f>SUM(C2:C56)</f>
        <v>#REF!</v>
      </c>
      <c r="D58" s="91" t="e">
        <f>SUM(D2:D56)</f>
        <v>#REF!</v>
      </c>
      <c r="E58" s="91" t="e">
        <f t="shared" ref="E58:V58" si="0">SUM(E2:E56)</f>
        <v>#REF!</v>
      </c>
      <c r="F58" s="91" t="e">
        <f t="shared" si="0"/>
        <v>#REF!</v>
      </c>
      <c r="G58" s="91" t="e">
        <f t="shared" si="0"/>
        <v>#REF!</v>
      </c>
      <c r="H58" s="91" t="e">
        <f t="shared" si="0"/>
        <v>#REF!</v>
      </c>
      <c r="I58" s="91" t="e">
        <f t="shared" si="0"/>
        <v>#REF!</v>
      </c>
      <c r="J58" s="91" t="e">
        <f t="shared" si="0"/>
        <v>#REF!</v>
      </c>
      <c r="K58" s="91" t="e">
        <f t="shared" si="0"/>
        <v>#REF!</v>
      </c>
      <c r="L58" s="92" t="e">
        <f t="shared" si="0"/>
        <v>#REF!</v>
      </c>
      <c r="M58" s="91" t="e">
        <f t="shared" si="0"/>
        <v>#REF!</v>
      </c>
      <c r="N58" s="91" t="e">
        <f t="shared" si="0"/>
        <v>#REF!</v>
      </c>
      <c r="O58" s="91" t="e">
        <f t="shared" si="0"/>
        <v>#REF!</v>
      </c>
      <c r="P58" s="91" t="e">
        <f t="shared" si="0"/>
        <v>#REF!</v>
      </c>
      <c r="Q58" s="91" t="e">
        <f t="shared" si="0"/>
        <v>#REF!</v>
      </c>
      <c r="R58" s="91" t="e">
        <f t="shared" si="0"/>
        <v>#REF!</v>
      </c>
      <c r="S58" s="91" t="e">
        <f t="shared" si="0"/>
        <v>#REF!</v>
      </c>
      <c r="T58" s="91" t="e">
        <f t="shared" si="0"/>
        <v>#REF!</v>
      </c>
      <c r="U58" s="91" t="e">
        <f t="shared" si="0"/>
        <v>#REF!</v>
      </c>
      <c r="V58" s="91" t="e">
        <f t="shared" si="0"/>
        <v>#REF!</v>
      </c>
    </row>
    <row r="59" spans="1:22" ht="14.4" thickBot="1" x14ac:dyDescent="0.3">
      <c r="B59" s="2" t="s">
        <v>7</v>
      </c>
    </row>
    <row r="60" spans="1:22" x14ac:dyDescent="0.25">
      <c r="B60" s="54" t="s">
        <v>82</v>
      </c>
      <c r="C60" s="55">
        <f>C1</f>
        <v>2021</v>
      </c>
      <c r="D60" s="55">
        <f t="shared" ref="D60:V60" si="1">D1</f>
        <v>2022</v>
      </c>
      <c r="E60" s="55">
        <f t="shared" si="1"/>
        <v>2023</v>
      </c>
      <c r="F60" s="55">
        <f t="shared" si="1"/>
        <v>2024</v>
      </c>
      <c r="G60" s="55">
        <f t="shared" si="1"/>
        <v>2025</v>
      </c>
      <c r="H60" s="55">
        <f t="shared" si="1"/>
        <v>2026</v>
      </c>
      <c r="I60" s="55">
        <f t="shared" si="1"/>
        <v>2027</v>
      </c>
      <c r="J60" s="55">
        <f t="shared" si="1"/>
        <v>2028</v>
      </c>
      <c r="K60" s="55">
        <f t="shared" si="1"/>
        <v>2029</v>
      </c>
      <c r="L60" s="72">
        <f t="shared" si="1"/>
        <v>2030</v>
      </c>
      <c r="M60" s="73">
        <f t="shared" si="1"/>
        <v>2031</v>
      </c>
      <c r="N60" s="55">
        <f t="shared" si="1"/>
        <v>2032</v>
      </c>
      <c r="O60" s="55">
        <f t="shared" si="1"/>
        <v>2033</v>
      </c>
      <c r="P60" s="55">
        <f t="shared" si="1"/>
        <v>2034</v>
      </c>
      <c r="Q60" s="55">
        <f t="shared" si="1"/>
        <v>2035</v>
      </c>
      <c r="R60" s="55">
        <f t="shared" si="1"/>
        <v>2036</v>
      </c>
      <c r="S60" s="55">
        <f t="shared" si="1"/>
        <v>2037</v>
      </c>
      <c r="T60" s="55">
        <f t="shared" si="1"/>
        <v>2038</v>
      </c>
      <c r="U60" s="55">
        <f t="shared" si="1"/>
        <v>2039</v>
      </c>
      <c r="V60" s="55">
        <f t="shared" si="1"/>
        <v>2040</v>
      </c>
    </row>
    <row r="61" spans="1:22" x14ac:dyDescent="0.25">
      <c r="B61" s="33" t="s">
        <v>43</v>
      </c>
      <c r="C61" s="34" t="e">
        <f t="shared" ref="C61:C68" si="2">SUMIF($B$2:$B$56,$B61,C$2:C$56)</f>
        <v>#REF!</v>
      </c>
      <c r="D61" s="34" t="e">
        <f t="shared" ref="D61:V68" si="3">SUMIF($B$2:$B$56,$B61,D$2:D$56)</f>
        <v>#REF!</v>
      </c>
      <c r="E61" s="34" t="e">
        <f t="shared" si="3"/>
        <v>#REF!</v>
      </c>
      <c r="F61" s="34" t="e">
        <f t="shared" si="3"/>
        <v>#REF!</v>
      </c>
      <c r="G61" s="34" t="e">
        <f t="shared" si="3"/>
        <v>#REF!</v>
      </c>
      <c r="H61" s="34" t="e">
        <f t="shared" si="3"/>
        <v>#REF!</v>
      </c>
      <c r="I61" s="34" t="e">
        <f t="shared" si="3"/>
        <v>#REF!</v>
      </c>
      <c r="J61" s="34" t="e">
        <f t="shared" si="3"/>
        <v>#REF!</v>
      </c>
      <c r="K61" s="34" t="e">
        <f>SUMIF($B$2:$B$56,$B61,K$2:K$56)</f>
        <v>#REF!</v>
      </c>
      <c r="L61" s="34" t="e">
        <f t="shared" si="3"/>
        <v>#REF!</v>
      </c>
      <c r="M61" s="34" t="e">
        <f t="shared" si="3"/>
        <v>#REF!</v>
      </c>
      <c r="N61" s="34" t="e">
        <f t="shared" si="3"/>
        <v>#REF!</v>
      </c>
      <c r="O61" s="34" t="e">
        <f t="shared" si="3"/>
        <v>#REF!</v>
      </c>
      <c r="P61" s="34" t="e">
        <f t="shared" si="3"/>
        <v>#REF!</v>
      </c>
      <c r="Q61" s="34" t="e">
        <f t="shared" si="3"/>
        <v>#REF!</v>
      </c>
      <c r="R61" s="34" t="e">
        <f t="shared" si="3"/>
        <v>#REF!</v>
      </c>
      <c r="S61" s="34" t="e">
        <f t="shared" si="3"/>
        <v>#REF!</v>
      </c>
      <c r="T61" s="34" t="e">
        <f t="shared" si="3"/>
        <v>#REF!</v>
      </c>
      <c r="U61" s="34" t="e">
        <f t="shared" si="3"/>
        <v>#REF!</v>
      </c>
      <c r="V61" s="34" t="e">
        <f t="shared" si="3"/>
        <v>#REF!</v>
      </c>
    </row>
    <row r="62" spans="1:22" x14ac:dyDescent="0.25">
      <c r="B62" s="33" t="s">
        <v>41</v>
      </c>
      <c r="C62" s="34" t="e">
        <f t="shared" si="2"/>
        <v>#REF!</v>
      </c>
      <c r="D62" s="34" t="e">
        <f t="shared" ref="D62:J62" si="4">SUMIF($B$2:$B$56,$B62,D$2:D$56)</f>
        <v>#REF!</v>
      </c>
      <c r="E62" s="34" t="e">
        <f t="shared" si="4"/>
        <v>#REF!</v>
      </c>
      <c r="F62" s="34" t="e">
        <f t="shared" si="4"/>
        <v>#REF!</v>
      </c>
      <c r="G62" s="34" t="e">
        <f t="shared" si="4"/>
        <v>#REF!</v>
      </c>
      <c r="H62" s="34" t="e">
        <f t="shared" si="4"/>
        <v>#REF!</v>
      </c>
      <c r="I62" s="34" t="e">
        <f t="shared" si="4"/>
        <v>#REF!</v>
      </c>
      <c r="J62" s="34" t="e">
        <f t="shared" si="4"/>
        <v>#REF!</v>
      </c>
      <c r="K62" s="34" t="e">
        <f>SUMIF($B$2:$B$56,$B62,K$2:K$56)</f>
        <v>#REF!</v>
      </c>
      <c r="L62" s="34" t="e">
        <f t="shared" ref="L62:R62" si="5">SUMIF($B$2:$B$56,$B62,L$2:L$56)</f>
        <v>#REF!</v>
      </c>
      <c r="M62" s="34" t="e">
        <f t="shared" si="5"/>
        <v>#REF!</v>
      </c>
      <c r="N62" s="34" t="e">
        <f t="shared" si="5"/>
        <v>#REF!</v>
      </c>
      <c r="O62" s="34" t="e">
        <f t="shared" si="5"/>
        <v>#REF!</v>
      </c>
      <c r="P62" s="34" t="e">
        <f t="shared" si="5"/>
        <v>#REF!</v>
      </c>
      <c r="Q62" s="34" t="e">
        <f t="shared" si="5"/>
        <v>#REF!</v>
      </c>
      <c r="R62" s="34" t="e">
        <f t="shared" si="5"/>
        <v>#REF!</v>
      </c>
      <c r="S62" s="34" t="e">
        <f t="shared" si="3"/>
        <v>#REF!</v>
      </c>
      <c r="T62" s="34" t="e">
        <f t="shared" si="3"/>
        <v>#REF!</v>
      </c>
      <c r="U62" s="34" t="e">
        <f t="shared" si="3"/>
        <v>#REF!</v>
      </c>
      <c r="V62" s="34" t="e">
        <f t="shared" si="3"/>
        <v>#REF!</v>
      </c>
    </row>
    <row r="63" spans="1:22" x14ac:dyDescent="0.25">
      <c r="B63" s="33" t="s">
        <v>40</v>
      </c>
      <c r="C63" s="34" t="e">
        <f t="shared" si="2"/>
        <v>#REF!</v>
      </c>
      <c r="D63" s="34" t="e">
        <f t="shared" si="3"/>
        <v>#REF!</v>
      </c>
      <c r="E63" s="34" t="e">
        <f t="shared" si="3"/>
        <v>#REF!</v>
      </c>
      <c r="F63" s="34" t="e">
        <f t="shared" si="3"/>
        <v>#REF!</v>
      </c>
      <c r="G63" s="34" t="e">
        <f t="shared" si="3"/>
        <v>#REF!</v>
      </c>
      <c r="H63" s="34" t="e">
        <f t="shared" si="3"/>
        <v>#REF!</v>
      </c>
      <c r="I63" s="34" t="e">
        <f t="shared" si="3"/>
        <v>#REF!</v>
      </c>
      <c r="J63" s="34" t="e">
        <f t="shared" si="3"/>
        <v>#REF!</v>
      </c>
      <c r="K63" s="34" t="e">
        <f t="shared" si="3"/>
        <v>#REF!</v>
      </c>
      <c r="L63" s="34" t="e">
        <f t="shared" si="3"/>
        <v>#REF!</v>
      </c>
      <c r="M63" s="34" t="e">
        <f t="shared" si="3"/>
        <v>#REF!</v>
      </c>
      <c r="N63" s="34" t="e">
        <f t="shared" si="3"/>
        <v>#REF!</v>
      </c>
      <c r="O63" s="34" t="e">
        <f t="shared" si="3"/>
        <v>#REF!</v>
      </c>
      <c r="P63" s="34" t="e">
        <f t="shared" si="3"/>
        <v>#REF!</v>
      </c>
      <c r="Q63" s="34" t="e">
        <f t="shared" si="3"/>
        <v>#REF!</v>
      </c>
      <c r="R63" s="34" t="e">
        <f t="shared" si="3"/>
        <v>#REF!</v>
      </c>
      <c r="S63" s="34" t="e">
        <f t="shared" si="3"/>
        <v>#REF!</v>
      </c>
      <c r="T63" s="34" t="e">
        <f t="shared" si="3"/>
        <v>#REF!</v>
      </c>
      <c r="U63" s="34" t="e">
        <f t="shared" si="3"/>
        <v>#REF!</v>
      </c>
      <c r="V63" s="34" t="e">
        <f t="shared" si="3"/>
        <v>#REF!</v>
      </c>
    </row>
    <row r="64" spans="1:22" x14ac:dyDescent="0.25">
      <c r="B64" s="33" t="s">
        <v>80</v>
      </c>
      <c r="C64" s="34" t="e">
        <f t="shared" si="2"/>
        <v>#REF!</v>
      </c>
      <c r="D64" s="34" t="e">
        <f t="shared" si="3"/>
        <v>#REF!</v>
      </c>
      <c r="E64" s="34" t="e">
        <f t="shared" si="3"/>
        <v>#REF!</v>
      </c>
      <c r="F64" s="34" t="e">
        <f t="shared" si="3"/>
        <v>#REF!</v>
      </c>
      <c r="G64" s="34" t="e">
        <f t="shared" si="3"/>
        <v>#REF!</v>
      </c>
      <c r="H64" s="34" t="e">
        <f t="shared" si="3"/>
        <v>#REF!</v>
      </c>
      <c r="I64" s="34" t="e">
        <f t="shared" si="3"/>
        <v>#REF!</v>
      </c>
      <c r="J64" s="34" t="e">
        <f t="shared" si="3"/>
        <v>#REF!</v>
      </c>
      <c r="K64" s="34" t="e">
        <f t="shared" si="3"/>
        <v>#REF!</v>
      </c>
      <c r="L64" s="34" t="e">
        <f t="shared" si="3"/>
        <v>#REF!</v>
      </c>
      <c r="M64" s="34" t="e">
        <f t="shared" si="3"/>
        <v>#REF!</v>
      </c>
      <c r="N64" s="34" t="e">
        <f t="shared" si="3"/>
        <v>#REF!</v>
      </c>
      <c r="O64" s="34" t="e">
        <f t="shared" si="3"/>
        <v>#REF!</v>
      </c>
      <c r="P64" s="34" t="e">
        <f t="shared" si="3"/>
        <v>#REF!</v>
      </c>
      <c r="Q64" s="34" t="e">
        <f t="shared" si="3"/>
        <v>#REF!</v>
      </c>
      <c r="R64" s="34" t="e">
        <f t="shared" si="3"/>
        <v>#REF!</v>
      </c>
      <c r="S64" s="34" t="e">
        <f t="shared" si="3"/>
        <v>#REF!</v>
      </c>
      <c r="T64" s="34" t="e">
        <f t="shared" si="3"/>
        <v>#REF!</v>
      </c>
      <c r="U64" s="34" t="e">
        <f t="shared" si="3"/>
        <v>#REF!</v>
      </c>
      <c r="V64" s="34" t="e">
        <f t="shared" si="3"/>
        <v>#REF!</v>
      </c>
    </row>
    <row r="65" spans="1:22" x14ac:dyDescent="0.25">
      <c r="B65" s="33" t="s">
        <v>44</v>
      </c>
      <c r="C65" s="34" t="e">
        <f t="shared" si="2"/>
        <v>#REF!</v>
      </c>
      <c r="D65" s="34" t="e">
        <f t="shared" si="3"/>
        <v>#REF!</v>
      </c>
      <c r="E65" s="34" t="e">
        <f t="shared" si="3"/>
        <v>#REF!</v>
      </c>
      <c r="F65" s="34" t="e">
        <f t="shared" si="3"/>
        <v>#REF!</v>
      </c>
      <c r="G65" s="34" t="e">
        <f t="shared" si="3"/>
        <v>#REF!</v>
      </c>
      <c r="H65" s="34" t="e">
        <f t="shared" si="3"/>
        <v>#REF!</v>
      </c>
      <c r="I65" s="34" t="e">
        <f t="shared" si="3"/>
        <v>#REF!</v>
      </c>
      <c r="J65" s="34" t="e">
        <f t="shared" si="3"/>
        <v>#REF!</v>
      </c>
      <c r="K65" s="34" t="e">
        <f t="shared" si="3"/>
        <v>#REF!</v>
      </c>
      <c r="L65" s="34" t="e">
        <f t="shared" si="3"/>
        <v>#REF!</v>
      </c>
      <c r="M65" s="34" t="e">
        <f t="shared" si="3"/>
        <v>#REF!</v>
      </c>
      <c r="N65" s="34" t="e">
        <f t="shared" si="3"/>
        <v>#REF!</v>
      </c>
      <c r="O65" s="34" t="e">
        <f t="shared" si="3"/>
        <v>#REF!</v>
      </c>
      <c r="P65" s="34" t="e">
        <f t="shared" si="3"/>
        <v>#REF!</v>
      </c>
      <c r="Q65" s="34" t="e">
        <f t="shared" si="3"/>
        <v>#REF!</v>
      </c>
      <c r="R65" s="34" t="e">
        <f t="shared" si="3"/>
        <v>#REF!</v>
      </c>
      <c r="S65" s="34" t="e">
        <f t="shared" si="3"/>
        <v>#REF!</v>
      </c>
      <c r="T65" s="34" t="e">
        <f t="shared" si="3"/>
        <v>#REF!</v>
      </c>
      <c r="U65" s="34" t="e">
        <f t="shared" si="3"/>
        <v>#REF!</v>
      </c>
      <c r="V65" s="34" t="e">
        <f t="shared" si="3"/>
        <v>#REF!</v>
      </c>
    </row>
    <row r="66" spans="1:22" x14ac:dyDescent="0.25">
      <c r="B66" s="33" t="s">
        <v>81</v>
      </c>
      <c r="C66" s="34" t="e">
        <f t="shared" si="2"/>
        <v>#REF!</v>
      </c>
      <c r="D66" s="34" t="e">
        <f t="shared" si="3"/>
        <v>#REF!</v>
      </c>
      <c r="E66" s="34" t="e">
        <f t="shared" si="3"/>
        <v>#REF!</v>
      </c>
      <c r="F66" s="34" t="e">
        <f t="shared" si="3"/>
        <v>#REF!</v>
      </c>
      <c r="G66" s="34" t="e">
        <f t="shared" si="3"/>
        <v>#REF!</v>
      </c>
      <c r="H66" s="34" t="e">
        <f t="shared" si="3"/>
        <v>#REF!</v>
      </c>
      <c r="I66" s="34" t="e">
        <f t="shared" si="3"/>
        <v>#REF!</v>
      </c>
      <c r="J66" s="34" t="e">
        <f t="shared" si="3"/>
        <v>#REF!</v>
      </c>
      <c r="K66" s="34" t="e">
        <f t="shared" si="3"/>
        <v>#REF!</v>
      </c>
      <c r="L66" s="34" t="e">
        <f t="shared" si="3"/>
        <v>#REF!</v>
      </c>
      <c r="M66" s="34" t="e">
        <f t="shared" si="3"/>
        <v>#REF!</v>
      </c>
      <c r="N66" s="34" t="e">
        <f t="shared" si="3"/>
        <v>#REF!</v>
      </c>
      <c r="O66" s="34" t="e">
        <f t="shared" si="3"/>
        <v>#REF!</v>
      </c>
      <c r="P66" s="34" t="e">
        <f t="shared" si="3"/>
        <v>#REF!</v>
      </c>
      <c r="Q66" s="34" t="e">
        <f t="shared" si="3"/>
        <v>#REF!</v>
      </c>
      <c r="R66" s="34" t="e">
        <f t="shared" si="3"/>
        <v>#REF!</v>
      </c>
      <c r="S66" s="34" t="e">
        <f t="shared" si="3"/>
        <v>#REF!</v>
      </c>
      <c r="T66" s="34" t="e">
        <f t="shared" si="3"/>
        <v>#REF!</v>
      </c>
      <c r="U66" s="34" t="e">
        <f t="shared" si="3"/>
        <v>#REF!</v>
      </c>
      <c r="V66" s="34" t="e">
        <f t="shared" si="3"/>
        <v>#REF!</v>
      </c>
    </row>
    <row r="67" spans="1:22" x14ac:dyDescent="0.25">
      <c r="B67" s="33" t="s">
        <v>42</v>
      </c>
      <c r="C67" s="34" t="e">
        <f t="shared" si="2"/>
        <v>#REF!</v>
      </c>
      <c r="D67" s="34" t="e">
        <f t="shared" si="3"/>
        <v>#REF!</v>
      </c>
      <c r="E67" s="34" t="e">
        <f t="shared" si="3"/>
        <v>#REF!</v>
      </c>
      <c r="F67" s="34" t="e">
        <f t="shared" si="3"/>
        <v>#REF!</v>
      </c>
      <c r="G67" s="34" t="e">
        <f t="shared" si="3"/>
        <v>#REF!</v>
      </c>
      <c r="H67" s="34" t="e">
        <f t="shared" si="3"/>
        <v>#REF!</v>
      </c>
      <c r="I67" s="34" t="e">
        <f t="shared" si="3"/>
        <v>#REF!</v>
      </c>
      <c r="J67" s="34" t="e">
        <f t="shared" si="3"/>
        <v>#REF!</v>
      </c>
      <c r="K67" s="34" t="e">
        <f t="shared" si="3"/>
        <v>#REF!</v>
      </c>
      <c r="L67" s="34" t="e">
        <f t="shared" si="3"/>
        <v>#REF!</v>
      </c>
      <c r="M67" s="34" t="e">
        <f t="shared" si="3"/>
        <v>#REF!</v>
      </c>
      <c r="N67" s="34" t="e">
        <f t="shared" si="3"/>
        <v>#REF!</v>
      </c>
      <c r="O67" s="34" t="e">
        <f t="shared" si="3"/>
        <v>#REF!</v>
      </c>
      <c r="P67" s="34" t="e">
        <f t="shared" si="3"/>
        <v>#REF!</v>
      </c>
      <c r="Q67" s="34" t="e">
        <f t="shared" si="3"/>
        <v>#REF!</v>
      </c>
      <c r="R67" s="34" t="e">
        <f t="shared" si="3"/>
        <v>#REF!</v>
      </c>
      <c r="S67" s="34" t="e">
        <f t="shared" si="3"/>
        <v>#REF!</v>
      </c>
      <c r="T67" s="34" t="e">
        <f t="shared" si="3"/>
        <v>#REF!</v>
      </c>
      <c r="U67" s="34" t="e">
        <f t="shared" si="3"/>
        <v>#REF!</v>
      </c>
      <c r="V67" s="34" t="e">
        <f t="shared" si="3"/>
        <v>#REF!</v>
      </c>
    </row>
    <row r="68" spans="1:22" ht="14.4" thickBot="1" x14ac:dyDescent="0.3">
      <c r="B68" s="39" t="s">
        <v>45</v>
      </c>
      <c r="C68" s="34" t="e">
        <f t="shared" si="2"/>
        <v>#REF!</v>
      </c>
      <c r="D68" s="34" t="e">
        <f t="shared" si="3"/>
        <v>#REF!</v>
      </c>
      <c r="E68" s="34" t="e">
        <f t="shared" si="3"/>
        <v>#REF!</v>
      </c>
      <c r="F68" s="34" t="e">
        <f t="shared" si="3"/>
        <v>#REF!</v>
      </c>
      <c r="G68" s="34" t="e">
        <f t="shared" si="3"/>
        <v>#REF!</v>
      </c>
      <c r="H68" s="34" t="e">
        <f t="shared" si="3"/>
        <v>#REF!</v>
      </c>
      <c r="I68" s="34" t="e">
        <f t="shared" si="3"/>
        <v>#REF!</v>
      </c>
      <c r="J68" s="34" t="e">
        <f t="shared" si="3"/>
        <v>#REF!</v>
      </c>
      <c r="K68" s="34" t="e">
        <f t="shared" si="3"/>
        <v>#REF!</v>
      </c>
      <c r="L68" s="34" t="e">
        <f t="shared" si="3"/>
        <v>#REF!</v>
      </c>
      <c r="M68" s="34" t="e">
        <f t="shared" si="3"/>
        <v>#REF!</v>
      </c>
      <c r="N68" s="34" t="e">
        <f t="shared" si="3"/>
        <v>#REF!</v>
      </c>
      <c r="O68" s="34" t="e">
        <f t="shared" si="3"/>
        <v>#REF!</v>
      </c>
      <c r="P68" s="34" t="e">
        <f t="shared" si="3"/>
        <v>#REF!</v>
      </c>
      <c r="Q68" s="34" t="e">
        <f t="shared" si="3"/>
        <v>#REF!</v>
      </c>
      <c r="R68" s="34" t="e">
        <f t="shared" si="3"/>
        <v>#REF!</v>
      </c>
      <c r="S68" s="34" t="e">
        <f t="shared" si="3"/>
        <v>#REF!</v>
      </c>
      <c r="T68" s="34" t="e">
        <f t="shared" si="3"/>
        <v>#REF!</v>
      </c>
      <c r="U68" s="34" t="e">
        <f t="shared" si="3"/>
        <v>#REF!</v>
      </c>
      <c r="V68" s="34" t="e">
        <f t="shared" si="3"/>
        <v>#REF!</v>
      </c>
    </row>
    <row r="70" spans="1:22" x14ac:dyDescent="0.25">
      <c r="C70" s="93" t="e">
        <f>SUM(C61:C68)</f>
        <v>#REF!</v>
      </c>
      <c r="D70" s="93" t="e">
        <f t="shared" ref="D70:V70" si="6">SUM(D61:D68)</f>
        <v>#REF!</v>
      </c>
      <c r="E70" s="93" t="e">
        <f t="shared" si="6"/>
        <v>#REF!</v>
      </c>
      <c r="F70" s="93" t="e">
        <f t="shared" si="6"/>
        <v>#REF!</v>
      </c>
      <c r="G70" s="93" t="e">
        <f t="shared" si="6"/>
        <v>#REF!</v>
      </c>
      <c r="H70" s="93" t="e">
        <f t="shared" si="6"/>
        <v>#REF!</v>
      </c>
      <c r="I70" s="93" t="e">
        <f t="shared" si="6"/>
        <v>#REF!</v>
      </c>
      <c r="J70" s="93" t="e">
        <f t="shared" si="6"/>
        <v>#REF!</v>
      </c>
      <c r="K70" s="93" t="e">
        <f t="shared" si="6"/>
        <v>#REF!</v>
      </c>
      <c r="L70" s="94" t="e">
        <f t="shared" si="6"/>
        <v>#REF!</v>
      </c>
      <c r="M70" s="93" t="e">
        <f t="shared" si="6"/>
        <v>#REF!</v>
      </c>
      <c r="N70" s="93" t="e">
        <f t="shared" si="6"/>
        <v>#REF!</v>
      </c>
      <c r="O70" s="93" t="e">
        <f t="shared" si="6"/>
        <v>#REF!</v>
      </c>
      <c r="P70" s="93" t="e">
        <f t="shared" si="6"/>
        <v>#REF!</v>
      </c>
      <c r="Q70" s="93" t="e">
        <f t="shared" si="6"/>
        <v>#REF!</v>
      </c>
      <c r="R70" s="93" t="e">
        <f t="shared" si="6"/>
        <v>#REF!</v>
      </c>
      <c r="S70" s="93" t="e">
        <f t="shared" si="6"/>
        <v>#REF!</v>
      </c>
      <c r="T70" s="93" t="e">
        <f t="shared" si="6"/>
        <v>#REF!</v>
      </c>
      <c r="U70" s="93" t="e">
        <f t="shared" si="6"/>
        <v>#REF!</v>
      </c>
      <c r="V70" s="93" t="e">
        <f t="shared" si="6"/>
        <v>#REF!</v>
      </c>
    </row>
    <row r="71" spans="1:22" x14ac:dyDescent="0.25">
      <c r="C71" s="93"/>
      <c r="D71" s="93"/>
      <c r="E71" s="93"/>
      <c r="F71" s="93"/>
      <c r="G71" s="93"/>
      <c r="H71" s="93"/>
      <c r="I71" s="93"/>
      <c r="J71" s="93"/>
      <c r="K71" s="93"/>
      <c r="L71" s="94"/>
      <c r="M71" s="93"/>
      <c r="N71" s="93"/>
      <c r="O71" s="93"/>
      <c r="P71" s="93"/>
      <c r="Q71" s="93"/>
      <c r="R71" s="93"/>
      <c r="S71" s="93"/>
      <c r="T71" s="93"/>
      <c r="U71" s="93"/>
      <c r="V71" s="93"/>
    </row>
    <row r="72" spans="1:22" ht="14.4" thickBot="1" x14ac:dyDescent="0.3">
      <c r="B72" s="2" t="s">
        <v>7</v>
      </c>
    </row>
    <row r="73" spans="1:22" x14ac:dyDescent="0.25">
      <c r="B73" s="54" t="s">
        <v>82</v>
      </c>
      <c r="C73" s="74">
        <v>2021</v>
      </c>
      <c r="D73" s="74">
        <v>2022</v>
      </c>
      <c r="E73" s="74">
        <v>2023</v>
      </c>
      <c r="F73" s="74">
        <v>2024</v>
      </c>
      <c r="G73" s="74">
        <v>2025</v>
      </c>
      <c r="H73" s="74">
        <v>2026</v>
      </c>
      <c r="I73" s="74">
        <v>2027</v>
      </c>
      <c r="J73" s="74">
        <v>2028</v>
      </c>
      <c r="K73" s="74">
        <v>2029</v>
      </c>
      <c r="L73" s="74">
        <v>2030</v>
      </c>
      <c r="M73" s="74">
        <v>2031</v>
      </c>
      <c r="N73" s="74">
        <v>2032</v>
      </c>
      <c r="O73" s="74">
        <v>2033</v>
      </c>
      <c r="P73" s="74">
        <v>2034</v>
      </c>
      <c r="Q73" s="74">
        <v>2035</v>
      </c>
      <c r="R73" s="74">
        <v>2036</v>
      </c>
      <c r="S73" s="74">
        <v>2037</v>
      </c>
      <c r="T73" s="74">
        <v>2038</v>
      </c>
      <c r="U73" s="74">
        <v>2039</v>
      </c>
      <c r="V73" s="74">
        <v>2040</v>
      </c>
    </row>
    <row r="74" spans="1:22" x14ac:dyDescent="0.25">
      <c r="B74" s="33" t="s">
        <v>93</v>
      </c>
      <c r="C74" s="88">
        <f>SUM(C2:C48)</f>
        <v>42</v>
      </c>
      <c r="D74" s="88">
        <f t="shared" ref="D74:V74" si="7">SUM(D2:D48)</f>
        <v>38</v>
      </c>
      <c r="E74" s="88">
        <f t="shared" si="7"/>
        <v>32</v>
      </c>
      <c r="F74" s="88">
        <f t="shared" si="7"/>
        <v>29</v>
      </c>
      <c r="G74" s="88">
        <f t="shared" si="7"/>
        <v>24</v>
      </c>
      <c r="H74" s="88">
        <f t="shared" si="7"/>
        <v>20</v>
      </c>
      <c r="I74" s="88">
        <f t="shared" si="7"/>
        <v>17</v>
      </c>
      <c r="J74" s="88">
        <f t="shared" si="7"/>
        <v>15</v>
      </c>
      <c r="K74" s="88">
        <f t="shared" si="7"/>
        <v>15</v>
      </c>
      <c r="L74" s="88">
        <f t="shared" si="7"/>
        <v>15</v>
      </c>
      <c r="M74" s="88">
        <f t="shared" si="7"/>
        <v>13</v>
      </c>
      <c r="N74" s="88">
        <f t="shared" si="7"/>
        <v>13</v>
      </c>
      <c r="O74" s="88">
        <f t="shared" si="7"/>
        <v>13</v>
      </c>
      <c r="P74" s="88">
        <f t="shared" si="7"/>
        <v>13</v>
      </c>
      <c r="Q74" s="88">
        <f t="shared" si="7"/>
        <v>13</v>
      </c>
      <c r="R74" s="88">
        <f t="shared" si="7"/>
        <v>13</v>
      </c>
      <c r="S74" s="88">
        <f t="shared" si="7"/>
        <v>13</v>
      </c>
      <c r="T74" s="88">
        <f t="shared" si="7"/>
        <v>13</v>
      </c>
      <c r="U74" s="88">
        <f t="shared" si="7"/>
        <v>13</v>
      </c>
      <c r="V74" s="88">
        <f t="shared" si="7"/>
        <v>13</v>
      </c>
    </row>
    <row r="75" spans="1:22" x14ac:dyDescent="0.25">
      <c r="B75" s="33" t="s">
        <v>94</v>
      </c>
      <c r="C75" s="95" t="e">
        <f>SUM(C49:C56)</f>
        <v>#REF!</v>
      </c>
      <c r="D75" s="95" t="e">
        <f t="shared" ref="D75:V75" si="8">SUM(D49:D56)</f>
        <v>#REF!</v>
      </c>
      <c r="E75" s="95" t="e">
        <f t="shared" si="8"/>
        <v>#REF!</v>
      </c>
      <c r="F75" s="95" t="e">
        <f t="shared" si="8"/>
        <v>#REF!</v>
      </c>
      <c r="G75" s="95" t="e">
        <f t="shared" si="8"/>
        <v>#REF!</v>
      </c>
      <c r="H75" s="95" t="e">
        <f t="shared" si="8"/>
        <v>#REF!</v>
      </c>
      <c r="I75" s="95" t="e">
        <f t="shared" si="8"/>
        <v>#REF!</v>
      </c>
      <c r="J75" s="95" t="e">
        <f t="shared" si="8"/>
        <v>#REF!</v>
      </c>
      <c r="K75" s="95" t="e">
        <f t="shared" si="8"/>
        <v>#REF!</v>
      </c>
      <c r="L75" s="95" t="e">
        <f t="shared" si="8"/>
        <v>#REF!</v>
      </c>
      <c r="M75" s="95" t="e">
        <f t="shared" si="8"/>
        <v>#REF!</v>
      </c>
      <c r="N75" s="95" t="e">
        <f t="shared" si="8"/>
        <v>#REF!</v>
      </c>
      <c r="O75" s="95" t="e">
        <f t="shared" si="8"/>
        <v>#REF!</v>
      </c>
      <c r="P75" s="95" t="e">
        <f t="shared" si="8"/>
        <v>#REF!</v>
      </c>
      <c r="Q75" s="95" t="e">
        <f t="shared" si="8"/>
        <v>#REF!</v>
      </c>
      <c r="R75" s="95" t="e">
        <f t="shared" si="8"/>
        <v>#REF!</v>
      </c>
      <c r="S75" s="95" t="e">
        <f t="shared" si="8"/>
        <v>#REF!</v>
      </c>
      <c r="T75" s="95" t="e">
        <f t="shared" si="8"/>
        <v>#REF!</v>
      </c>
      <c r="U75" s="95" t="e">
        <f t="shared" si="8"/>
        <v>#REF!</v>
      </c>
      <c r="V75" s="95" t="e">
        <f t="shared" si="8"/>
        <v>#REF!</v>
      </c>
    </row>
    <row r="79" spans="1:22" x14ac:dyDescent="0.25">
      <c r="A79" s="27" t="s">
        <v>16</v>
      </c>
      <c r="B79" s="27" t="s">
        <v>121</v>
      </c>
      <c r="C79" s="27">
        <v>2021</v>
      </c>
      <c r="D79" s="28">
        <v>2022</v>
      </c>
      <c r="E79" s="27">
        <v>2023</v>
      </c>
      <c r="F79" s="28">
        <v>2024</v>
      </c>
      <c r="G79" s="27">
        <v>2025</v>
      </c>
      <c r="H79" s="28">
        <v>2026</v>
      </c>
      <c r="I79" s="27">
        <v>2027</v>
      </c>
      <c r="J79" s="28">
        <v>2028</v>
      </c>
      <c r="K79" s="27">
        <v>2029</v>
      </c>
      <c r="L79" s="64">
        <v>2030</v>
      </c>
      <c r="M79" s="65">
        <v>2031</v>
      </c>
      <c r="N79" s="28">
        <v>2032</v>
      </c>
      <c r="O79" s="27">
        <v>2033</v>
      </c>
      <c r="P79" s="28">
        <v>2034</v>
      </c>
      <c r="Q79" s="27">
        <v>2035</v>
      </c>
      <c r="R79" s="28">
        <v>2036</v>
      </c>
      <c r="S79" s="27">
        <v>2037</v>
      </c>
      <c r="T79" s="28">
        <v>2038</v>
      </c>
      <c r="U79" s="27">
        <v>2039</v>
      </c>
      <c r="V79" s="28">
        <v>2040</v>
      </c>
    </row>
    <row r="80" spans="1:22" x14ac:dyDescent="0.25">
      <c r="A80" s="29" t="s">
        <v>47</v>
      </c>
      <c r="B80" s="30" t="s">
        <v>41</v>
      </c>
      <c r="C80" s="38">
        <f>C2</f>
        <v>1</v>
      </c>
      <c r="D80" s="38">
        <f t="shared" ref="D80:V80" si="9">D2</f>
        <v>1</v>
      </c>
      <c r="E80" s="38">
        <f t="shared" si="9"/>
        <v>0</v>
      </c>
      <c r="F80" s="38">
        <f t="shared" si="9"/>
        <v>0</v>
      </c>
      <c r="G80" s="38">
        <f t="shared" si="9"/>
        <v>0</v>
      </c>
      <c r="H80" s="38">
        <f t="shared" si="9"/>
        <v>0</v>
      </c>
      <c r="I80" s="38">
        <f t="shared" si="9"/>
        <v>0</v>
      </c>
      <c r="J80" s="38">
        <f t="shared" si="9"/>
        <v>0</v>
      </c>
      <c r="K80" s="38">
        <f t="shared" si="9"/>
        <v>0</v>
      </c>
      <c r="L80" s="38">
        <f t="shared" si="9"/>
        <v>0</v>
      </c>
      <c r="M80" s="38">
        <f t="shared" si="9"/>
        <v>0</v>
      </c>
      <c r="N80" s="38">
        <f t="shared" si="9"/>
        <v>0</v>
      </c>
      <c r="O80" s="38">
        <f t="shared" si="9"/>
        <v>0</v>
      </c>
      <c r="P80" s="38">
        <f t="shared" si="9"/>
        <v>0</v>
      </c>
      <c r="Q80" s="38">
        <f t="shared" si="9"/>
        <v>0</v>
      </c>
      <c r="R80" s="38">
        <f t="shared" si="9"/>
        <v>0</v>
      </c>
      <c r="S80" s="38">
        <f t="shared" si="9"/>
        <v>0</v>
      </c>
      <c r="T80" s="38">
        <f t="shared" si="9"/>
        <v>0</v>
      </c>
      <c r="U80" s="38">
        <f t="shared" si="9"/>
        <v>0</v>
      </c>
      <c r="V80" s="38">
        <f t="shared" si="9"/>
        <v>0</v>
      </c>
    </row>
    <row r="81" spans="1:22" x14ac:dyDescent="0.25">
      <c r="A81" s="29" t="s">
        <v>17</v>
      </c>
      <c r="B81" s="30" t="s">
        <v>41</v>
      </c>
      <c r="C81" s="38">
        <f t="shared" ref="C81:V81" si="10">C3</f>
        <v>1</v>
      </c>
      <c r="D81" s="38">
        <f t="shared" si="10"/>
        <v>1</v>
      </c>
      <c r="E81" s="38">
        <f t="shared" si="10"/>
        <v>1</v>
      </c>
      <c r="F81" s="38">
        <f t="shared" si="10"/>
        <v>1</v>
      </c>
      <c r="G81" s="38">
        <f t="shared" si="10"/>
        <v>0</v>
      </c>
      <c r="H81" s="38">
        <f t="shared" si="10"/>
        <v>0</v>
      </c>
      <c r="I81" s="38">
        <f t="shared" si="10"/>
        <v>0</v>
      </c>
      <c r="J81" s="38">
        <f t="shared" si="10"/>
        <v>0</v>
      </c>
      <c r="K81" s="38">
        <f t="shared" si="10"/>
        <v>0</v>
      </c>
      <c r="L81" s="38">
        <f t="shared" si="10"/>
        <v>0</v>
      </c>
      <c r="M81" s="38">
        <f t="shared" si="10"/>
        <v>0</v>
      </c>
      <c r="N81" s="38">
        <f t="shared" si="10"/>
        <v>0</v>
      </c>
      <c r="O81" s="38">
        <f t="shared" si="10"/>
        <v>0</v>
      </c>
      <c r="P81" s="38">
        <f t="shared" si="10"/>
        <v>0</v>
      </c>
      <c r="Q81" s="38">
        <f t="shared" si="10"/>
        <v>0</v>
      </c>
      <c r="R81" s="38">
        <f t="shared" si="10"/>
        <v>0</v>
      </c>
      <c r="S81" s="38">
        <f t="shared" si="10"/>
        <v>0</v>
      </c>
      <c r="T81" s="38">
        <f t="shared" si="10"/>
        <v>0</v>
      </c>
      <c r="U81" s="38">
        <f t="shared" si="10"/>
        <v>0</v>
      </c>
      <c r="V81" s="38">
        <f t="shared" si="10"/>
        <v>0</v>
      </c>
    </row>
    <row r="82" spans="1:22" x14ac:dyDescent="0.25">
      <c r="A82" s="29" t="s">
        <v>49</v>
      </c>
      <c r="B82" s="30" t="s">
        <v>41</v>
      </c>
      <c r="C82" s="38">
        <f t="shared" ref="C82:V82" si="11">C4</f>
        <v>1</v>
      </c>
      <c r="D82" s="38">
        <f t="shared" si="11"/>
        <v>1</v>
      </c>
      <c r="E82" s="38">
        <f t="shared" si="11"/>
        <v>1</v>
      </c>
      <c r="F82" s="38">
        <f t="shared" si="11"/>
        <v>1</v>
      </c>
      <c r="G82" s="38">
        <f t="shared" si="11"/>
        <v>1</v>
      </c>
      <c r="H82" s="38">
        <f t="shared" si="11"/>
        <v>1</v>
      </c>
      <c r="I82" s="38">
        <f t="shared" si="11"/>
        <v>0</v>
      </c>
      <c r="J82" s="38">
        <f t="shared" si="11"/>
        <v>0</v>
      </c>
      <c r="K82" s="38">
        <f t="shared" si="11"/>
        <v>0</v>
      </c>
      <c r="L82" s="38">
        <f t="shared" si="11"/>
        <v>0</v>
      </c>
      <c r="M82" s="38">
        <f t="shared" si="11"/>
        <v>0</v>
      </c>
      <c r="N82" s="38">
        <f t="shared" si="11"/>
        <v>0</v>
      </c>
      <c r="O82" s="38">
        <f t="shared" si="11"/>
        <v>0</v>
      </c>
      <c r="P82" s="38">
        <f t="shared" si="11"/>
        <v>0</v>
      </c>
      <c r="Q82" s="38">
        <f t="shared" si="11"/>
        <v>0</v>
      </c>
      <c r="R82" s="38">
        <f t="shared" si="11"/>
        <v>0</v>
      </c>
      <c r="S82" s="38">
        <f t="shared" si="11"/>
        <v>0</v>
      </c>
      <c r="T82" s="38">
        <f t="shared" si="11"/>
        <v>0</v>
      </c>
      <c r="U82" s="38">
        <f t="shared" si="11"/>
        <v>0</v>
      </c>
      <c r="V82" s="38">
        <f t="shared" si="11"/>
        <v>0</v>
      </c>
    </row>
    <row r="83" spans="1:22" x14ac:dyDescent="0.25">
      <c r="A83" s="29" t="s">
        <v>50</v>
      </c>
      <c r="B83" s="36" t="s">
        <v>43</v>
      </c>
      <c r="C83" s="38">
        <f t="shared" ref="C83:V83" si="12">C5</f>
        <v>1</v>
      </c>
      <c r="D83" s="38">
        <f t="shared" si="12"/>
        <v>1</v>
      </c>
      <c r="E83" s="38">
        <f t="shared" si="12"/>
        <v>1</v>
      </c>
      <c r="F83" s="38">
        <f t="shared" si="12"/>
        <v>1</v>
      </c>
      <c r="G83" s="38">
        <f t="shared" si="12"/>
        <v>1</v>
      </c>
      <c r="H83" s="38">
        <f t="shared" si="12"/>
        <v>1</v>
      </c>
      <c r="I83" s="38">
        <f t="shared" si="12"/>
        <v>1</v>
      </c>
      <c r="J83" s="38">
        <f t="shared" si="12"/>
        <v>1</v>
      </c>
      <c r="K83" s="38">
        <f t="shared" si="12"/>
        <v>1</v>
      </c>
      <c r="L83" s="38">
        <f t="shared" si="12"/>
        <v>1</v>
      </c>
      <c r="M83" s="38">
        <f t="shared" si="12"/>
        <v>1</v>
      </c>
      <c r="N83" s="38">
        <f t="shared" si="12"/>
        <v>1</v>
      </c>
      <c r="O83" s="38">
        <f t="shared" si="12"/>
        <v>1</v>
      </c>
      <c r="P83" s="38">
        <f t="shared" si="12"/>
        <v>1</v>
      </c>
      <c r="Q83" s="38">
        <f t="shared" si="12"/>
        <v>1</v>
      </c>
      <c r="R83" s="38">
        <f t="shared" si="12"/>
        <v>1</v>
      </c>
      <c r="S83" s="38">
        <f t="shared" si="12"/>
        <v>1</v>
      </c>
      <c r="T83" s="38">
        <f t="shared" si="12"/>
        <v>1</v>
      </c>
      <c r="U83" s="38">
        <f t="shared" si="12"/>
        <v>1</v>
      </c>
      <c r="V83" s="38">
        <f t="shared" si="12"/>
        <v>1</v>
      </c>
    </row>
    <row r="84" spans="1:22" x14ac:dyDescent="0.25">
      <c r="A84" s="29" t="s">
        <v>51</v>
      </c>
      <c r="B84" s="37" t="s">
        <v>42</v>
      </c>
      <c r="C84" s="38">
        <f t="shared" ref="C84:V84" si="13">C6</f>
        <v>1</v>
      </c>
      <c r="D84" s="38">
        <f t="shared" si="13"/>
        <v>1</v>
      </c>
      <c r="E84" s="38">
        <f t="shared" si="13"/>
        <v>1</v>
      </c>
      <c r="F84" s="38">
        <f t="shared" si="13"/>
        <v>1</v>
      </c>
      <c r="G84" s="38">
        <f t="shared" si="13"/>
        <v>0</v>
      </c>
      <c r="H84" s="38">
        <f t="shared" si="13"/>
        <v>0</v>
      </c>
      <c r="I84" s="38">
        <f t="shared" si="13"/>
        <v>0</v>
      </c>
      <c r="J84" s="38">
        <f t="shared" si="13"/>
        <v>0</v>
      </c>
      <c r="K84" s="38">
        <f t="shared" si="13"/>
        <v>0</v>
      </c>
      <c r="L84" s="38">
        <f t="shared" si="13"/>
        <v>0</v>
      </c>
      <c r="M84" s="38">
        <f t="shared" si="13"/>
        <v>0</v>
      </c>
      <c r="N84" s="38">
        <f t="shared" si="13"/>
        <v>0</v>
      </c>
      <c r="O84" s="38">
        <f t="shared" si="13"/>
        <v>0</v>
      </c>
      <c r="P84" s="38">
        <f t="shared" si="13"/>
        <v>0</v>
      </c>
      <c r="Q84" s="38">
        <f t="shared" si="13"/>
        <v>0</v>
      </c>
      <c r="R84" s="38">
        <f t="shared" si="13"/>
        <v>0</v>
      </c>
      <c r="S84" s="38">
        <f t="shared" si="13"/>
        <v>0</v>
      </c>
      <c r="T84" s="38">
        <f t="shared" si="13"/>
        <v>0</v>
      </c>
      <c r="U84" s="38">
        <f t="shared" si="13"/>
        <v>0</v>
      </c>
      <c r="V84" s="38">
        <f t="shared" si="13"/>
        <v>0</v>
      </c>
    </row>
    <row r="85" spans="1:22" x14ac:dyDescent="0.25">
      <c r="A85" s="29" t="s">
        <v>52</v>
      </c>
      <c r="B85" s="30" t="s">
        <v>41</v>
      </c>
      <c r="C85" s="38">
        <f t="shared" ref="C85:V85" si="14">C7</f>
        <v>1</v>
      </c>
      <c r="D85" s="38">
        <f t="shared" si="14"/>
        <v>1</v>
      </c>
      <c r="E85" s="38">
        <f t="shared" si="14"/>
        <v>1</v>
      </c>
      <c r="F85" s="38">
        <f t="shared" si="14"/>
        <v>1</v>
      </c>
      <c r="G85" s="38">
        <f t="shared" si="14"/>
        <v>1</v>
      </c>
      <c r="H85" s="38">
        <f t="shared" si="14"/>
        <v>1</v>
      </c>
      <c r="I85" s="38">
        <f t="shared" si="14"/>
        <v>0</v>
      </c>
      <c r="J85" s="38">
        <f t="shared" si="14"/>
        <v>0</v>
      </c>
      <c r="K85" s="38">
        <f t="shared" si="14"/>
        <v>0</v>
      </c>
      <c r="L85" s="38">
        <f t="shared" si="14"/>
        <v>0</v>
      </c>
      <c r="M85" s="38">
        <f t="shared" si="14"/>
        <v>0</v>
      </c>
      <c r="N85" s="38">
        <f t="shared" si="14"/>
        <v>0</v>
      </c>
      <c r="O85" s="38">
        <f t="shared" si="14"/>
        <v>0</v>
      </c>
      <c r="P85" s="38">
        <f t="shared" si="14"/>
        <v>0</v>
      </c>
      <c r="Q85" s="38">
        <f t="shared" si="14"/>
        <v>0</v>
      </c>
      <c r="R85" s="38">
        <f t="shared" si="14"/>
        <v>0</v>
      </c>
      <c r="S85" s="38">
        <f t="shared" si="14"/>
        <v>0</v>
      </c>
      <c r="T85" s="38">
        <f t="shared" si="14"/>
        <v>0</v>
      </c>
      <c r="U85" s="38">
        <f t="shared" si="14"/>
        <v>0</v>
      </c>
      <c r="V85" s="38">
        <f t="shared" si="14"/>
        <v>0</v>
      </c>
    </row>
    <row r="86" spans="1:22" x14ac:dyDescent="0.25">
      <c r="A86" s="29" t="s">
        <v>18</v>
      </c>
      <c r="B86" s="38" t="s">
        <v>48</v>
      </c>
      <c r="C86" s="38">
        <f t="shared" ref="C86:V86" si="15">C8</f>
        <v>1</v>
      </c>
      <c r="D86" s="38">
        <f t="shared" si="15"/>
        <v>1</v>
      </c>
      <c r="E86" s="38">
        <f t="shared" si="15"/>
        <v>1</v>
      </c>
      <c r="F86" s="38">
        <f t="shared" si="15"/>
        <v>1</v>
      </c>
      <c r="G86" s="38">
        <f t="shared" si="15"/>
        <v>1</v>
      </c>
      <c r="H86" s="38">
        <f t="shared" si="15"/>
        <v>1</v>
      </c>
      <c r="I86" s="38">
        <f t="shared" si="15"/>
        <v>1</v>
      </c>
      <c r="J86" s="38">
        <f t="shared" si="15"/>
        <v>1</v>
      </c>
      <c r="K86" s="38">
        <f t="shared" si="15"/>
        <v>1</v>
      </c>
      <c r="L86" s="38">
        <f t="shared" si="15"/>
        <v>1</v>
      </c>
      <c r="M86" s="38">
        <f t="shared" si="15"/>
        <v>1</v>
      </c>
      <c r="N86" s="38">
        <f t="shared" si="15"/>
        <v>1</v>
      </c>
      <c r="O86" s="38">
        <f t="shared" si="15"/>
        <v>1</v>
      </c>
      <c r="P86" s="38">
        <f t="shared" si="15"/>
        <v>1</v>
      </c>
      <c r="Q86" s="38">
        <f t="shared" si="15"/>
        <v>1</v>
      </c>
      <c r="R86" s="38">
        <f t="shared" si="15"/>
        <v>1</v>
      </c>
      <c r="S86" s="38">
        <f t="shared" si="15"/>
        <v>1</v>
      </c>
      <c r="T86" s="38">
        <f t="shared" si="15"/>
        <v>1</v>
      </c>
      <c r="U86" s="38">
        <f t="shared" si="15"/>
        <v>1</v>
      </c>
      <c r="V86" s="38">
        <f t="shared" si="15"/>
        <v>1</v>
      </c>
    </row>
    <row r="87" spans="1:22" x14ac:dyDescent="0.25">
      <c r="A87" s="29" t="s">
        <v>53</v>
      </c>
      <c r="B87" s="30" t="s">
        <v>41</v>
      </c>
      <c r="C87" s="38">
        <f t="shared" ref="C87:V87" si="16">C9</f>
        <v>0</v>
      </c>
      <c r="D87" s="38">
        <f t="shared" si="16"/>
        <v>0</v>
      </c>
      <c r="E87" s="38">
        <f t="shared" si="16"/>
        <v>0</v>
      </c>
      <c r="F87" s="38">
        <f t="shared" si="16"/>
        <v>0</v>
      </c>
      <c r="G87" s="38">
        <f t="shared" si="16"/>
        <v>0</v>
      </c>
      <c r="H87" s="38">
        <f t="shared" si="16"/>
        <v>0</v>
      </c>
      <c r="I87" s="38">
        <f t="shared" si="16"/>
        <v>0</v>
      </c>
      <c r="J87" s="38">
        <f t="shared" si="16"/>
        <v>0</v>
      </c>
      <c r="K87" s="38">
        <f t="shared" si="16"/>
        <v>0</v>
      </c>
      <c r="L87" s="38">
        <f t="shared" si="16"/>
        <v>0</v>
      </c>
      <c r="M87" s="38">
        <f t="shared" si="16"/>
        <v>0</v>
      </c>
      <c r="N87" s="38">
        <f t="shared" si="16"/>
        <v>0</v>
      </c>
      <c r="O87" s="38">
        <f t="shared" si="16"/>
        <v>0</v>
      </c>
      <c r="P87" s="38">
        <f t="shared" si="16"/>
        <v>0</v>
      </c>
      <c r="Q87" s="38">
        <f t="shared" si="16"/>
        <v>0</v>
      </c>
      <c r="R87" s="38">
        <f t="shared" si="16"/>
        <v>0</v>
      </c>
      <c r="S87" s="38">
        <f t="shared" si="16"/>
        <v>0</v>
      </c>
      <c r="T87" s="38">
        <f t="shared" si="16"/>
        <v>0</v>
      </c>
      <c r="U87" s="38">
        <f t="shared" si="16"/>
        <v>0</v>
      </c>
      <c r="V87" s="38">
        <f t="shared" si="16"/>
        <v>0</v>
      </c>
    </row>
    <row r="88" spans="1:22" x14ac:dyDescent="0.25">
      <c r="A88" s="29" t="s">
        <v>54</v>
      </c>
      <c r="B88" s="37" t="s">
        <v>43</v>
      </c>
      <c r="C88" s="38">
        <f t="shared" ref="C88:V88" si="17">C10</f>
        <v>1</v>
      </c>
      <c r="D88" s="38">
        <f t="shared" si="17"/>
        <v>1</v>
      </c>
      <c r="E88" s="38">
        <f t="shared" si="17"/>
        <v>1</v>
      </c>
      <c r="F88" s="38">
        <f t="shared" si="17"/>
        <v>1</v>
      </c>
      <c r="G88" s="38">
        <f t="shared" si="17"/>
        <v>1</v>
      </c>
      <c r="H88" s="38">
        <f t="shared" si="17"/>
        <v>1</v>
      </c>
      <c r="I88" s="38">
        <f t="shared" si="17"/>
        <v>1</v>
      </c>
      <c r="J88" s="38">
        <f t="shared" si="17"/>
        <v>1</v>
      </c>
      <c r="K88" s="38">
        <f t="shared" si="17"/>
        <v>1</v>
      </c>
      <c r="L88" s="38">
        <f t="shared" si="17"/>
        <v>1</v>
      </c>
      <c r="M88" s="38">
        <f t="shared" si="17"/>
        <v>0</v>
      </c>
      <c r="N88" s="38">
        <f t="shared" si="17"/>
        <v>0</v>
      </c>
      <c r="O88" s="38">
        <f t="shared" si="17"/>
        <v>0</v>
      </c>
      <c r="P88" s="38">
        <f t="shared" si="17"/>
        <v>0</v>
      </c>
      <c r="Q88" s="38">
        <f t="shared" si="17"/>
        <v>0</v>
      </c>
      <c r="R88" s="38">
        <f t="shared" si="17"/>
        <v>0</v>
      </c>
      <c r="S88" s="38">
        <f t="shared" si="17"/>
        <v>0</v>
      </c>
      <c r="T88" s="38">
        <f t="shared" si="17"/>
        <v>0</v>
      </c>
      <c r="U88" s="38">
        <f t="shared" si="17"/>
        <v>0</v>
      </c>
      <c r="V88" s="38">
        <f t="shared" si="17"/>
        <v>0</v>
      </c>
    </row>
    <row r="89" spans="1:22" x14ac:dyDescent="0.25">
      <c r="A89" s="29" t="s">
        <v>55</v>
      </c>
      <c r="B89" s="37" t="s">
        <v>42</v>
      </c>
      <c r="C89" s="38">
        <f t="shared" ref="C89:V89" si="18">C11</f>
        <v>1</v>
      </c>
      <c r="D89" s="38">
        <f t="shared" si="18"/>
        <v>1</v>
      </c>
      <c r="E89" s="38">
        <f t="shared" si="18"/>
        <v>1</v>
      </c>
      <c r="F89" s="38">
        <f t="shared" si="18"/>
        <v>1</v>
      </c>
      <c r="G89" s="38">
        <f t="shared" si="18"/>
        <v>1</v>
      </c>
      <c r="H89" s="38">
        <f t="shared" si="18"/>
        <v>1</v>
      </c>
      <c r="I89" s="38">
        <f t="shared" si="18"/>
        <v>1</v>
      </c>
      <c r="J89" s="38">
        <f t="shared" si="18"/>
        <v>1</v>
      </c>
      <c r="K89" s="38">
        <f t="shared" si="18"/>
        <v>1</v>
      </c>
      <c r="L89" s="38">
        <f t="shared" si="18"/>
        <v>1</v>
      </c>
      <c r="M89" s="38">
        <f t="shared" si="18"/>
        <v>1</v>
      </c>
      <c r="N89" s="38">
        <f t="shared" si="18"/>
        <v>1</v>
      </c>
      <c r="O89" s="38">
        <f t="shared" si="18"/>
        <v>1</v>
      </c>
      <c r="P89" s="38">
        <f t="shared" si="18"/>
        <v>1</v>
      </c>
      <c r="Q89" s="38">
        <f t="shared" si="18"/>
        <v>1</v>
      </c>
      <c r="R89" s="38">
        <f t="shared" si="18"/>
        <v>1</v>
      </c>
      <c r="S89" s="38">
        <f t="shared" si="18"/>
        <v>1</v>
      </c>
      <c r="T89" s="38">
        <f t="shared" si="18"/>
        <v>1</v>
      </c>
      <c r="U89" s="38">
        <f t="shared" si="18"/>
        <v>1</v>
      </c>
      <c r="V89" s="38">
        <f t="shared" si="18"/>
        <v>1</v>
      </c>
    </row>
    <row r="90" spans="1:22" x14ac:dyDescent="0.25">
      <c r="A90" s="29" t="s">
        <v>56</v>
      </c>
      <c r="B90" s="36" t="s">
        <v>43</v>
      </c>
      <c r="C90" s="38">
        <f t="shared" ref="C90:V90" si="19">C12</f>
        <v>1</v>
      </c>
      <c r="D90" s="38">
        <f t="shared" si="19"/>
        <v>1</v>
      </c>
      <c r="E90" s="38">
        <f t="shared" si="19"/>
        <v>1</v>
      </c>
      <c r="F90" s="38">
        <f t="shared" si="19"/>
        <v>1</v>
      </c>
      <c r="G90" s="38">
        <f t="shared" si="19"/>
        <v>1</v>
      </c>
      <c r="H90" s="38">
        <f t="shared" si="19"/>
        <v>1</v>
      </c>
      <c r="I90" s="38">
        <f t="shared" si="19"/>
        <v>1</v>
      </c>
      <c r="J90" s="38">
        <f t="shared" si="19"/>
        <v>1</v>
      </c>
      <c r="K90" s="38">
        <f t="shared" si="19"/>
        <v>1</v>
      </c>
      <c r="L90" s="38">
        <f t="shared" si="19"/>
        <v>1</v>
      </c>
      <c r="M90" s="38">
        <f t="shared" si="19"/>
        <v>1</v>
      </c>
      <c r="N90" s="38">
        <f t="shared" si="19"/>
        <v>1</v>
      </c>
      <c r="O90" s="38">
        <f t="shared" si="19"/>
        <v>1</v>
      </c>
      <c r="P90" s="38">
        <f t="shared" si="19"/>
        <v>1</v>
      </c>
      <c r="Q90" s="38">
        <f t="shared" si="19"/>
        <v>1</v>
      </c>
      <c r="R90" s="38">
        <f t="shared" si="19"/>
        <v>1</v>
      </c>
      <c r="S90" s="38">
        <f t="shared" si="19"/>
        <v>1</v>
      </c>
      <c r="T90" s="38">
        <f t="shared" si="19"/>
        <v>1</v>
      </c>
      <c r="U90" s="38">
        <f t="shared" si="19"/>
        <v>1</v>
      </c>
      <c r="V90" s="38">
        <f t="shared" si="19"/>
        <v>1</v>
      </c>
    </row>
    <row r="91" spans="1:22" x14ac:dyDescent="0.25">
      <c r="A91" s="29" t="s">
        <v>66</v>
      </c>
      <c r="B91" s="38" t="s">
        <v>48</v>
      </c>
      <c r="C91" s="38">
        <f t="shared" ref="C91:V91" si="20">C13</f>
        <v>1</v>
      </c>
      <c r="D91" s="38">
        <f t="shared" si="20"/>
        <v>1</v>
      </c>
      <c r="E91" s="38">
        <f t="shared" si="20"/>
        <v>1</v>
      </c>
      <c r="F91" s="38">
        <f t="shared" si="20"/>
        <v>0</v>
      </c>
      <c r="G91" s="38">
        <f t="shared" si="20"/>
        <v>0</v>
      </c>
      <c r="H91" s="38">
        <f t="shared" si="20"/>
        <v>0</v>
      </c>
      <c r="I91" s="38">
        <f t="shared" si="20"/>
        <v>0</v>
      </c>
      <c r="J91" s="38">
        <f t="shared" si="20"/>
        <v>0</v>
      </c>
      <c r="K91" s="38">
        <f t="shared" si="20"/>
        <v>0</v>
      </c>
      <c r="L91" s="38">
        <f t="shared" si="20"/>
        <v>0</v>
      </c>
      <c r="M91" s="38">
        <f t="shared" si="20"/>
        <v>0</v>
      </c>
      <c r="N91" s="38">
        <f t="shared" si="20"/>
        <v>0</v>
      </c>
      <c r="O91" s="38">
        <f t="shared" si="20"/>
        <v>0</v>
      </c>
      <c r="P91" s="38">
        <f t="shared" si="20"/>
        <v>0</v>
      </c>
      <c r="Q91" s="38">
        <f t="shared" si="20"/>
        <v>0</v>
      </c>
      <c r="R91" s="38">
        <f t="shared" si="20"/>
        <v>0</v>
      </c>
      <c r="S91" s="38">
        <f t="shared" si="20"/>
        <v>0</v>
      </c>
      <c r="T91" s="38">
        <f t="shared" si="20"/>
        <v>0</v>
      </c>
      <c r="U91" s="38">
        <f t="shared" si="20"/>
        <v>0</v>
      </c>
      <c r="V91" s="38">
        <f t="shared" si="20"/>
        <v>0</v>
      </c>
    </row>
    <row r="92" spans="1:22" x14ac:dyDescent="0.25">
      <c r="A92" s="29" t="s">
        <v>19</v>
      </c>
      <c r="B92" s="30" t="s">
        <v>41</v>
      </c>
      <c r="C92" s="38">
        <f t="shared" ref="C92:V92" si="21">C14</f>
        <v>1</v>
      </c>
      <c r="D92" s="38">
        <f t="shared" si="21"/>
        <v>1</v>
      </c>
      <c r="E92" s="38">
        <f t="shared" si="21"/>
        <v>1</v>
      </c>
      <c r="F92" s="38">
        <f t="shared" si="21"/>
        <v>1</v>
      </c>
      <c r="G92" s="38">
        <f t="shared" si="21"/>
        <v>1</v>
      </c>
      <c r="H92" s="38">
        <f t="shared" si="21"/>
        <v>1</v>
      </c>
      <c r="I92" s="38">
        <f t="shared" si="21"/>
        <v>1</v>
      </c>
      <c r="J92" s="38">
        <f t="shared" si="21"/>
        <v>0</v>
      </c>
      <c r="K92" s="38">
        <f t="shared" si="21"/>
        <v>0</v>
      </c>
      <c r="L92" s="38">
        <f t="shared" si="21"/>
        <v>0</v>
      </c>
      <c r="M92" s="38">
        <f t="shared" si="21"/>
        <v>0</v>
      </c>
      <c r="N92" s="38">
        <f t="shared" si="21"/>
        <v>0</v>
      </c>
      <c r="O92" s="38">
        <f t="shared" si="21"/>
        <v>0</v>
      </c>
      <c r="P92" s="38">
        <f t="shared" si="21"/>
        <v>0</v>
      </c>
      <c r="Q92" s="38">
        <f t="shared" si="21"/>
        <v>0</v>
      </c>
      <c r="R92" s="38">
        <f t="shared" si="21"/>
        <v>0</v>
      </c>
      <c r="S92" s="38">
        <f t="shared" si="21"/>
        <v>0</v>
      </c>
      <c r="T92" s="38">
        <f t="shared" si="21"/>
        <v>0</v>
      </c>
      <c r="U92" s="38">
        <f t="shared" si="21"/>
        <v>0</v>
      </c>
      <c r="V92" s="38">
        <f t="shared" si="21"/>
        <v>0</v>
      </c>
    </row>
    <row r="93" spans="1:22" x14ac:dyDescent="0.25">
      <c r="A93" s="41" t="s">
        <v>67</v>
      </c>
      <c r="B93" s="30" t="s">
        <v>40</v>
      </c>
      <c r="C93" s="38">
        <f t="shared" ref="C93:V93" si="22">C15</f>
        <v>1</v>
      </c>
      <c r="D93" s="38">
        <f t="shared" si="22"/>
        <v>1</v>
      </c>
      <c r="E93" s="38">
        <f t="shared" si="22"/>
        <v>1</v>
      </c>
      <c r="F93" s="38">
        <f t="shared" si="22"/>
        <v>1</v>
      </c>
      <c r="G93" s="38">
        <f t="shared" si="22"/>
        <v>1</v>
      </c>
      <c r="H93" s="38">
        <f t="shared" si="22"/>
        <v>1</v>
      </c>
      <c r="I93" s="38">
        <f t="shared" si="22"/>
        <v>1</v>
      </c>
      <c r="J93" s="38">
        <f t="shared" si="22"/>
        <v>1</v>
      </c>
      <c r="K93" s="38">
        <f t="shared" si="22"/>
        <v>1</v>
      </c>
      <c r="L93" s="38">
        <f t="shared" si="22"/>
        <v>1</v>
      </c>
      <c r="M93" s="38">
        <f t="shared" si="22"/>
        <v>1</v>
      </c>
      <c r="N93" s="38">
        <f t="shared" si="22"/>
        <v>1</v>
      </c>
      <c r="O93" s="38">
        <f t="shared" si="22"/>
        <v>1</v>
      </c>
      <c r="P93" s="38">
        <f t="shared" si="22"/>
        <v>1</v>
      </c>
      <c r="Q93" s="38">
        <f t="shared" si="22"/>
        <v>1</v>
      </c>
      <c r="R93" s="38">
        <f t="shared" si="22"/>
        <v>1</v>
      </c>
      <c r="S93" s="38">
        <f t="shared" si="22"/>
        <v>1</v>
      </c>
      <c r="T93" s="38">
        <f t="shared" si="22"/>
        <v>1</v>
      </c>
      <c r="U93" s="38">
        <f t="shared" si="22"/>
        <v>1</v>
      </c>
      <c r="V93" s="38">
        <f t="shared" si="22"/>
        <v>1</v>
      </c>
    </row>
    <row r="94" spans="1:22" x14ac:dyDescent="0.25">
      <c r="A94" s="41" t="s">
        <v>68</v>
      </c>
      <c r="B94" s="30" t="s">
        <v>40</v>
      </c>
      <c r="C94" s="38">
        <f t="shared" ref="C94:V94" si="23">C16</f>
        <v>1</v>
      </c>
      <c r="D94" s="38">
        <f t="shared" si="23"/>
        <v>1</v>
      </c>
      <c r="E94" s="38">
        <f t="shared" si="23"/>
        <v>1</v>
      </c>
      <c r="F94" s="38">
        <f t="shared" si="23"/>
        <v>1</v>
      </c>
      <c r="G94" s="38">
        <f t="shared" si="23"/>
        <v>1</v>
      </c>
      <c r="H94" s="38">
        <f t="shared" si="23"/>
        <v>1</v>
      </c>
      <c r="I94" s="38">
        <f t="shared" si="23"/>
        <v>1</v>
      </c>
      <c r="J94" s="38">
        <f t="shared" si="23"/>
        <v>1</v>
      </c>
      <c r="K94" s="38">
        <f t="shared" si="23"/>
        <v>1</v>
      </c>
      <c r="L94" s="38">
        <f t="shared" si="23"/>
        <v>1</v>
      </c>
      <c r="M94" s="38">
        <f t="shared" si="23"/>
        <v>1</v>
      </c>
      <c r="N94" s="38">
        <f t="shared" si="23"/>
        <v>1</v>
      </c>
      <c r="O94" s="38">
        <f t="shared" si="23"/>
        <v>1</v>
      </c>
      <c r="P94" s="38">
        <f t="shared" si="23"/>
        <v>1</v>
      </c>
      <c r="Q94" s="38">
        <f t="shared" si="23"/>
        <v>1</v>
      </c>
      <c r="R94" s="38">
        <f t="shared" si="23"/>
        <v>1</v>
      </c>
      <c r="S94" s="38">
        <f t="shared" si="23"/>
        <v>1</v>
      </c>
      <c r="T94" s="38">
        <f t="shared" si="23"/>
        <v>1</v>
      </c>
      <c r="U94" s="38">
        <f t="shared" si="23"/>
        <v>1</v>
      </c>
      <c r="V94" s="38">
        <f t="shared" si="23"/>
        <v>1</v>
      </c>
    </row>
    <row r="95" spans="1:22" x14ac:dyDescent="0.25">
      <c r="A95" s="41" t="s">
        <v>69</v>
      </c>
      <c r="B95" s="30" t="s">
        <v>40</v>
      </c>
      <c r="C95" s="38">
        <f t="shared" ref="C95:V95" si="24">C17</f>
        <v>1</v>
      </c>
      <c r="D95" s="38">
        <f t="shared" si="24"/>
        <v>1</v>
      </c>
      <c r="E95" s="38">
        <f t="shared" si="24"/>
        <v>1</v>
      </c>
      <c r="F95" s="38">
        <f t="shared" si="24"/>
        <v>1</v>
      </c>
      <c r="G95" s="38">
        <f t="shared" si="24"/>
        <v>1</v>
      </c>
      <c r="H95" s="38">
        <f t="shared" si="24"/>
        <v>1</v>
      </c>
      <c r="I95" s="38">
        <f t="shared" si="24"/>
        <v>1</v>
      </c>
      <c r="J95" s="38">
        <f t="shared" si="24"/>
        <v>1</v>
      </c>
      <c r="K95" s="38">
        <f t="shared" si="24"/>
        <v>1</v>
      </c>
      <c r="L95" s="38">
        <f t="shared" si="24"/>
        <v>1</v>
      </c>
      <c r="M95" s="38">
        <f t="shared" si="24"/>
        <v>1</v>
      </c>
      <c r="N95" s="38">
        <f t="shared" si="24"/>
        <v>1</v>
      </c>
      <c r="O95" s="38">
        <f t="shared" si="24"/>
        <v>1</v>
      </c>
      <c r="P95" s="38">
        <f t="shared" si="24"/>
        <v>1</v>
      </c>
      <c r="Q95" s="38">
        <f t="shared" si="24"/>
        <v>1</v>
      </c>
      <c r="R95" s="38">
        <f t="shared" si="24"/>
        <v>1</v>
      </c>
      <c r="S95" s="38">
        <f t="shared" si="24"/>
        <v>1</v>
      </c>
      <c r="T95" s="38">
        <f t="shared" si="24"/>
        <v>1</v>
      </c>
      <c r="U95" s="38">
        <f t="shared" si="24"/>
        <v>1</v>
      </c>
      <c r="V95" s="38">
        <f t="shared" si="24"/>
        <v>1</v>
      </c>
    </row>
    <row r="96" spans="1:22" x14ac:dyDescent="0.25">
      <c r="A96" s="41" t="s">
        <v>70</v>
      </c>
      <c r="B96" s="30" t="s">
        <v>40</v>
      </c>
      <c r="C96" s="38">
        <f t="shared" ref="C96:V96" si="25">C18</f>
        <v>1</v>
      </c>
      <c r="D96" s="38">
        <f t="shared" si="25"/>
        <v>1</v>
      </c>
      <c r="E96" s="38">
        <f t="shared" si="25"/>
        <v>1</v>
      </c>
      <c r="F96" s="38">
        <f t="shared" si="25"/>
        <v>1</v>
      </c>
      <c r="G96" s="38">
        <f t="shared" si="25"/>
        <v>1</v>
      </c>
      <c r="H96" s="38">
        <f t="shared" si="25"/>
        <v>1</v>
      </c>
      <c r="I96" s="38">
        <f t="shared" si="25"/>
        <v>1</v>
      </c>
      <c r="J96" s="38">
        <f t="shared" si="25"/>
        <v>1</v>
      </c>
      <c r="K96" s="38">
        <f t="shared" si="25"/>
        <v>1</v>
      </c>
      <c r="L96" s="38">
        <f t="shared" si="25"/>
        <v>1</v>
      </c>
      <c r="M96" s="38">
        <f t="shared" si="25"/>
        <v>1</v>
      </c>
      <c r="N96" s="38">
        <f t="shared" si="25"/>
        <v>1</v>
      </c>
      <c r="O96" s="38">
        <f t="shared" si="25"/>
        <v>1</v>
      </c>
      <c r="P96" s="38">
        <f t="shared" si="25"/>
        <v>1</v>
      </c>
      <c r="Q96" s="38">
        <f t="shared" si="25"/>
        <v>1</v>
      </c>
      <c r="R96" s="38">
        <f t="shared" si="25"/>
        <v>1</v>
      </c>
      <c r="S96" s="38">
        <f t="shared" si="25"/>
        <v>1</v>
      </c>
      <c r="T96" s="38">
        <f t="shared" si="25"/>
        <v>1</v>
      </c>
      <c r="U96" s="38">
        <f t="shared" si="25"/>
        <v>1</v>
      </c>
      <c r="V96" s="38">
        <f t="shared" si="25"/>
        <v>1</v>
      </c>
    </row>
    <row r="97" spans="1:22" x14ac:dyDescent="0.25">
      <c r="A97" s="29" t="s">
        <v>20</v>
      </c>
      <c r="B97" s="30" t="s">
        <v>41</v>
      </c>
      <c r="C97" s="38">
        <f t="shared" ref="C97:V97" si="26">C19</f>
        <v>1</v>
      </c>
      <c r="D97" s="38">
        <f t="shared" si="26"/>
        <v>1</v>
      </c>
      <c r="E97" s="38">
        <f t="shared" si="26"/>
        <v>1</v>
      </c>
      <c r="F97" s="38">
        <f t="shared" si="26"/>
        <v>1</v>
      </c>
      <c r="G97" s="38">
        <f t="shared" si="26"/>
        <v>1</v>
      </c>
      <c r="H97" s="38">
        <f t="shared" si="26"/>
        <v>1</v>
      </c>
      <c r="I97" s="38">
        <f t="shared" si="26"/>
        <v>1</v>
      </c>
      <c r="J97" s="38">
        <f t="shared" si="26"/>
        <v>1</v>
      </c>
      <c r="K97" s="38">
        <f t="shared" si="26"/>
        <v>1</v>
      </c>
      <c r="L97" s="38">
        <f t="shared" si="26"/>
        <v>1</v>
      </c>
      <c r="M97" s="38">
        <f t="shared" si="26"/>
        <v>1</v>
      </c>
      <c r="N97" s="38">
        <f t="shared" si="26"/>
        <v>1</v>
      </c>
      <c r="O97" s="38">
        <f t="shared" si="26"/>
        <v>1</v>
      </c>
      <c r="P97" s="38">
        <f t="shared" si="26"/>
        <v>1</v>
      </c>
      <c r="Q97" s="38">
        <f t="shared" si="26"/>
        <v>1</v>
      </c>
      <c r="R97" s="38">
        <f t="shared" si="26"/>
        <v>1</v>
      </c>
      <c r="S97" s="38">
        <f t="shared" si="26"/>
        <v>1</v>
      </c>
      <c r="T97" s="38">
        <f t="shared" si="26"/>
        <v>1</v>
      </c>
      <c r="U97" s="38">
        <f t="shared" si="26"/>
        <v>1</v>
      </c>
      <c r="V97" s="38">
        <f t="shared" si="26"/>
        <v>1</v>
      </c>
    </row>
    <row r="98" spans="1:22" x14ac:dyDescent="0.25">
      <c r="A98" s="29" t="s">
        <v>21</v>
      </c>
      <c r="B98" s="30" t="s">
        <v>41</v>
      </c>
      <c r="C98" s="38">
        <f t="shared" ref="C98:V98" si="27">C20</f>
        <v>1</v>
      </c>
      <c r="D98" s="38">
        <f t="shared" si="27"/>
        <v>1</v>
      </c>
      <c r="E98" s="38">
        <f t="shared" si="27"/>
        <v>1</v>
      </c>
      <c r="F98" s="38">
        <f t="shared" si="27"/>
        <v>1</v>
      </c>
      <c r="G98" s="38">
        <f t="shared" si="27"/>
        <v>1</v>
      </c>
      <c r="H98" s="38">
        <f t="shared" si="27"/>
        <v>0</v>
      </c>
      <c r="I98" s="38">
        <f t="shared" si="27"/>
        <v>0</v>
      </c>
      <c r="J98" s="38">
        <f t="shared" si="27"/>
        <v>0</v>
      </c>
      <c r="K98" s="38">
        <f t="shared" si="27"/>
        <v>0</v>
      </c>
      <c r="L98" s="38">
        <f t="shared" si="27"/>
        <v>0</v>
      </c>
      <c r="M98" s="38">
        <f t="shared" si="27"/>
        <v>0</v>
      </c>
      <c r="N98" s="38">
        <f t="shared" si="27"/>
        <v>0</v>
      </c>
      <c r="O98" s="38">
        <f t="shared" si="27"/>
        <v>0</v>
      </c>
      <c r="P98" s="38">
        <f t="shared" si="27"/>
        <v>0</v>
      </c>
      <c r="Q98" s="38">
        <f t="shared" si="27"/>
        <v>0</v>
      </c>
      <c r="R98" s="38">
        <f t="shared" si="27"/>
        <v>0</v>
      </c>
      <c r="S98" s="38">
        <f t="shared" si="27"/>
        <v>0</v>
      </c>
      <c r="T98" s="38">
        <f t="shared" si="27"/>
        <v>0</v>
      </c>
      <c r="U98" s="38">
        <f t="shared" si="27"/>
        <v>0</v>
      </c>
      <c r="V98" s="38">
        <f t="shared" si="27"/>
        <v>0</v>
      </c>
    </row>
    <row r="99" spans="1:22" x14ac:dyDescent="0.25">
      <c r="A99" s="29" t="s">
        <v>24</v>
      </c>
      <c r="B99" s="42" t="s">
        <v>42</v>
      </c>
      <c r="C99" s="38">
        <f t="shared" ref="C99:V99" si="28">C21</f>
        <v>0</v>
      </c>
      <c r="D99" s="38">
        <f t="shared" si="28"/>
        <v>0</v>
      </c>
      <c r="E99" s="38">
        <f t="shared" si="28"/>
        <v>0</v>
      </c>
      <c r="F99" s="38">
        <f t="shared" si="28"/>
        <v>0</v>
      </c>
      <c r="G99" s="38">
        <f t="shared" si="28"/>
        <v>0</v>
      </c>
      <c r="H99" s="38">
        <f t="shared" si="28"/>
        <v>0</v>
      </c>
      <c r="I99" s="38">
        <f t="shared" si="28"/>
        <v>0</v>
      </c>
      <c r="J99" s="38">
        <f t="shared" si="28"/>
        <v>0</v>
      </c>
      <c r="K99" s="38">
        <f t="shared" si="28"/>
        <v>0</v>
      </c>
      <c r="L99" s="38">
        <f t="shared" si="28"/>
        <v>0</v>
      </c>
      <c r="M99" s="38">
        <f t="shared" si="28"/>
        <v>0</v>
      </c>
      <c r="N99" s="38">
        <f t="shared" si="28"/>
        <v>0</v>
      </c>
      <c r="O99" s="38">
        <f t="shared" si="28"/>
        <v>0</v>
      </c>
      <c r="P99" s="38">
        <f t="shared" si="28"/>
        <v>0</v>
      </c>
      <c r="Q99" s="38">
        <f t="shared" si="28"/>
        <v>0</v>
      </c>
      <c r="R99" s="38">
        <f t="shared" si="28"/>
        <v>0</v>
      </c>
      <c r="S99" s="38">
        <f t="shared" si="28"/>
        <v>0</v>
      </c>
      <c r="T99" s="38">
        <f t="shared" si="28"/>
        <v>0</v>
      </c>
      <c r="U99" s="38">
        <f t="shared" si="28"/>
        <v>0</v>
      </c>
      <c r="V99" s="38">
        <f t="shared" si="28"/>
        <v>0</v>
      </c>
    </row>
    <row r="100" spans="1:22" x14ac:dyDescent="0.25">
      <c r="A100" s="29" t="s">
        <v>57</v>
      </c>
      <c r="B100" s="30" t="s">
        <v>41</v>
      </c>
      <c r="C100" s="38">
        <f t="shared" ref="C100:V100" si="29">C22</f>
        <v>1</v>
      </c>
      <c r="D100" s="38">
        <f t="shared" si="29"/>
        <v>1</v>
      </c>
      <c r="E100" s="38">
        <f t="shared" si="29"/>
        <v>1</v>
      </c>
      <c r="F100" s="38">
        <f t="shared" si="29"/>
        <v>1</v>
      </c>
      <c r="G100" s="38">
        <f t="shared" si="29"/>
        <v>1</v>
      </c>
      <c r="H100" s="38">
        <f t="shared" si="29"/>
        <v>0</v>
      </c>
      <c r="I100" s="38">
        <f t="shared" si="29"/>
        <v>0</v>
      </c>
      <c r="J100" s="38">
        <f t="shared" si="29"/>
        <v>0</v>
      </c>
      <c r="K100" s="38">
        <f t="shared" si="29"/>
        <v>0</v>
      </c>
      <c r="L100" s="38">
        <f t="shared" si="29"/>
        <v>0</v>
      </c>
      <c r="M100" s="38">
        <f t="shared" si="29"/>
        <v>0</v>
      </c>
      <c r="N100" s="38">
        <f t="shared" si="29"/>
        <v>0</v>
      </c>
      <c r="O100" s="38">
        <f t="shared" si="29"/>
        <v>0</v>
      </c>
      <c r="P100" s="38">
        <f t="shared" si="29"/>
        <v>0</v>
      </c>
      <c r="Q100" s="38">
        <f t="shared" si="29"/>
        <v>0</v>
      </c>
      <c r="R100" s="38">
        <f t="shared" si="29"/>
        <v>0</v>
      </c>
      <c r="S100" s="38">
        <f t="shared" si="29"/>
        <v>0</v>
      </c>
      <c r="T100" s="38">
        <f t="shared" si="29"/>
        <v>0</v>
      </c>
      <c r="U100" s="38">
        <f t="shared" si="29"/>
        <v>0</v>
      </c>
      <c r="V100" s="38">
        <f t="shared" si="29"/>
        <v>0</v>
      </c>
    </row>
    <row r="101" spans="1:22" x14ac:dyDescent="0.25">
      <c r="A101" s="29" t="s">
        <v>22</v>
      </c>
      <c r="B101" s="30" t="s">
        <v>41</v>
      </c>
      <c r="C101" s="38">
        <f t="shared" ref="C101:V101" si="30">C23</f>
        <v>1</v>
      </c>
      <c r="D101" s="38">
        <f t="shared" si="30"/>
        <v>1</v>
      </c>
      <c r="E101" s="38">
        <f t="shared" si="30"/>
        <v>1</v>
      </c>
      <c r="F101" s="38">
        <f t="shared" si="30"/>
        <v>1</v>
      </c>
      <c r="G101" s="38">
        <f t="shared" si="30"/>
        <v>0</v>
      </c>
      <c r="H101" s="38">
        <f t="shared" si="30"/>
        <v>0</v>
      </c>
      <c r="I101" s="38">
        <f t="shared" si="30"/>
        <v>0</v>
      </c>
      <c r="J101" s="38">
        <f t="shared" si="30"/>
        <v>0</v>
      </c>
      <c r="K101" s="38">
        <f t="shared" si="30"/>
        <v>0</v>
      </c>
      <c r="L101" s="38">
        <f t="shared" si="30"/>
        <v>0</v>
      </c>
      <c r="M101" s="38">
        <f t="shared" si="30"/>
        <v>0</v>
      </c>
      <c r="N101" s="38">
        <f t="shared" si="30"/>
        <v>0</v>
      </c>
      <c r="O101" s="38">
        <f t="shared" si="30"/>
        <v>0</v>
      </c>
      <c r="P101" s="38">
        <f t="shared" si="30"/>
        <v>0</v>
      </c>
      <c r="Q101" s="38">
        <f t="shared" si="30"/>
        <v>0</v>
      </c>
      <c r="R101" s="38">
        <f t="shared" si="30"/>
        <v>0</v>
      </c>
      <c r="S101" s="38">
        <f t="shared" si="30"/>
        <v>0</v>
      </c>
      <c r="T101" s="38">
        <f t="shared" si="30"/>
        <v>0</v>
      </c>
      <c r="U101" s="38">
        <f t="shared" si="30"/>
        <v>0</v>
      </c>
      <c r="V101" s="38">
        <f t="shared" si="30"/>
        <v>0</v>
      </c>
    </row>
    <row r="102" spans="1:22" x14ac:dyDescent="0.25">
      <c r="A102" s="29" t="s">
        <v>23</v>
      </c>
      <c r="B102" s="37" t="s">
        <v>43</v>
      </c>
      <c r="C102" s="38">
        <f t="shared" ref="C102:V102" si="31">C24</f>
        <v>1</v>
      </c>
      <c r="D102" s="38">
        <f t="shared" si="31"/>
        <v>1</v>
      </c>
      <c r="E102" s="38">
        <f t="shared" si="31"/>
        <v>1</v>
      </c>
      <c r="F102" s="38">
        <f t="shared" si="31"/>
        <v>1</v>
      </c>
      <c r="G102" s="38">
        <f t="shared" si="31"/>
        <v>1</v>
      </c>
      <c r="H102" s="38">
        <f t="shared" si="31"/>
        <v>1</v>
      </c>
      <c r="I102" s="38">
        <f t="shared" si="31"/>
        <v>1</v>
      </c>
      <c r="J102" s="38">
        <f t="shared" si="31"/>
        <v>1</v>
      </c>
      <c r="K102" s="38">
        <f t="shared" si="31"/>
        <v>1</v>
      </c>
      <c r="L102" s="38">
        <f t="shared" si="31"/>
        <v>1</v>
      </c>
      <c r="M102" s="38">
        <f t="shared" si="31"/>
        <v>0</v>
      </c>
      <c r="N102" s="38">
        <f t="shared" si="31"/>
        <v>0</v>
      </c>
      <c r="O102" s="38">
        <f t="shared" si="31"/>
        <v>0</v>
      </c>
      <c r="P102" s="38">
        <f t="shared" si="31"/>
        <v>0</v>
      </c>
      <c r="Q102" s="38">
        <f t="shared" si="31"/>
        <v>0</v>
      </c>
      <c r="R102" s="38">
        <f t="shared" si="31"/>
        <v>0</v>
      </c>
      <c r="S102" s="38">
        <f t="shared" si="31"/>
        <v>0</v>
      </c>
      <c r="T102" s="38">
        <f t="shared" si="31"/>
        <v>0</v>
      </c>
      <c r="U102" s="38">
        <f t="shared" si="31"/>
        <v>0</v>
      </c>
      <c r="V102" s="38">
        <f t="shared" si="31"/>
        <v>0</v>
      </c>
    </row>
    <row r="103" spans="1:22" x14ac:dyDescent="0.25">
      <c r="A103" s="29" t="s">
        <v>25</v>
      </c>
      <c r="B103" s="30" t="s">
        <v>44</v>
      </c>
      <c r="C103" s="38">
        <f t="shared" ref="C103:V103" si="32">C25</f>
        <v>1</v>
      </c>
      <c r="D103" s="38">
        <f t="shared" si="32"/>
        <v>1</v>
      </c>
      <c r="E103" s="38">
        <f t="shared" si="32"/>
        <v>1</v>
      </c>
      <c r="F103" s="38">
        <f t="shared" si="32"/>
        <v>1</v>
      </c>
      <c r="G103" s="38">
        <f t="shared" si="32"/>
        <v>0</v>
      </c>
      <c r="H103" s="38">
        <f t="shared" si="32"/>
        <v>0</v>
      </c>
      <c r="I103" s="38">
        <f t="shared" si="32"/>
        <v>0</v>
      </c>
      <c r="J103" s="38">
        <f t="shared" si="32"/>
        <v>0</v>
      </c>
      <c r="K103" s="38">
        <f t="shared" si="32"/>
        <v>0</v>
      </c>
      <c r="L103" s="38">
        <f t="shared" si="32"/>
        <v>0</v>
      </c>
      <c r="M103" s="38">
        <f t="shared" si="32"/>
        <v>0</v>
      </c>
      <c r="N103" s="38">
        <f t="shared" si="32"/>
        <v>0</v>
      </c>
      <c r="O103" s="38">
        <f t="shared" si="32"/>
        <v>0</v>
      </c>
      <c r="P103" s="38">
        <f t="shared" si="32"/>
        <v>0</v>
      </c>
      <c r="Q103" s="38">
        <f t="shared" si="32"/>
        <v>0</v>
      </c>
      <c r="R103" s="38">
        <f t="shared" si="32"/>
        <v>0</v>
      </c>
      <c r="S103" s="38">
        <f t="shared" si="32"/>
        <v>0</v>
      </c>
      <c r="T103" s="38">
        <f t="shared" si="32"/>
        <v>0</v>
      </c>
      <c r="U103" s="38">
        <f t="shared" si="32"/>
        <v>0</v>
      </c>
      <c r="V103" s="38">
        <f t="shared" si="32"/>
        <v>0</v>
      </c>
    </row>
    <row r="104" spans="1:22" x14ac:dyDescent="0.25">
      <c r="A104" s="29" t="s">
        <v>58</v>
      </c>
      <c r="B104" s="30" t="s">
        <v>41</v>
      </c>
      <c r="C104" s="38">
        <f t="shared" ref="C104:V104" si="33">C26</f>
        <v>1</v>
      </c>
      <c r="D104" s="38">
        <f t="shared" si="33"/>
        <v>0</v>
      </c>
      <c r="E104" s="38">
        <f t="shared" si="33"/>
        <v>0</v>
      </c>
      <c r="F104" s="38">
        <f t="shared" si="33"/>
        <v>0</v>
      </c>
      <c r="G104" s="38">
        <f t="shared" si="33"/>
        <v>0</v>
      </c>
      <c r="H104" s="38">
        <f t="shared" si="33"/>
        <v>0</v>
      </c>
      <c r="I104" s="38">
        <f t="shared" si="33"/>
        <v>0</v>
      </c>
      <c r="J104" s="38">
        <f t="shared" si="33"/>
        <v>0</v>
      </c>
      <c r="K104" s="38">
        <f t="shared" si="33"/>
        <v>0</v>
      </c>
      <c r="L104" s="38">
        <f t="shared" si="33"/>
        <v>0</v>
      </c>
      <c r="M104" s="38">
        <f t="shared" si="33"/>
        <v>0</v>
      </c>
      <c r="N104" s="38">
        <f t="shared" si="33"/>
        <v>0</v>
      </c>
      <c r="O104" s="38">
        <f t="shared" si="33"/>
        <v>0</v>
      </c>
      <c r="P104" s="38">
        <f t="shared" si="33"/>
        <v>0</v>
      </c>
      <c r="Q104" s="38">
        <f t="shared" si="33"/>
        <v>0</v>
      </c>
      <c r="R104" s="38">
        <f t="shared" si="33"/>
        <v>0</v>
      </c>
      <c r="S104" s="38">
        <f t="shared" si="33"/>
        <v>0</v>
      </c>
      <c r="T104" s="38">
        <f t="shared" si="33"/>
        <v>0</v>
      </c>
      <c r="U104" s="38">
        <f t="shared" si="33"/>
        <v>0</v>
      </c>
      <c r="V104" s="38">
        <f t="shared" si="33"/>
        <v>0</v>
      </c>
    </row>
    <row r="105" spans="1:22" x14ac:dyDescent="0.25">
      <c r="A105" s="29" t="s">
        <v>59</v>
      </c>
      <c r="B105" s="30" t="s">
        <v>41</v>
      </c>
      <c r="C105" s="38">
        <f t="shared" ref="C105:V105" si="34">C27</f>
        <v>1</v>
      </c>
      <c r="D105" s="38">
        <f t="shared" si="34"/>
        <v>1</v>
      </c>
      <c r="E105" s="38">
        <f t="shared" si="34"/>
        <v>1</v>
      </c>
      <c r="F105" s="38">
        <f t="shared" si="34"/>
        <v>0</v>
      </c>
      <c r="G105" s="38">
        <f t="shared" si="34"/>
        <v>0</v>
      </c>
      <c r="H105" s="38">
        <f t="shared" si="34"/>
        <v>0</v>
      </c>
      <c r="I105" s="38">
        <f t="shared" si="34"/>
        <v>0</v>
      </c>
      <c r="J105" s="38">
        <f t="shared" si="34"/>
        <v>0</v>
      </c>
      <c r="K105" s="38">
        <f t="shared" si="34"/>
        <v>0</v>
      </c>
      <c r="L105" s="38">
        <f t="shared" si="34"/>
        <v>0</v>
      </c>
      <c r="M105" s="38">
        <f t="shared" si="34"/>
        <v>0</v>
      </c>
      <c r="N105" s="38">
        <f t="shared" si="34"/>
        <v>0</v>
      </c>
      <c r="O105" s="38">
        <f t="shared" si="34"/>
        <v>0</v>
      </c>
      <c r="P105" s="38">
        <f t="shared" si="34"/>
        <v>0</v>
      </c>
      <c r="Q105" s="38">
        <f t="shared" si="34"/>
        <v>0</v>
      </c>
      <c r="R105" s="38">
        <f t="shared" si="34"/>
        <v>0</v>
      </c>
      <c r="S105" s="38">
        <f t="shared" si="34"/>
        <v>0</v>
      </c>
      <c r="T105" s="38">
        <f t="shared" si="34"/>
        <v>0</v>
      </c>
      <c r="U105" s="38">
        <f t="shared" si="34"/>
        <v>0</v>
      </c>
      <c r="V105" s="38">
        <f t="shared" si="34"/>
        <v>0</v>
      </c>
    </row>
    <row r="106" spans="1:22" x14ac:dyDescent="0.25">
      <c r="A106" s="29" t="s">
        <v>60</v>
      </c>
      <c r="B106" s="30" t="s">
        <v>41</v>
      </c>
      <c r="C106" s="38">
        <f t="shared" ref="C106:V106" si="35">C28</f>
        <v>1</v>
      </c>
      <c r="D106" s="38">
        <f t="shared" si="35"/>
        <v>1</v>
      </c>
      <c r="E106" s="38">
        <f t="shared" si="35"/>
        <v>1</v>
      </c>
      <c r="F106" s="38">
        <f t="shared" si="35"/>
        <v>1</v>
      </c>
      <c r="G106" s="38">
        <f t="shared" si="35"/>
        <v>1</v>
      </c>
      <c r="H106" s="38">
        <f t="shared" si="35"/>
        <v>1</v>
      </c>
      <c r="I106" s="38">
        <f t="shared" si="35"/>
        <v>0</v>
      </c>
      <c r="J106" s="38">
        <f t="shared" si="35"/>
        <v>0</v>
      </c>
      <c r="K106" s="38">
        <f t="shared" si="35"/>
        <v>0</v>
      </c>
      <c r="L106" s="38">
        <f t="shared" si="35"/>
        <v>0</v>
      </c>
      <c r="M106" s="38">
        <f t="shared" si="35"/>
        <v>0</v>
      </c>
      <c r="N106" s="38">
        <f t="shared" si="35"/>
        <v>0</v>
      </c>
      <c r="O106" s="38">
        <f t="shared" si="35"/>
        <v>0</v>
      </c>
      <c r="P106" s="38">
        <f t="shared" si="35"/>
        <v>0</v>
      </c>
      <c r="Q106" s="38">
        <f t="shared" si="35"/>
        <v>0</v>
      </c>
      <c r="R106" s="38">
        <f t="shared" si="35"/>
        <v>0</v>
      </c>
      <c r="S106" s="38">
        <f t="shared" si="35"/>
        <v>0</v>
      </c>
      <c r="T106" s="38">
        <f t="shared" si="35"/>
        <v>0</v>
      </c>
      <c r="U106" s="38">
        <f t="shared" si="35"/>
        <v>0</v>
      </c>
      <c r="V106" s="38">
        <f t="shared" si="35"/>
        <v>0</v>
      </c>
    </row>
    <row r="107" spans="1:22" x14ac:dyDescent="0.25">
      <c r="A107" s="29" t="s">
        <v>26</v>
      </c>
      <c r="B107" s="37" t="s">
        <v>45</v>
      </c>
      <c r="C107" s="38">
        <f t="shared" ref="C107:V107" si="36">C29</f>
        <v>1</v>
      </c>
      <c r="D107" s="38">
        <f t="shared" si="36"/>
        <v>1</v>
      </c>
      <c r="E107" s="38">
        <f t="shared" si="36"/>
        <v>1</v>
      </c>
      <c r="F107" s="38">
        <f t="shared" si="36"/>
        <v>1</v>
      </c>
      <c r="G107" s="38">
        <f t="shared" si="36"/>
        <v>1</v>
      </c>
      <c r="H107" s="38">
        <f t="shared" si="36"/>
        <v>1</v>
      </c>
      <c r="I107" s="38">
        <f t="shared" si="36"/>
        <v>1</v>
      </c>
      <c r="J107" s="38">
        <f t="shared" si="36"/>
        <v>1</v>
      </c>
      <c r="K107" s="38">
        <f t="shared" si="36"/>
        <v>1</v>
      </c>
      <c r="L107" s="38">
        <f t="shared" si="36"/>
        <v>1</v>
      </c>
      <c r="M107" s="38">
        <f t="shared" si="36"/>
        <v>1</v>
      </c>
      <c r="N107" s="38">
        <f t="shared" si="36"/>
        <v>1</v>
      </c>
      <c r="O107" s="38">
        <f t="shared" si="36"/>
        <v>1</v>
      </c>
      <c r="P107" s="38">
        <f t="shared" si="36"/>
        <v>1</v>
      </c>
      <c r="Q107" s="38">
        <f t="shared" si="36"/>
        <v>1</v>
      </c>
      <c r="R107" s="38">
        <f t="shared" si="36"/>
        <v>1</v>
      </c>
      <c r="S107" s="38">
        <f t="shared" si="36"/>
        <v>1</v>
      </c>
      <c r="T107" s="38">
        <f t="shared" si="36"/>
        <v>1</v>
      </c>
      <c r="U107" s="38">
        <f t="shared" si="36"/>
        <v>1</v>
      </c>
      <c r="V107" s="38">
        <f t="shared" si="36"/>
        <v>1</v>
      </c>
    </row>
    <row r="108" spans="1:22" x14ac:dyDescent="0.25">
      <c r="A108" s="29" t="s">
        <v>61</v>
      </c>
      <c r="B108" s="37" t="s">
        <v>42</v>
      </c>
      <c r="C108" s="38">
        <f t="shared" ref="C108:V108" si="37">C30</f>
        <v>1</v>
      </c>
      <c r="D108" s="38">
        <f t="shared" si="37"/>
        <v>1</v>
      </c>
      <c r="E108" s="38">
        <f t="shared" si="37"/>
        <v>1</v>
      </c>
      <c r="F108" s="38">
        <f t="shared" si="37"/>
        <v>1</v>
      </c>
      <c r="G108" s="38">
        <f t="shared" si="37"/>
        <v>1</v>
      </c>
      <c r="H108" s="38">
        <f t="shared" si="37"/>
        <v>1</v>
      </c>
      <c r="I108" s="38">
        <f t="shared" si="37"/>
        <v>1</v>
      </c>
      <c r="J108" s="38">
        <f t="shared" si="37"/>
        <v>1</v>
      </c>
      <c r="K108" s="38">
        <f t="shared" si="37"/>
        <v>1</v>
      </c>
      <c r="L108" s="38">
        <f t="shared" si="37"/>
        <v>1</v>
      </c>
      <c r="M108" s="38">
        <f t="shared" si="37"/>
        <v>1</v>
      </c>
      <c r="N108" s="38">
        <f t="shared" si="37"/>
        <v>1</v>
      </c>
      <c r="O108" s="38">
        <f t="shared" si="37"/>
        <v>1</v>
      </c>
      <c r="P108" s="38">
        <f t="shared" si="37"/>
        <v>1</v>
      </c>
      <c r="Q108" s="38">
        <f t="shared" si="37"/>
        <v>1</v>
      </c>
      <c r="R108" s="38">
        <f t="shared" si="37"/>
        <v>1</v>
      </c>
      <c r="S108" s="38">
        <f t="shared" si="37"/>
        <v>1</v>
      </c>
      <c r="T108" s="38">
        <f t="shared" si="37"/>
        <v>1</v>
      </c>
      <c r="U108" s="38">
        <f t="shared" si="37"/>
        <v>1</v>
      </c>
      <c r="V108" s="38">
        <f t="shared" si="37"/>
        <v>1</v>
      </c>
    </row>
    <row r="109" spans="1:22" x14ac:dyDescent="0.25">
      <c r="A109" s="29" t="s">
        <v>71</v>
      </c>
      <c r="B109" s="30" t="s">
        <v>40</v>
      </c>
      <c r="C109" s="38">
        <f t="shared" ref="C109:V109" si="38">C31</f>
        <v>1</v>
      </c>
      <c r="D109" s="38">
        <f t="shared" si="38"/>
        <v>1</v>
      </c>
      <c r="E109" s="38">
        <f t="shared" si="38"/>
        <v>0</v>
      </c>
      <c r="F109" s="38">
        <f t="shared" si="38"/>
        <v>0</v>
      </c>
      <c r="G109" s="38">
        <f t="shared" si="38"/>
        <v>0</v>
      </c>
      <c r="H109" s="38">
        <f t="shared" si="38"/>
        <v>0</v>
      </c>
      <c r="I109" s="38">
        <f t="shared" si="38"/>
        <v>0</v>
      </c>
      <c r="J109" s="38">
        <f t="shared" si="38"/>
        <v>0</v>
      </c>
      <c r="K109" s="38">
        <f t="shared" si="38"/>
        <v>0</v>
      </c>
      <c r="L109" s="38">
        <f t="shared" si="38"/>
        <v>0</v>
      </c>
      <c r="M109" s="38">
        <f t="shared" si="38"/>
        <v>0</v>
      </c>
      <c r="N109" s="38">
        <f t="shared" si="38"/>
        <v>0</v>
      </c>
      <c r="O109" s="38">
        <f t="shared" si="38"/>
        <v>0</v>
      </c>
      <c r="P109" s="38">
        <f t="shared" si="38"/>
        <v>0</v>
      </c>
      <c r="Q109" s="38">
        <f t="shared" si="38"/>
        <v>0</v>
      </c>
      <c r="R109" s="38">
        <f t="shared" si="38"/>
        <v>0</v>
      </c>
      <c r="S109" s="38">
        <f t="shared" si="38"/>
        <v>0</v>
      </c>
      <c r="T109" s="38">
        <f t="shared" si="38"/>
        <v>0</v>
      </c>
      <c r="U109" s="38">
        <f t="shared" si="38"/>
        <v>0</v>
      </c>
      <c r="V109" s="38">
        <f t="shared" si="38"/>
        <v>0</v>
      </c>
    </row>
    <row r="110" spans="1:22" x14ac:dyDescent="0.25">
      <c r="A110" s="29" t="s">
        <v>27</v>
      </c>
      <c r="B110" s="37" t="s">
        <v>45</v>
      </c>
      <c r="C110" s="38">
        <f t="shared" ref="C110:V110" si="39">C32</f>
        <v>1</v>
      </c>
      <c r="D110" s="38">
        <f t="shared" si="39"/>
        <v>0</v>
      </c>
      <c r="E110" s="38">
        <f t="shared" si="39"/>
        <v>0</v>
      </c>
      <c r="F110" s="38">
        <f t="shared" si="39"/>
        <v>0</v>
      </c>
      <c r="G110" s="38">
        <f t="shared" si="39"/>
        <v>0</v>
      </c>
      <c r="H110" s="38">
        <f t="shared" si="39"/>
        <v>0</v>
      </c>
      <c r="I110" s="38">
        <f t="shared" si="39"/>
        <v>0</v>
      </c>
      <c r="J110" s="38">
        <f t="shared" si="39"/>
        <v>0</v>
      </c>
      <c r="K110" s="38">
        <f t="shared" si="39"/>
        <v>0</v>
      </c>
      <c r="L110" s="38">
        <f t="shared" si="39"/>
        <v>0</v>
      </c>
      <c r="M110" s="38">
        <f t="shared" si="39"/>
        <v>0</v>
      </c>
      <c r="N110" s="38">
        <f t="shared" si="39"/>
        <v>0</v>
      </c>
      <c r="O110" s="38">
        <f t="shared" si="39"/>
        <v>0</v>
      </c>
      <c r="P110" s="38">
        <f t="shared" si="39"/>
        <v>0</v>
      </c>
      <c r="Q110" s="38">
        <f t="shared" si="39"/>
        <v>0</v>
      </c>
      <c r="R110" s="38">
        <f t="shared" si="39"/>
        <v>0</v>
      </c>
      <c r="S110" s="38">
        <f t="shared" si="39"/>
        <v>0</v>
      </c>
      <c r="T110" s="38">
        <f t="shared" si="39"/>
        <v>0</v>
      </c>
      <c r="U110" s="38">
        <f t="shared" si="39"/>
        <v>0</v>
      </c>
      <c r="V110" s="38">
        <f t="shared" si="39"/>
        <v>0</v>
      </c>
    </row>
    <row r="111" spans="1:22" x14ac:dyDescent="0.25">
      <c r="A111" s="29" t="s">
        <v>39</v>
      </c>
      <c r="B111" s="30" t="s">
        <v>41</v>
      </c>
      <c r="C111" s="38">
        <f t="shared" ref="C111:V111" si="40">C33</f>
        <v>1</v>
      </c>
      <c r="D111" s="38">
        <f t="shared" si="40"/>
        <v>1</v>
      </c>
      <c r="E111" s="38">
        <f t="shared" si="40"/>
        <v>1</v>
      </c>
      <c r="F111" s="38">
        <f t="shared" si="40"/>
        <v>1</v>
      </c>
      <c r="G111" s="38">
        <f t="shared" si="40"/>
        <v>0</v>
      </c>
      <c r="H111" s="38">
        <f t="shared" si="40"/>
        <v>0</v>
      </c>
      <c r="I111" s="38">
        <f t="shared" si="40"/>
        <v>0</v>
      </c>
      <c r="J111" s="38">
        <f t="shared" si="40"/>
        <v>0</v>
      </c>
      <c r="K111" s="38">
        <f t="shared" si="40"/>
        <v>0</v>
      </c>
      <c r="L111" s="38">
        <f t="shared" si="40"/>
        <v>0</v>
      </c>
      <c r="M111" s="38">
        <f t="shared" si="40"/>
        <v>0</v>
      </c>
      <c r="N111" s="38">
        <f t="shared" si="40"/>
        <v>0</v>
      </c>
      <c r="O111" s="38">
        <f t="shared" si="40"/>
        <v>0</v>
      </c>
      <c r="P111" s="38">
        <f t="shared" si="40"/>
        <v>0</v>
      </c>
      <c r="Q111" s="38">
        <f t="shared" si="40"/>
        <v>0</v>
      </c>
      <c r="R111" s="38">
        <f t="shared" si="40"/>
        <v>0</v>
      </c>
      <c r="S111" s="38">
        <f t="shared" si="40"/>
        <v>0</v>
      </c>
      <c r="T111" s="38">
        <f t="shared" si="40"/>
        <v>0</v>
      </c>
      <c r="U111" s="38">
        <f t="shared" si="40"/>
        <v>0</v>
      </c>
      <c r="V111" s="38">
        <f t="shared" si="40"/>
        <v>0</v>
      </c>
    </row>
    <row r="112" spans="1:22" x14ac:dyDescent="0.25">
      <c r="A112" s="29" t="s">
        <v>28</v>
      </c>
      <c r="B112" s="29"/>
      <c r="C112" s="38">
        <f t="shared" ref="C112:V112" si="41">C34</f>
        <v>1</v>
      </c>
      <c r="D112" s="38">
        <f t="shared" si="41"/>
        <v>0</v>
      </c>
      <c r="E112" s="38">
        <f t="shared" si="41"/>
        <v>0</v>
      </c>
      <c r="F112" s="38">
        <f t="shared" si="41"/>
        <v>0</v>
      </c>
      <c r="G112" s="38">
        <f t="shared" si="41"/>
        <v>0</v>
      </c>
      <c r="H112" s="38">
        <f t="shared" si="41"/>
        <v>0</v>
      </c>
      <c r="I112" s="38">
        <f t="shared" si="41"/>
        <v>0</v>
      </c>
      <c r="J112" s="38">
        <f t="shared" si="41"/>
        <v>0</v>
      </c>
      <c r="K112" s="38">
        <f t="shared" si="41"/>
        <v>0</v>
      </c>
      <c r="L112" s="38">
        <f t="shared" si="41"/>
        <v>0</v>
      </c>
      <c r="M112" s="38">
        <f t="shared" si="41"/>
        <v>0</v>
      </c>
      <c r="N112" s="38">
        <f t="shared" si="41"/>
        <v>0</v>
      </c>
      <c r="O112" s="38">
        <f t="shared" si="41"/>
        <v>0</v>
      </c>
      <c r="P112" s="38">
        <f t="shared" si="41"/>
        <v>0</v>
      </c>
      <c r="Q112" s="38">
        <f t="shared" si="41"/>
        <v>0</v>
      </c>
      <c r="R112" s="38">
        <f t="shared" si="41"/>
        <v>0</v>
      </c>
      <c r="S112" s="38">
        <f t="shared" si="41"/>
        <v>0</v>
      </c>
      <c r="T112" s="38">
        <f t="shared" si="41"/>
        <v>0</v>
      </c>
      <c r="U112" s="38">
        <f t="shared" si="41"/>
        <v>0</v>
      </c>
      <c r="V112" s="38">
        <f t="shared" si="41"/>
        <v>0</v>
      </c>
    </row>
    <row r="113" spans="1:22" x14ac:dyDescent="0.25">
      <c r="A113" s="29" t="s">
        <v>62</v>
      </c>
      <c r="B113" s="30" t="s">
        <v>41</v>
      </c>
      <c r="C113" s="38">
        <f t="shared" ref="C113:V113" si="42">C35</f>
        <v>1</v>
      </c>
      <c r="D113" s="38">
        <f t="shared" si="42"/>
        <v>1</v>
      </c>
      <c r="E113" s="38">
        <f t="shared" si="42"/>
        <v>1</v>
      </c>
      <c r="F113" s="38">
        <f t="shared" si="42"/>
        <v>1</v>
      </c>
      <c r="G113" s="38">
        <f t="shared" si="42"/>
        <v>1</v>
      </c>
      <c r="H113" s="38">
        <f t="shared" si="42"/>
        <v>0</v>
      </c>
      <c r="I113" s="38">
        <f t="shared" si="42"/>
        <v>0</v>
      </c>
      <c r="J113" s="38">
        <f t="shared" si="42"/>
        <v>0</v>
      </c>
      <c r="K113" s="38">
        <f t="shared" si="42"/>
        <v>0</v>
      </c>
      <c r="L113" s="38">
        <f t="shared" si="42"/>
        <v>0</v>
      </c>
      <c r="M113" s="38">
        <f t="shared" si="42"/>
        <v>0</v>
      </c>
      <c r="N113" s="38">
        <f t="shared" si="42"/>
        <v>0</v>
      </c>
      <c r="O113" s="38">
        <f t="shared" si="42"/>
        <v>0</v>
      </c>
      <c r="P113" s="38">
        <f t="shared" si="42"/>
        <v>0</v>
      </c>
      <c r="Q113" s="38">
        <f t="shared" si="42"/>
        <v>0</v>
      </c>
      <c r="R113" s="38">
        <f t="shared" si="42"/>
        <v>0</v>
      </c>
      <c r="S113" s="38">
        <f t="shared" si="42"/>
        <v>0</v>
      </c>
      <c r="T113" s="38">
        <f t="shared" si="42"/>
        <v>0</v>
      </c>
      <c r="U113" s="38">
        <f t="shared" si="42"/>
        <v>0</v>
      </c>
      <c r="V113" s="38">
        <f t="shared" si="42"/>
        <v>0</v>
      </c>
    </row>
    <row r="114" spans="1:22" x14ac:dyDescent="0.25">
      <c r="A114" s="29" t="s">
        <v>29</v>
      </c>
      <c r="B114" s="30" t="s">
        <v>41</v>
      </c>
      <c r="C114" s="38">
        <f t="shared" ref="C114:V114" si="43">C36</f>
        <v>1</v>
      </c>
      <c r="D114" s="38">
        <f t="shared" si="43"/>
        <v>1</v>
      </c>
      <c r="E114" s="38">
        <f t="shared" si="43"/>
        <v>1</v>
      </c>
      <c r="F114" s="38">
        <f t="shared" si="43"/>
        <v>0</v>
      </c>
      <c r="G114" s="38">
        <f t="shared" si="43"/>
        <v>0</v>
      </c>
      <c r="H114" s="38">
        <f t="shared" si="43"/>
        <v>0</v>
      </c>
      <c r="I114" s="38">
        <f t="shared" si="43"/>
        <v>0</v>
      </c>
      <c r="J114" s="38">
        <f t="shared" si="43"/>
        <v>0</v>
      </c>
      <c r="K114" s="38">
        <f t="shared" si="43"/>
        <v>0</v>
      </c>
      <c r="L114" s="38">
        <f t="shared" si="43"/>
        <v>0</v>
      </c>
      <c r="M114" s="38">
        <f t="shared" si="43"/>
        <v>0</v>
      </c>
      <c r="N114" s="38">
        <f t="shared" si="43"/>
        <v>0</v>
      </c>
      <c r="O114" s="38">
        <f t="shared" si="43"/>
        <v>0</v>
      </c>
      <c r="P114" s="38">
        <f t="shared" si="43"/>
        <v>0</v>
      </c>
      <c r="Q114" s="38">
        <f t="shared" si="43"/>
        <v>0</v>
      </c>
      <c r="R114" s="38">
        <f t="shared" si="43"/>
        <v>0</v>
      </c>
      <c r="S114" s="38">
        <f t="shared" si="43"/>
        <v>0</v>
      </c>
      <c r="T114" s="38">
        <f t="shared" si="43"/>
        <v>0</v>
      </c>
      <c r="U114" s="38">
        <f t="shared" si="43"/>
        <v>0</v>
      </c>
      <c r="V114" s="38">
        <f t="shared" si="43"/>
        <v>0</v>
      </c>
    </row>
    <row r="115" spans="1:22" x14ac:dyDescent="0.25">
      <c r="A115" s="29" t="s">
        <v>30</v>
      </c>
      <c r="B115" s="37" t="s">
        <v>43</v>
      </c>
      <c r="C115" s="38">
        <f t="shared" ref="C115:V115" si="44">C37</f>
        <v>1</v>
      </c>
      <c r="D115" s="38">
        <f t="shared" si="44"/>
        <v>1</v>
      </c>
      <c r="E115" s="38">
        <f t="shared" si="44"/>
        <v>1</v>
      </c>
      <c r="F115" s="38">
        <f t="shared" si="44"/>
        <v>1</v>
      </c>
      <c r="G115" s="38">
        <f t="shared" si="44"/>
        <v>1</v>
      </c>
      <c r="H115" s="38">
        <f t="shared" si="44"/>
        <v>1</v>
      </c>
      <c r="I115" s="38">
        <f t="shared" si="44"/>
        <v>1</v>
      </c>
      <c r="J115" s="38">
        <f t="shared" si="44"/>
        <v>1</v>
      </c>
      <c r="K115" s="38">
        <f t="shared" si="44"/>
        <v>1</v>
      </c>
      <c r="L115" s="38">
        <f t="shared" si="44"/>
        <v>1</v>
      </c>
      <c r="M115" s="38">
        <f t="shared" si="44"/>
        <v>1</v>
      </c>
      <c r="N115" s="38">
        <f t="shared" si="44"/>
        <v>1</v>
      </c>
      <c r="O115" s="38">
        <f t="shared" si="44"/>
        <v>1</v>
      </c>
      <c r="P115" s="38">
        <f t="shared" si="44"/>
        <v>1</v>
      </c>
      <c r="Q115" s="38">
        <f t="shared" si="44"/>
        <v>1</v>
      </c>
      <c r="R115" s="38">
        <f t="shared" si="44"/>
        <v>1</v>
      </c>
      <c r="S115" s="38">
        <f t="shared" si="44"/>
        <v>1</v>
      </c>
      <c r="T115" s="38">
        <f t="shared" si="44"/>
        <v>1</v>
      </c>
      <c r="U115" s="38">
        <f t="shared" si="44"/>
        <v>1</v>
      </c>
      <c r="V115" s="38">
        <f t="shared" si="44"/>
        <v>1</v>
      </c>
    </row>
    <row r="116" spans="1:22" x14ac:dyDescent="0.25">
      <c r="A116" s="29" t="s">
        <v>31</v>
      </c>
      <c r="B116" s="38" t="s">
        <v>48</v>
      </c>
      <c r="C116" s="38">
        <f t="shared" ref="C116:V116" si="45">C38</f>
        <v>0</v>
      </c>
      <c r="D116" s="38">
        <f t="shared" si="45"/>
        <v>0</v>
      </c>
      <c r="E116" s="38">
        <f t="shared" si="45"/>
        <v>0</v>
      </c>
      <c r="F116" s="38">
        <f t="shared" si="45"/>
        <v>0</v>
      </c>
      <c r="G116" s="38">
        <f t="shared" si="45"/>
        <v>0</v>
      </c>
      <c r="H116" s="38">
        <f t="shared" si="45"/>
        <v>0</v>
      </c>
      <c r="I116" s="38">
        <f t="shared" si="45"/>
        <v>0</v>
      </c>
      <c r="J116" s="38">
        <f t="shared" si="45"/>
        <v>0</v>
      </c>
      <c r="K116" s="38">
        <f t="shared" si="45"/>
        <v>0</v>
      </c>
      <c r="L116" s="38">
        <f t="shared" si="45"/>
        <v>0</v>
      </c>
      <c r="M116" s="38">
        <f t="shared" si="45"/>
        <v>0</v>
      </c>
      <c r="N116" s="38">
        <f t="shared" si="45"/>
        <v>0</v>
      </c>
      <c r="O116" s="38">
        <f t="shared" si="45"/>
        <v>0</v>
      </c>
      <c r="P116" s="38">
        <f t="shared" si="45"/>
        <v>0</v>
      </c>
      <c r="Q116" s="38">
        <f t="shared" si="45"/>
        <v>0</v>
      </c>
      <c r="R116" s="38">
        <f t="shared" si="45"/>
        <v>0</v>
      </c>
      <c r="S116" s="38">
        <f t="shared" si="45"/>
        <v>0</v>
      </c>
      <c r="T116" s="38">
        <f t="shared" si="45"/>
        <v>0</v>
      </c>
      <c r="U116" s="38">
        <f t="shared" si="45"/>
        <v>0</v>
      </c>
      <c r="V116" s="38">
        <f t="shared" si="45"/>
        <v>0</v>
      </c>
    </row>
    <row r="117" spans="1:22" x14ac:dyDescent="0.25">
      <c r="A117" s="29" t="s">
        <v>32</v>
      </c>
      <c r="B117" s="38" t="s">
        <v>48</v>
      </c>
      <c r="C117" s="38">
        <f t="shared" ref="C117:V117" si="46">C39</f>
        <v>0</v>
      </c>
      <c r="D117" s="38">
        <f t="shared" si="46"/>
        <v>0</v>
      </c>
      <c r="E117" s="38">
        <f t="shared" si="46"/>
        <v>0</v>
      </c>
      <c r="F117" s="38">
        <f t="shared" si="46"/>
        <v>0</v>
      </c>
      <c r="G117" s="38">
        <f t="shared" si="46"/>
        <v>0</v>
      </c>
      <c r="H117" s="38">
        <f t="shared" si="46"/>
        <v>0</v>
      </c>
      <c r="I117" s="38">
        <f t="shared" si="46"/>
        <v>0</v>
      </c>
      <c r="J117" s="38">
        <f t="shared" si="46"/>
        <v>0</v>
      </c>
      <c r="K117" s="38">
        <f t="shared" si="46"/>
        <v>0</v>
      </c>
      <c r="L117" s="38">
        <f t="shared" si="46"/>
        <v>0</v>
      </c>
      <c r="M117" s="38">
        <f t="shared" si="46"/>
        <v>0</v>
      </c>
      <c r="N117" s="38">
        <f t="shared" si="46"/>
        <v>0</v>
      </c>
      <c r="O117" s="38">
        <f t="shared" si="46"/>
        <v>0</v>
      </c>
      <c r="P117" s="38">
        <f t="shared" si="46"/>
        <v>0</v>
      </c>
      <c r="Q117" s="38">
        <f t="shared" si="46"/>
        <v>0</v>
      </c>
      <c r="R117" s="38">
        <f t="shared" si="46"/>
        <v>0</v>
      </c>
      <c r="S117" s="38">
        <f t="shared" si="46"/>
        <v>0</v>
      </c>
      <c r="T117" s="38">
        <f t="shared" si="46"/>
        <v>0</v>
      </c>
      <c r="U117" s="38">
        <f t="shared" si="46"/>
        <v>0</v>
      </c>
      <c r="V117" s="38">
        <f t="shared" si="46"/>
        <v>0</v>
      </c>
    </row>
    <row r="118" spans="1:22" x14ac:dyDescent="0.25">
      <c r="A118" s="29" t="s">
        <v>33</v>
      </c>
      <c r="B118" s="30" t="s">
        <v>41</v>
      </c>
      <c r="C118" s="38">
        <f t="shared" ref="C118:V118" si="47">C40</f>
        <v>0</v>
      </c>
      <c r="D118" s="38">
        <f t="shared" si="47"/>
        <v>0</v>
      </c>
      <c r="E118" s="38">
        <f t="shared" si="47"/>
        <v>0</v>
      </c>
      <c r="F118" s="38">
        <f t="shared" si="47"/>
        <v>0</v>
      </c>
      <c r="G118" s="38">
        <f t="shared" si="47"/>
        <v>0</v>
      </c>
      <c r="H118" s="38">
        <f t="shared" si="47"/>
        <v>0</v>
      </c>
      <c r="I118" s="38">
        <f t="shared" si="47"/>
        <v>0</v>
      </c>
      <c r="J118" s="38">
        <f t="shared" si="47"/>
        <v>0</v>
      </c>
      <c r="K118" s="38">
        <f t="shared" si="47"/>
        <v>0</v>
      </c>
      <c r="L118" s="38">
        <f t="shared" si="47"/>
        <v>0</v>
      </c>
      <c r="M118" s="38">
        <f t="shared" si="47"/>
        <v>0</v>
      </c>
      <c r="N118" s="38">
        <f t="shared" si="47"/>
        <v>0</v>
      </c>
      <c r="O118" s="38">
        <f t="shared" si="47"/>
        <v>0</v>
      </c>
      <c r="P118" s="38">
        <f t="shared" si="47"/>
        <v>0</v>
      </c>
      <c r="Q118" s="38">
        <f t="shared" si="47"/>
        <v>0</v>
      </c>
      <c r="R118" s="38">
        <f t="shared" si="47"/>
        <v>0</v>
      </c>
      <c r="S118" s="38">
        <f t="shared" si="47"/>
        <v>0</v>
      </c>
      <c r="T118" s="38">
        <f t="shared" si="47"/>
        <v>0</v>
      </c>
      <c r="U118" s="38">
        <f t="shared" si="47"/>
        <v>0</v>
      </c>
      <c r="V118" s="38">
        <f t="shared" si="47"/>
        <v>0</v>
      </c>
    </row>
    <row r="119" spans="1:22" x14ac:dyDescent="0.25">
      <c r="A119" s="29" t="s">
        <v>34</v>
      </c>
      <c r="B119" s="37" t="s">
        <v>45</v>
      </c>
      <c r="C119" s="38">
        <f t="shared" ref="C119:V119" si="48">C41</f>
        <v>1</v>
      </c>
      <c r="D119" s="38">
        <f t="shared" si="48"/>
        <v>1</v>
      </c>
      <c r="E119" s="38">
        <f t="shared" si="48"/>
        <v>1</v>
      </c>
      <c r="F119" s="38">
        <f t="shared" si="48"/>
        <v>1</v>
      </c>
      <c r="G119" s="38">
        <f t="shared" si="48"/>
        <v>1</v>
      </c>
      <c r="H119" s="38">
        <f t="shared" si="48"/>
        <v>0</v>
      </c>
      <c r="I119" s="38">
        <f t="shared" si="48"/>
        <v>0</v>
      </c>
      <c r="J119" s="38">
        <f t="shared" si="48"/>
        <v>0</v>
      </c>
      <c r="K119" s="38">
        <f t="shared" si="48"/>
        <v>0</v>
      </c>
      <c r="L119" s="38">
        <f t="shared" si="48"/>
        <v>0</v>
      </c>
      <c r="M119" s="38">
        <f t="shared" si="48"/>
        <v>0</v>
      </c>
      <c r="N119" s="38">
        <f t="shared" si="48"/>
        <v>0</v>
      </c>
      <c r="O119" s="38">
        <f t="shared" si="48"/>
        <v>0</v>
      </c>
      <c r="P119" s="38">
        <f t="shared" si="48"/>
        <v>0</v>
      </c>
      <c r="Q119" s="38">
        <f t="shared" si="48"/>
        <v>0</v>
      </c>
      <c r="R119" s="38">
        <f t="shared" si="48"/>
        <v>0</v>
      </c>
      <c r="S119" s="38">
        <f t="shared" si="48"/>
        <v>0</v>
      </c>
      <c r="T119" s="38">
        <f t="shared" si="48"/>
        <v>0</v>
      </c>
      <c r="U119" s="38">
        <f t="shared" si="48"/>
        <v>0</v>
      </c>
      <c r="V119" s="38">
        <f t="shared" si="48"/>
        <v>0</v>
      </c>
    </row>
    <row r="120" spans="1:22" x14ac:dyDescent="0.25">
      <c r="A120" s="29" t="s">
        <v>63</v>
      </c>
      <c r="B120" s="37" t="s">
        <v>43</v>
      </c>
      <c r="C120" s="38">
        <f t="shared" ref="C120:V120" si="49">C42</f>
        <v>1</v>
      </c>
      <c r="D120" s="38">
        <f t="shared" si="49"/>
        <v>1</v>
      </c>
      <c r="E120" s="38">
        <f t="shared" si="49"/>
        <v>1</v>
      </c>
      <c r="F120" s="38">
        <f t="shared" si="49"/>
        <v>1</v>
      </c>
      <c r="G120" s="38">
        <f t="shared" si="49"/>
        <v>1</v>
      </c>
      <c r="H120" s="38">
        <f t="shared" si="49"/>
        <v>1</v>
      </c>
      <c r="I120" s="38">
        <f t="shared" si="49"/>
        <v>1</v>
      </c>
      <c r="J120" s="38">
        <f t="shared" si="49"/>
        <v>1</v>
      </c>
      <c r="K120" s="38">
        <f t="shared" si="49"/>
        <v>1</v>
      </c>
      <c r="L120" s="38">
        <f t="shared" si="49"/>
        <v>1</v>
      </c>
      <c r="M120" s="38">
        <f t="shared" si="49"/>
        <v>1</v>
      </c>
      <c r="N120" s="38">
        <f t="shared" si="49"/>
        <v>1</v>
      </c>
      <c r="O120" s="38">
        <f t="shared" si="49"/>
        <v>1</v>
      </c>
      <c r="P120" s="38">
        <f t="shared" si="49"/>
        <v>1</v>
      </c>
      <c r="Q120" s="38">
        <f t="shared" si="49"/>
        <v>1</v>
      </c>
      <c r="R120" s="38">
        <f t="shared" si="49"/>
        <v>1</v>
      </c>
      <c r="S120" s="38">
        <f t="shared" si="49"/>
        <v>1</v>
      </c>
      <c r="T120" s="38">
        <f t="shared" si="49"/>
        <v>1</v>
      </c>
      <c r="U120" s="38">
        <f t="shared" si="49"/>
        <v>1</v>
      </c>
      <c r="V120" s="38">
        <f t="shared" si="49"/>
        <v>1</v>
      </c>
    </row>
    <row r="121" spans="1:22" x14ac:dyDescent="0.25">
      <c r="A121" s="29" t="s">
        <v>64</v>
      </c>
      <c r="B121" s="30" t="s">
        <v>46</v>
      </c>
      <c r="C121" s="38">
        <f t="shared" ref="C121:V121" si="50">C43</f>
        <v>1</v>
      </c>
      <c r="D121" s="38">
        <f t="shared" si="50"/>
        <v>1</v>
      </c>
      <c r="E121" s="38">
        <f t="shared" si="50"/>
        <v>0</v>
      </c>
      <c r="F121" s="38">
        <f t="shared" si="50"/>
        <v>0</v>
      </c>
      <c r="G121" s="38">
        <f t="shared" si="50"/>
        <v>0</v>
      </c>
      <c r="H121" s="38">
        <f t="shared" si="50"/>
        <v>0</v>
      </c>
      <c r="I121" s="38">
        <f t="shared" si="50"/>
        <v>0</v>
      </c>
      <c r="J121" s="38">
        <f t="shared" si="50"/>
        <v>0</v>
      </c>
      <c r="K121" s="38">
        <f t="shared" si="50"/>
        <v>0</v>
      </c>
      <c r="L121" s="38">
        <f t="shared" si="50"/>
        <v>0</v>
      </c>
      <c r="M121" s="38">
        <f t="shared" si="50"/>
        <v>0</v>
      </c>
      <c r="N121" s="38">
        <f t="shared" si="50"/>
        <v>0</v>
      </c>
      <c r="O121" s="38">
        <f t="shared" si="50"/>
        <v>0</v>
      </c>
      <c r="P121" s="38">
        <f t="shared" si="50"/>
        <v>0</v>
      </c>
      <c r="Q121" s="38">
        <f t="shared" si="50"/>
        <v>0</v>
      </c>
      <c r="R121" s="38">
        <f t="shared" si="50"/>
        <v>0</v>
      </c>
      <c r="S121" s="38">
        <f t="shared" si="50"/>
        <v>0</v>
      </c>
      <c r="T121" s="38">
        <f t="shared" si="50"/>
        <v>0</v>
      </c>
      <c r="U121" s="38">
        <f t="shared" si="50"/>
        <v>0</v>
      </c>
      <c r="V121" s="38">
        <f t="shared" si="50"/>
        <v>0</v>
      </c>
    </row>
    <row r="122" spans="1:22" x14ac:dyDescent="0.25">
      <c r="A122" s="29" t="s">
        <v>65</v>
      </c>
      <c r="B122" s="30" t="s">
        <v>41</v>
      </c>
      <c r="C122" s="38">
        <f t="shared" ref="C122:V122" si="51">C44</f>
        <v>1</v>
      </c>
      <c r="D122" s="38">
        <f t="shared" si="51"/>
        <v>1</v>
      </c>
      <c r="E122" s="38">
        <f t="shared" si="51"/>
        <v>1</v>
      </c>
      <c r="F122" s="38">
        <f t="shared" si="51"/>
        <v>1</v>
      </c>
      <c r="G122" s="38">
        <f t="shared" si="51"/>
        <v>1</v>
      </c>
      <c r="H122" s="38">
        <f t="shared" si="51"/>
        <v>1</v>
      </c>
      <c r="I122" s="38">
        <f t="shared" si="51"/>
        <v>1</v>
      </c>
      <c r="J122" s="38">
        <f t="shared" si="51"/>
        <v>0</v>
      </c>
      <c r="K122" s="38">
        <f t="shared" si="51"/>
        <v>0</v>
      </c>
      <c r="L122" s="38">
        <f t="shared" si="51"/>
        <v>0</v>
      </c>
      <c r="M122" s="38">
        <f t="shared" si="51"/>
        <v>0</v>
      </c>
      <c r="N122" s="38">
        <f t="shared" si="51"/>
        <v>0</v>
      </c>
      <c r="O122" s="38">
        <f t="shared" si="51"/>
        <v>0</v>
      </c>
      <c r="P122" s="38">
        <f t="shared" si="51"/>
        <v>0</v>
      </c>
      <c r="Q122" s="38">
        <f t="shared" si="51"/>
        <v>0</v>
      </c>
      <c r="R122" s="38">
        <f t="shared" si="51"/>
        <v>0</v>
      </c>
      <c r="S122" s="38">
        <f t="shared" si="51"/>
        <v>0</v>
      </c>
      <c r="T122" s="38">
        <f t="shared" si="51"/>
        <v>0</v>
      </c>
      <c r="U122" s="38">
        <f t="shared" si="51"/>
        <v>0</v>
      </c>
      <c r="V122" s="38">
        <f t="shared" si="51"/>
        <v>0</v>
      </c>
    </row>
    <row r="123" spans="1:22" x14ac:dyDescent="0.25">
      <c r="A123" s="29" t="s">
        <v>35</v>
      </c>
      <c r="B123" s="30" t="s">
        <v>40</v>
      </c>
      <c r="C123" s="38">
        <f t="shared" ref="C123:V123" si="52">C45</f>
        <v>1</v>
      </c>
      <c r="D123" s="38">
        <f t="shared" si="52"/>
        <v>1</v>
      </c>
      <c r="E123" s="38">
        <f t="shared" si="52"/>
        <v>0</v>
      </c>
      <c r="F123" s="38">
        <f t="shared" si="52"/>
        <v>0</v>
      </c>
      <c r="G123" s="38">
        <f t="shared" si="52"/>
        <v>0</v>
      </c>
      <c r="H123" s="38">
        <f t="shared" si="52"/>
        <v>0</v>
      </c>
      <c r="I123" s="38">
        <f t="shared" si="52"/>
        <v>0</v>
      </c>
      <c r="J123" s="38">
        <f t="shared" si="52"/>
        <v>0</v>
      </c>
      <c r="K123" s="38">
        <f t="shared" si="52"/>
        <v>0</v>
      </c>
      <c r="L123" s="38">
        <f t="shared" si="52"/>
        <v>0</v>
      </c>
      <c r="M123" s="38">
        <f t="shared" si="52"/>
        <v>0</v>
      </c>
      <c r="N123" s="38">
        <f t="shared" si="52"/>
        <v>0</v>
      </c>
      <c r="O123" s="38">
        <f t="shared" si="52"/>
        <v>0</v>
      </c>
      <c r="P123" s="38">
        <f t="shared" si="52"/>
        <v>0</v>
      </c>
      <c r="Q123" s="38">
        <f t="shared" si="52"/>
        <v>0</v>
      </c>
      <c r="R123" s="38">
        <f t="shared" si="52"/>
        <v>0</v>
      </c>
      <c r="S123" s="38">
        <f t="shared" si="52"/>
        <v>0</v>
      </c>
      <c r="T123" s="38">
        <f t="shared" si="52"/>
        <v>0</v>
      </c>
      <c r="U123" s="38">
        <f t="shared" si="52"/>
        <v>0</v>
      </c>
      <c r="V123" s="38">
        <f t="shared" si="52"/>
        <v>0</v>
      </c>
    </row>
    <row r="124" spans="1:22" x14ac:dyDescent="0.25">
      <c r="A124" s="29" t="s">
        <v>36</v>
      </c>
      <c r="B124" s="30" t="s">
        <v>40</v>
      </c>
      <c r="C124" s="38">
        <f t="shared" ref="C124:V124" si="53">C46</f>
        <v>1</v>
      </c>
      <c r="D124" s="38">
        <f t="shared" si="53"/>
        <v>1</v>
      </c>
      <c r="E124" s="38">
        <f t="shared" si="53"/>
        <v>0</v>
      </c>
      <c r="F124" s="38">
        <f t="shared" si="53"/>
        <v>0</v>
      </c>
      <c r="G124" s="38">
        <f t="shared" si="53"/>
        <v>0</v>
      </c>
      <c r="H124" s="38">
        <f t="shared" si="53"/>
        <v>0</v>
      </c>
      <c r="I124" s="38">
        <f t="shared" si="53"/>
        <v>0</v>
      </c>
      <c r="J124" s="38">
        <f t="shared" si="53"/>
        <v>0</v>
      </c>
      <c r="K124" s="38">
        <f t="shared" si="53"/>
        <v>0</v>
      </c>
      <c r="L124" s="38">
        <f t="shared" si="53"/>
        <v>0</v>
      </c>
      <c r="M124" s="38">
        <f t="shared" si="53"/>
        <v>0</v>
      </c>
      <c r="N124" s="38">
        <f t="shared" si="53"/>
        <v>0</v>
      </c>
      <c r="O124" s="38">
        <f t="shared" si="53"/>
        <v>0</v>
      </c>
      <c r="P124" s="38">
        <f t="shared" si="53"/>
        <v>0</v>
      </c>
      <c r="Q124" s="38">
        <f t="shared" si="53"/>
        <v>0</v>
      </c>
      <c r="R124" s="38">
        <f t="shared" si="53"/>
        <v>0</v>
      </c>
      <c r="S124" s="38">
        <f t="shared" si="53"/>
        <v>0</v>
      </c>
      <c r="T124" s="38">
        <f t="shared" si="53"/>
        <v>0</v>
      </c>
      <c r="U124" s="38">
        <f t="shared" si="53"/>
        <v>0</v>
      </c>
      <c r="V124" s="38">
        <f t="shared" si="53"/>
        <v>0</v>
      </c>
    </row>
    <row r="125" spans="1:22" x14ac:dyDescent="0.25">
      <c r="A125" s="29" t="s">
        <v>37</v>
      </c>
      <c r="B125" s="30" t="s">
        <v>40</v>
      </c>
      <c r="C125" s="38">
        <f t="shared" ref="C125:V125" si="54">C47</f>
        <v>1</v>
      </c>
      <c r="D125" s="38">
        <f t="shared" si="54"/>
        <v>1</v>
      </c>
      <c r="E125" s="38">
        <f t="shared" si="54"/>
        <v>0</v>
      </c>
      <c r="F125" s="38">
        <f t="shared" si="54"/>
        <v>0</v>
      </c>
      <c r="G125" s="38">
        <f t="shared" si="54"/>
        <v>0</v>
      </c>
      <c r="H125" s="38">
        <f t="shared" si="54"/>
        <v>0</v>
      </c>
      <c r="I125" s="38">
        <f t="shared" si="54"/>
        <v>0</v>
      </c>
      <c r="J125" s="38">
        <f t="shared" si="54"/>
        <v>0</v>
      </c>
      <c r="K125" s="38">
        <f t="shared" si="54"/>
        <v>0</v>
      </c>
      <c r="L125" s="38">
        <f t="shared" si="54"/>
        <v>0</v>
      </c>
      <c r="M125" s="38">
        <f t="shared" si="54"/>
        <v>0</v>
      </c>
      <c r="N125" s="38">
        <f t="shared" si="54"/>
        <v>0</v>
      </c>
      <c r="O125" s="38">
        <f t="shared" si="54"/>
        <v>0</v>
      </c>
      <c r="P125" s="38">
        <f t="shared" si="54"/>
        <v>0</v>
      </c>
      <c r="Q125" s="38">
        <f t="shared" si="54"/>
        <v>0</v>
      </c>
      <c r="R125" s="38">
        <f t="shared" si="54"/>
        <v>0</v>
      </c>
      <c r="S125" s="38">
        <f t="shared" si="54"/>
        <v>0</v>
      </c>
      <c r="T125" s="38">
        <f t="shared" si="54"/>
        <v>0</v>
      </c>
      <c r="U125" s="38">
        <f t="shared" si="54"/>
        <v>0</v>
      </c>
      <c r="V125" s="38">
        <f t="shared" si="54"/>
        <v>0</v>
      </c>
    </row>
    <row r="126" spans="1:22" x14ac:dyDescent="0.25">
      <c r="A126" s="29" t="s">
        <v>38</v>
      </c>
      <c r="B126" s="30" t="s">
        <v>41</v>
      </c>
      <c r="C126" s="38">
        <f t="shared" ref="C126:V126" si="55">C48</f>
        <v>1</v>
      </c>
      <c r="D126" s="38">
        <f t="shared" si="55"/>
        <v>0</v>
      </c>
      <c r="E126" s="38">
        <f t="shared" si="55"/>
        <v>0</v>
      </c>
      <c r="F126" s="38">
        <f t="shared" si="55"/>
        <v>0</v>
      </c>
      <c r="G126" s="38">
        <f t="shared" si="55"/>
        <v>0</v>
      </c>
      <c r="H126" s="38">
        <f t="shared" si="55"/>
        <v>0</v>
      </c>
      <c r="I126" s="38">
        <f t="shared" si="55"/>
        <v>0</v>
      </c>
      <c r="J126" s="38">
        <f t="shared" si="55"/>
        <v>0</v>
      </c>
      <c r="K126" s="38">
        <f t="shared" si="55"/>
        <v>0</v>
      </c>
      <c r="L126" s="38">
        <f t="shared" si="55"/>
        <v>0</v>
      </c>
      <c r="M126" s="38">
        <f t="shared" si="55"/>
        <v>0</v>
      </c>
      <c r="N126" s="38">
        <f t="shared" si="55"/>
        <v>0</v>
      </c>
      <c r="O126" s="38">
        <f t="shared" si="55"/>
        <v>0</v>
      </c>
      <c r="P126" s="38">
        <f t="shared" si="55"/>
        <v>0</v>
      </c>
      <c r="Q126" s="38">
        <f t="shared" si="55"/>
        <v>0</v>
      </c>
      <c r="R126" s="38">
        <f t="shared" si="55"/>
        <v>0</v>
      </c>
      <c r="S126" s="38">
        <f t="shared" si="55"/>
        <v>0</v>
      </c>
      <c r="T126" s="38">
        <f t="shared" si="55"/>
        <v>0</v>
      </c>
      <c r="U126" s="38">
        <f t="shared" si="55"/>
        <v>0</v>
      </c>
      <c r="V126" s="38">
        <f t="shared" si="55"/>
        <v>0</v>
      </c>
    </row>
    <row r="127" spans="1:22" x14ac:dyDescent="0.25">
      <c r="A127" s="88" t="str">
        <f t="shared" ref="A127:B134" si="56">A49</f>
        <v>New</v>
      </c>
      <c r="B127" s="88" t="str">
        <f t="shared" si="56"/>
        <v>Human Space Flight</v>
      </c>
      <c r="C127" s="20" t="e">
        <f>New_missions!C14+New_missions!C38</f>
        <v>#REF!</v>
      </c>
      <c r="D127" s="20" t="e">
        <f>New_missions!D14+New_missions!D38</f>
        <v>#REF!</v>
      </c>
      <c r="E127" s="20" t="e">
        <f>New_missions!E14+New_missions!E38</f>
        <v>#REF!</v>
      </c>
      <c r="F127" s="20" t="e">
        <f>New_missions!F14+New_missions!F38</f>
        <v>#REF!</v>
      </c>
      <c r="G127" s="20" t="e">
        <f>New_missions!G14+New_missions!G38</f>
        <v>#REF!</v>
      </c>
      <c r="H127" s="20" t="e">
        <f>New_missions!H14+New_missions!H38</f>
        <v>#REF!</v>
      </c>
      <c r="I127" s="20" t="e">
        <f>New_missions!I14+New_missions!I38</f>
        <v>#REF!</v>
      </c>
      <c r="J127" s="20" t="e">
        <f>New_missions!J14+New_missions!J38</f>
        <v>#REF!</v>
      </c>
      <c r="K127" s="20" t="e">
        <f>New_missions!K14+New_missions!K38</f>
        <v>#REF!</v>
      </c>
      <c r="L127" s="20" t="e">
        <f>New_missions!L14+New_missions!L38</f>
        <v>#REF!</v>
      </c>
      <c r="M127" s="20" t="e">
        <f>New_missions!M14+New_missions!M38</f>
        <v>#REF!</v>
      </c>
      <c r="N127" s="20" t="e">
        <f>New_missions!N14+New_missions!N38</f>
        <v>#REF!</v>
      </c>
      <c r="O127" s="20" t="e">
        <f>New_missions!O14+New_missions!O38</f>
        <v>#REF!</v>
      </c>
      <c r="P127" s="20" t="e">
        <f>New_missions!P14+New_missions!P38</f>
        <v>#REF!</v>
      </c>
      <c r="Q127" s="20" t="e">
        <f>New_missions!Q14+New_missions!Q38</f>
        <v>#REF!</v>
      </c>
      <c r="R127" s="20" t="e">
        <f>New_missions!R14+New_missions!R38</f>
        <v>#REF!</v>
      </c>
      <c r="S127" s="20" t="e">
        <f>New_missions!S14+New_missions!S38</f>
        <v>#REF!</v>
      </c>
      <c r="T127" s="20" t="e">
        <f>New_missions!T14+New_missions!T38</f>
        <v>#REF!</v>
      </c>
      <c r="U127" s="20" t="e">
        <f>New_missions!U14+New_missions!U38</f>
        <v>#REF!</v>
      </c>
      <c r="V127" s="20" t="e">
        <f>New_missions!V14+New_missions!V38</f>
        <v>#REF!</v>
      </c>
    </row>
    <row r="128" spans="1:22" x14ac:dyDescent="0.25">
      <c r="A128" s="88" t="str">
        <f t="shared" si="56"/>
        <v>New</v>
      </c>
      <c r="B128" s="88" t="str">
        <f t="shared" si="56"/>
        <v>Near Earth Robotic - LEO Science</v>
      </c>
      <c r="C128" s="20" t="e">
        <f>New_missions!C15+New_missions!C39</f>
        <v>#REF!</v>
      </c>
      <c r="D128" s="20" t="e">
        <f>New_missions!D15+New_missions!D39</f>
        <v>#REF!</v>
      </c>
      <c r="E128" s="20" t="e">
        <f>New_missions!E15+New_missions!E39</f>
        <v>#REF!</v>
      </c>
      <c r="F128" s="20" t="e">
        <f>New_missions!F15+New_missions!F39</f>
        <v>#REF!</v>
      </c>
      <c r="G128" s="20" t="e">
        <f>New_missions!G15+New_missions!G39</f>
        <v>#REF!</v>
      </c>
      <c r="H128" s="20" t="e">
        <f>New_missions!H15+New_missions!H39</f>
        <v>#REF!</v>
      </c>
      <c r="I128" s="20" t="e">
        <f>New_missions!I15+New_missions!I39</f>
        <v>#REF!</v>
      </c>
      <c r="J128" s="20" t="e">
        <f>New_missions!J15+New_missions!J39</f>
        <v>#REF!</v>
      </c>
      <c r="K128" s="20" t="e">
        <f>New_missions!K15+New_missions!K39</f>
        <v>#REF!</v>
      </c>
      <c r="L128" s="20" t="e">
        <f>New_missions!L15+New_missions!L39</f>
        <v>#REF!</v>
      </c>
      <c r="M128" s="20" t="e">
        <f>New_missions!M15+New_missions!M39</f>
        <v>#REF!</v>
      </c>
      <c r="N128" s="20" t="e">
        <f>New_missions!N15+New_missions!N39</f>
        <v>#REF!</v>
      </c>
      <c r="O128" s="20" t="e">
        <f>New_missions!O15+New_missions!O39</f>
        <v>#REF!</v>
      </c>
      <c r="P128" s="20" t="e">
        <f>New_missions!P15+New_missions!P39</f>
        <v>#REF!</v>
      </c>
      <c r="Q128" s="20" t="e">
        <f>New_missions!Q15+New_missions!Q39</f>
        <v>#REF!</v>
      </c>
      <c r="R128" s="20" t="e">
        <f>New_missions!R15+New_missions!R39</f>
        <v>#REF!</v>
      </c>
      <c r="S128" s="20" t="e">
        <f>New_missions!S15+New_missions!S39</f>
        <v>#REF!</v>
      </c>
      <c r="T128" s="20" t="e">
        <f>New_missions!T15+New_missions!T39</f>
        <v>#REF!</v>
      </c>
      <c r="U128" s="20" t="e">
        <f>New_missions!U15+New_missions!U39</f>
        <v>#REF!</v>
      </c>
      <c r="V128" s="20" t="e">
        <f>New_missions!V15+New_missions!V39</f>
        <v>#REF!</v>
      </c>
    </row>
    <row r="129" spans="1:22" x14ac:dyDescent="0.25">
      <c r="A129" s="88" t="str">
        <f t="shared" si="56"/>
        <v>New</v>
      </c>
      <c r="B129" s="88" t="str">
        <f t="shared" si="56"/>
        <v>Near Earth Robotic - GEO and Near Earth</v>
      </c>
      <c r="C129" s="20" t="e">
        <f>New_missions!C16+New_missions!C40</f>
        <v>#REF!</v>
      </c>
      <c r="D129" s="20" t="e">
        <f>New_missions!D16+New_missions!D40</f>
        <v>#REF!</v>
      </c>
      <c r="E129" s="20" t="e">
        <f>New_missions!E16+New_missions!E40</f>
        <v>#REF!</v>
      </c>
      <c r="F129" s="20" t="e">
        <f>New_missions!F16+New_missions!F40</f>
        <v>#REF!</v>
      </c>
      <c r="G129" s="20" t="e">
        <f>New_missions!G16+New_missions!G40</f>
        <v>#REF!</v>
      </c>
      <c r="H129" s="20" t="e">
        <f>New_missions!H16+New_missions!H40</f>
        <v>#REF!</v>
      </c>
      <c r="I129" s="20" t="e">
        <f>New_missions!I16+New_missions!I40</f>
        <v>#REF!</v>
      </c>
      <c r="J129" s="20" t="e">
        <f>New_missions!J16+New_missions!J40</f>
        <v>#REF!</v>
      </c>
      <c r="K129" s="20" t="e">
        <f>New_missions!K16+New_missions!K40</f>
        <v>#REF!</v>
      </c>
      <c r="L129" s="20" t="e">
        <f>New_missions!L16+New_missions!L40</f>
        <v>#REF!</v>
      </c>
      <c r="M129" s="20" t="e">
        <f>New_missions!M16+New_missions!M40</f>
        <v>#REF!</v>
      </c>
      <c r="N129" s="20" t="e">
        <f>New_missions!N16+New_missions!N40</f>
        <v>#REF!</v>
      </c>
      <c r="O129" s="20" t="e">
        <f>New_missions!O16+New_missions!O40</f>
        <v>#REF!</v>
      </c>
      <c r="P129" s="20" t="e">
        <f>New_missions!P16+New_missions!P40</f>
        <v>#REF!</v>
      </c>
      <c r="Q129" s="20" t="e">
        <f>New_missions!Q16+New_missions!Q40</f>
        <v>#REF!</v>
      </c>
      <c r="R129" s="20" t="e">
        <f>New_missions!R16+New_missions!R40</f>
        <v>#REF!</v>
      </c>
      <c r="S129" s="20" t="e">
        <f>New_missions!S16+New_missions!S40</f>
        <v>#REF!</v>
      </c>
      <c r="T129" s="20" t="e">
        <f>New_missions!T16+New_missions!T40</f>
        <v>#REF!</v>
      </c>
      <c r="U129" s="20" t="e">
        <f>New_missions!U16+New_missions!U40</f>
        <v>#REF!</v>
      </c>
      <c r="V129" s="20" t="e">
        <f>New_missions!V16+New_missions!V40</f>
        <v>#REF!</v>
      </c>
    </row>
    <row r="130" spans="1:22" x14ac:dyDescent="0.25">
      <c r="A130" s="88" t="str">
        <f t="shared" si="56"/>
        <v>New</v>
      </c>
      <c r="B130" s="88" t="str">
        <f t="shared" si="56"/>
        <v>Deep Space Robotic</v>
      </c>
      <c r="C130" s="20" t="e">
        <f>New_missions!C17+New_missions!C41</f>
        <v>#REF!</v>
      </c>
      <c r="D130" s="20" t="e">
        <f>New_missions!D17+New_missions!D41</f>
        <v>#REF!</v>
      </c>
      <c r="E130" s="20" t="e">
        <f>New_missions!E17+New_missions!E41</f>
        <v>#REF!</v>
      </c>
      <c r="F130" s="20" t="e">
        <f>New_missions!F17+New_missions!F41</f>
        <v>#REF!</v>
      </c>
      <c r="G130" s="20" t="e">
        <f>New_missions!G17+New_missions!G41</f>
        <v>#REF!</v>
      </c>
      <c r="H130" s="20" t="e">
        <f>New_missions!H17+New_missions!H41</f>
        <v>#REF!</v>
      </c>
      <c r="I130" s="20" t="e">
        <f>New_missions!I17+New_missions!I41</f>
        <v>#REF!</v>
      </c>
      <c r="J130" s="20" t="e">
        <f>New_missions!J17+New_missions!J41</f>
        <v>#REF!</v>
      </c>
      <c r="K130" s="20" t="e">
        <f>New_missions!K17+New_missions!K41</f>
        <v>#REF!</v>
      </c>
      <c r="L130" s="20" t="e">
        <f>New_missions!L17+New_missions!L41</f>
        <v>#REF!</v>
      </c>
      <c r="M130" s="20" t="e">
        <f>New_missions!M17+New_missions!M41</f>
        <v>#REF!</v>
      </c>
      <c r="N130" s="20" t="e">
        <f>New_missions!N17+New_missions!N41</f>
        <v>#REF!</v>
      </c>
      <c r="O130" s="20" t="e">
        <f>New_missions!O17+New_missions!O41</f>
        <v>#REF!</v>
      </c>
      <c r="P130" s="20" t="e">
        <f>New_missions!P17+New_missions!P41</f>
        <v>#REF!</v>
      </c>
      <c r="Q130" s="20" t="e">
        <f>New_missions!Q17+New_missions!Q41</f>
        <v>#REF!</v>
      </c>
      <c r="R130" s="20" t="e">
        <f>New_missions!R17+New_missions!R41</f>
        <v>#REF!</v>
      </c>
      <c r="S130" s="20" t="e">
        <f>New_missions!S17+New_missions!S41</f>
        <v>#REF!</v>
      </c>
      <c r="T130" s="20" t="e">
        <f>New_missions!T17+New_missions!T41</f>
        <v>#REF!</v>
      </c>
      <c r="U130" s="20" t="e">
        <f>New_missions!U17+New_missions!U41</f>
        <v>#REF!</v>
      </c>
      <c r="V130" s="20" t="e">
        <f>New_missions!V17+New_missions!V41</f>
        <v>#REF!</v>
      </c>
    </row>
    <row r="131" spans="1:22" x14ac:dyDescent="0.25">
      <c r="A131" s="88" t="str">
        <f t="shared" si="56"/>
        <v>New</v>
      </c>
      <c r="B131" s="88" t="str">
        <f t="shared" si="56"/>
        <v>Near Earth Robotic - Low Latency &amp; Complex Needs</v>
      </c>
      <c r="C131" s="20" t="e">
        <f>New_missions!C18+New_missions!C42</f>
        <v>#REF!</v>
      </c>
      <c r="D131" s="20" t="e">
        <f>New_missions!D18+New_missions!D42</f>
        <v>#REF!</v>
      </c>
      <c r="E131" s="20" t="e">
        <f>New_missions!E18+New_missions!E42</f>
        <v>#REF!</v>
      </c>
      <c r="F131" s="20" t="e">
        <f>New_missions!F18+New_missions!F42</f>
        <v>#REF!</v>
      </c>
      <c r="G131" s="20" t="e">
        <f>New_missions!G18+New_missions!G42</f>
        <v>#REF!</v>
      </c>
      <c r="H131" s="20" t="e">
        <f>New_missions!H18+New_missions!H42</f>
        <v>#REF!</v>
      </c>
      <c r="I131" s="20" t="e">
        <f>New_missions!I18+New_missions!I42</f>
        <v>#REF!</v>
      </c>
      <c r="J131" s="20" t="e">
        <f>New_missions!J18+New_missions!J42</f>
        <v>#REF!</v>
      </c>
      <c r="K131" s="20" t="e">
        <f>New_missions!K18+New_missions!K42</f>
        <v>#REF!</v>
      </c>
      <c r="L131" s="20" t="e">
        <f>New_missions!L18+New_missions!L42</f>
        <v>#REF!</v>
      </c>
      <c r="M131" s="20" t="e">
        <f>New_missions!M18+New_missions!M42</f>
        <v>#REF!</v>
      </c>
      <c r="N131" s="20" t="e">
        <f>New_missions!N18+New_missions!N42</f>
        <v>#REF!</v>
      </c>
      <c r="O131" s="20" t="e">
        <f>New_missions!O18+New_missions!O42</f>
        <v>#REF!</v>
      </c>
      <c r="P131" s="20" t="e">
        <f>New_missions!P18+New_missions!P42</f>
        <v>#REF!</v>
      </c>
      <c r="Q131" s="20" t="e">
        <f>New_missions!Q18+New_missions!Q42</f>
        <v>#REF!</v>
      </c>
      <c r="R131" s="20" t="e">
        <f>New_missions!R18+New_missions!R42</f>
        <v>#REF!</v>
      </c>
      <c r="S131" s="20" t="e">
        <f>New_missions!S18+New_missions!S42</f>
        <v>#REF!</v>
      </c>
      <c r="T131" s="20" t="e">
        <f>New_missions!T18+New_missions!T42</f>
        <v>#REF!</v>
      </c>
      <c r="U131" s="20" t="e">
        <f>New_missions!U18+New_missions!U42</f>
        <v>#REF!</v>
      </c>
      <c r="V131" s="20" t="e">
        <f>New_missions!V18+New_missions!V42</f>
        <v>#REF!</v>
      </c>
    </row>
    <row r="132" spans="1:22" x14ac:dyDescent="0.25">
      <c r="A132" s="88" t="str">
        <f t="shared" si="56"/>
        <v>New</v>
      </c>
      <c r="B132" s="88" t="str">
        <f t="shared" si="56"/>
        <v>Mission Operations</v>
      </c>
      <c r="C132" s="20" t="e">
        <f>New_missions!C19+New_missions!C43</f>
        <v>#REF!</v>
      </c>
      <c r="D132" s="20" t="e">
        <f>New_missions!D19+New_missions!D43</f>
        <v>#REF!</v>
      </c>
      <c r="E132" s="20" t="e">
        <f>New_missions!E19+New_missions!E43</f>
        <v>#REF!</v>
      </c>
      <c r="F132" s="20" t="e">
        <f>New_missions!F19+New_missions!F43</f>
        <v>#REF!</v>
      </c>
      <c r="G132" s="20" t="e">
        <f>New_missions!G19+New_missions!G43</f>
        <v>#REF!</v>
      </c>
      <c r="H132" s="20" t="e">
        <f>New_missions!H19+New_missions!H43</f>
        <v>#REF!</v>
      </c>
      <c r="I132" s="20" t="e">
        <f>New_missions!I19+New_missions!I43</f>
        <v>#REF!</v>
      </c>
      <c r="J132" s="20" t="e">
        <f>New_missions!J19+New_missions!J43</f>
        <v>#REF!</v>
      </c>
      <c r="K132" s="20" t="e">
        <f>New_missions!K19+New_missions!K43</f>
        <v>#REF!</v>
      </c>
      <c r="L132" s="20" t="e">
        <f>New_missions!L19+New_missions!L43</f>
        <v>#REF!</v>
      </c>
      <c r="M132" s="20" t="e">
        <f>New_missions!M19+New_missions!M43</f>
        <v>#REF!</v>
      </c>
      <c r="N132" s="20" t="e">
        <f>New_missions!N19+New_missions!N43</f>
        <v>#REF!</v>
      </c>
      <c r="O132" s="20" t="e">
        <f>New_missions!O19+New_missions!O43</f>
        <v>#REF!</v>
      </c>
      <c r="P132" s="20" t="e">
        <f>New_missions!P19+New_missions!P43</f>
        <v>#REF!</v>
      </c>
      <c r="Q132" s="20" t="e">
        <f>New_missions!Q19+New_missions!Q43</f>
        <v>#REF!</v>
      </c>
      <c r="R132" s="20" t="e">
        <f>New_missions!R19+New_missions!R43</f>
        <v>#REF!</v>
      </c>
      <c r="S132" s="20" t="e">
        <f>New_missions!S19+New_missions!S43</f>
        <v>#REF!</v>
      </c>
      <c r="T132" s="20" t="e">
        <f>New_missions!T19+New_missions!T43</f>
        <v>#REF!</v>
      </c>
      <c r="U132" s="20" t="e">
        <f>New_missions!U19+New_missions!U43</f>
        <v>#REF!</v>
      </c>
      <c r="V132" s="20" t="e">
        <f>New_missions!V19+New_missions!V43</f>
        <v>#REF!</v>
      </c>
    </row>
    <row r="133" spans="1:22" x14ac:dyDescent="0.25">
      <c r="A133" s="88" t="str">
        <f t="shared" si="56"/>
        <v>New</v>
      </c>
      <c r="B133" s="88" t="str">
        <f t="shared" si="56"/>
        <v>Launch Events</v>
      </c>
      <c r="C133" s="20" t="e">
        <f>New_missions!C20+New_missions!C44</f>
        <v>#REF!</v>
      </c>
      <c r="D133" s="20" t="e">
        <f>New_missions!D20+New_missions!D44</f>
        <v>#REF!</v>
      </c>
      <c r="E133" s="20" t="e">
        <f>New_missions!E20+New_missions!E44</f>
        <v>#REF!</v>
      </c>
      <c r="F133" s="20" t="e">
        <f>New_missions!F20+New_missions!F44</f>
        <v>#REF!</v>
      </c>
      <c r="G133" s="20" t="e">
        <f>New_missions!G20+New_missions!G44</f>
        <v>#REF!</v>
      </c>
      <c r="H133" s="20" t="e">
        <f>New_missions!H20+New_missions!H44</f>
        <v>#REF!</v>
      </c>
      <c r="I133" s="20" t="e">
        <f>New_missions!I20+New_missions!I44</f>
        <v>#REF!</v>
      </c>
      <c r="J133" s="20" t="e">
        <f>New_missions!J20+New_missions!J44</f>
        <v>#REF!</v>
      </c>
      <c r="K133" s="20" t="e">
        <f>New_missions!K20+New_missions!K44</f>
        <v>#REF!</v>
      </c>
      <c r="L133" s="20" t="e">
        <f>New_missions!L20+New_missions!L44</f>
        <v>#REF!</v>
      </c>
      <c r="M133" s="20" t="e">
        <f>New_missions!M20+New_missions!M44</f>
        <v>#REF!</v>
      </c>
      <c r="N133" s="20" t="e">
        <f>New_missions!N20+New_missions!N44</f>
        <v>#REF!</v>
      </c>
      <c r="O133" s="20" t="e">
        <f>New_missions!O20+New_missions!O44</f>
        <v>#REF!</v>
      </c>
      <c r="P133" s="20" t="e">
        <f>New_missions!P20+New_missions!P44</f>
        <v>#REF!</v>
      </c>
      <c r="Q133" s="20" t="e">
        <f>New_missions!Q20+New_missions!Q44</f>
        <v>#REF!</v>
      </c>
      <c r="R133" s="20" t="e">
        <f>New_missions!R20+New_missions!R44</f>
        <v>#REF!</v>
      </c>
      <c r="S133" s="20" t="e">
        <f>New_missions!S20+New_missions!S44</f>
        <v>#REF!</v>
      </c>
      <c r="T133" s="20" t="e">
        <f>New_missions!T20+New_missions!T44</f>
        <v>#REF!</v>
      </c>
      <c r="U133" s="20" t="e">
        <f>New_missions!U20+New_missions!U44</f>
        <v>#REF!</v>
      </c>
      <c r="V133" s="20" t="e">
        <f>New_missions!V20+New_missions!V44</f>
        <v>#REF!</v>
      </c>
    </row>
    <row r="134" spans="1:22" x14ac:dyDescent="0.25">
      <c r="A134" s="88" t="str">
        <f t="shared" si="56"/>
        <v>New</v>
      </c>
      <c r="B134" s="88" t="str">
        <f t="shared" si="56"/>
        <v>Terrestrial &amp; Aerial</v>
      </c>
      <c r="C134" s="20" t="e">
        <f>New_missions!C21+New_missions!C45</f>
        <v>#REF!</v>
      </c>
      <c r="D134" s="20" t="e">
        <f>New_missions!D21+New_missions!D45</f>
        <v>#REF!</v>
      </c>
      <c r="E134" s="20" t="e">
        <f>New_missions!E21+New_missions!E45</f>
        <v>#REF!</v>
      </c>
      <c r="F134" s="20" t="e">
        <f>New_missions!F21+New_missions!F45</f>
        <v>#REF!</v>
      </c>
      <c r="G134" s="20" t="e">
        <f>New_missions!G21+New_missions!G45</f>
        <v>#REF!</v>
      </c>
      <c r="H134" s="20" t="e">
        <f>New_missions!H21+New_missions!H45</f>
        <v>#REF!</v>
      </c>
      <c r="I134" s="20" t="e">
        <f>New_missions!I21+New_missions!I45</f>
        <v>#REF!</v>
      </c>
      <c r="J134" s="20" t="e">
        <f>New_missions!J21+New_missions!J45</f>
        <v>#REF!</v>
      </c>
      <c r="K134" s="20" t="e">
        <f>New_missions!K21+New_missions!K45</f>
        <v>#REF!</v>
      </c>
      <c r="L134" s="20" t="e">
        <f>New_missions!L21+New_missions!L45</f>
        <v>#REF!</v>
      </c>
      <c r="M134" s="20" t="e">
        <f>New_missions!M21+New_missions!M45</f>
        <v>#REF!</v>
      </c>
      <c r="N134" s="20" t="e">
        <f>New_missions!N21+New_missions!N45</f>
        <v>#REF!</v>
      </c>
      <c r="O134" s="20" t="e">
        <f>New_missions!O21+New_missions!O45</f>
        <v>#REF!</v>
      </c>
      <c r="P134" s="20" t="e">
        <f>New_missions!P21+New_missions!P45</f>
        <v>#REF!</v>
      </c>
      <c r="Q134" s="20" t="e">
        <f>New_missions!Q21+New_missions!Q45</f>
        <v>#REF!</v>
      </c>
      <c r="R134" s="20" t="e">
        <f>New_missions!R21+New_missions!R45</f>
        <v>#REF!</v>
      </c>
      <c r="S134" s="20" t="e">
        <f>New_missions!S21+New_missions!S45</f>
        <v>#REF!</v>
      </c>
      <c r="T134" s="20" t="e">
        <f>New_missions!T21+New_missions!T45</f>
        <v>#REF!</v>
      </c>
      <c r="U134" s="20" t="e">
        <f>New_missions!U21+New_missions!U45</f>
        <v>#REF!</v>
      </c>
      <c r="V134" s="20" t="e">
        <f>New_missions!V21+New_missions!V45</f>
        <v>#REF!</v>
      </c>
    </row>
    <row r="135" spans="1:22" x14ac:dyDescent="0.25">
      <c r="A135" s="82"/>
      <c r="B135" s="89"/>
    </row>
    <row r="136" spans="1:22" x14ac:dyDescent="0.25">
      <c r="A136" s="82"/>
      <c r="B136" s="89"/>
      <c r="C136" s="91" t="e">
        <f>SUM(C80:C134)</f>
        <v>#REF!</v>
      </c>
      <c r="D136" s="91" t="e">
        <f>SUM(D80:D134)</f>
        <v>#REF!</v>
      </c>
      <c r="E136" s="91" t="e">
        <f t="shared" ref="E136:V136" si="57">SUM(E80:E134)</f>
        <v>#REF!</v>
      </c>
      <c r="F136" s="91" t="e">
        <f t="shared" si="57"/>
        <v>#REF!</v>
      </c>
      <c r="G136" s="91" t="e">
        <f t="shared" si="57"/>
        <v>#REF!</v>
      </c>
      <c r="H136" s="91" t="e">
        <f t="shared" si="57"/>
        <v>#REF!</v>
      </c>
      <c r="I136" s="91" t="e">
        <f t="shared" si="57"/>
        <v>#REF!</v>
      </c>
      <c r="J136" s="91" t="e">
        <f t="shared" si="57"/>
        <v>#REF!</v>
      </c>
      <c r="K136" s="91" t="e">
        <f>SUM(K80:K134)</f>
        <v>#REF!</v>
      </c>
      <c r="L136" s="92" t="e">
        <f t="shared" si="57"/>
        <v>#REF!</v>
      </c>
      <c r="M136" s="91" t="e">
        <f t="shared" si="57"/>
        <v>#REF!</v>
      </c>
      <c r="N136" s="91" t="e">
        <f t="shared" si="57"/>
        <v>#REF!</v>
      </c>
      <c r="O136" s="91" t="e">
        <f t="shared" si="57"/>
        <v>#REF!</v>
      </c>
      <c r="P136" s="91" t="e">
        <f t="shared" si="57"/>
        <v>#REF!</v>
      </c>
      <c r="Q136" s="91" t="e">
        <f t="shared" si="57"/>
        <v>#REF!</v>
      </c>
      <c r="R136" s="91" t="e">
        <f t="shared" si="57"/>
        <v>#REF!</v>
      </c>
      <c r="S136" s="91" t="e">
        <f t="shared" si="57"/>
        <v>#REF!</v>
      </c>
      <c r="T136" s="91" t="e">
        <f t="shared" si="57"/>
        <v>#REF!</v>
      </c>
      <c r="U136" s="91" t="e">
        <f t="shared" si="57"/>
        <v>#REF!</v>
      </c>
      <c r="V136" s="91" t="e">
        <f t="shared" si="57"/>
        <v>#REF!</v>
      </c>
    </row>
    <row r="137" spans="1:22" ht="14.4" thickBot="1" x14ac:dyDescent="0.3">
      <c r="B137" s="2" t="s">
        <v>76</v>
      </c>
    </row>
    <row r="138" spans="1:22" x14ac:dyDescent="0.25">
      <c r="B138" s="54" t="s">
        <v>82</v>
      </c>
      <c r="C138" s="55">
        <f>C79</f>
        <v>2021</v>
      </c>
      <c r="D138" s="55">
        <f t="shared" ref="D138:V138" si="58">D79</f>
        <v>2022</v>
      </c>
      <c r="E138" s="55">
        <f t="shared" si="58"/>
        <v>2023</v>
      </c>
      <c r="F138" s="55">
        <f t="shared" si="58"/>
        <v>2024</v>
      </c>
      <c r="G138" s="55">
        <f t="shared" si="58"/>
        <v>2025</v>
      </c>
      <c r="H138" s="55">
        <f t="shared" si="58"/>
        <v>2026</v>
      </c>
      <c r="I138" s="55">
        <f t="shared" si="58"/>
        <v>2027</v>
      </c>
      <c r="J138" s="55">
        <f t="shared" si="58"/>
        <v>2028</v>
      </c>
      <c r="K138" s="55">
        <f t="shared" si="58"/>
        <v>2029</v>
      </c>
      <c r="L138" s="72">
        <f t="shared" si="58"/>
        <v>2030</v>
      </c>
      <c r="M138" s="73">
        <f t="shared" si="58"/>
        <v>2031</v>
      </c>
      <c r="N138" s="55">
        <f t="shared" si="58"/>
        <v>2032</v>
      </c>
      <c r="O138" s="55">
        <f t="shared" si="58"/>
        <v>2033</v>
      </c>
      <c r="P138" s="55">
        <f t="shared" si="58"/>
        <v>2034</v>
      </c>
      <c r="Q138" s="55">
        <f t="shared" si="58"/>
        <v>2035</v>
      </c>
      <c r="R138" s="55">
        <f t="shared" si="58"/>
        <v>2036</v>
      </c>
      <c r="S138" s="55">
        <f t="shared" si="58"/>
        <v>2037</v>
      </c>
      <c r="T138" s="55">
        <f t="shared" si="58"/>
        <v>2038</v>
      </c>
      <c r="U138" s="55">
        <f t="shared" si="58"/>
        <v>2039</v>
      </c>
      <c r="V138" s="55">
        <f t="shared" si="58"/>
        <v>2040</v>
      </c>
    </row>
    <row r="139" spans="1:22" x14ac:dyDescent="0.25">
      <c r="B139" s="33" t="s">
        <v>43</v>
      </c>
      <c r="C139" s="34" t="e">
        <f t="shared" ref="C139:C146" si="59">SUMIF($B$80:$B$134,$B139,C$80:C$134)</f>
        <v>#REF!</v>
      </c>
      <c r="D139" s="34" t="e">
        <f t="shared" ref="D139:V146" si="60">SUMIF($B$80:$B$134,$B139,D$80:D$134)</f>
        <v>#REF!</v>
      </c>
      <c r="E139" s="34" t="e">
        <f t="shared" si="60"/>
        <v>#REF!</v>
      </c>
      <c r="F139" s="34" t="e">
        <f t="shared" si="60"/>
        <v>#REF!</v>
      </c>
      <c r="G139" s="34" t="e">
        <f t="shared" si="60"/>
        <v>#REF!</v>
      </c>
      <c r="H139" s="34" t="e">
        <f t="shared" si="60"/>
        <v>#REF!</v>
      </c>
      <c r="I139" s="34" t="e">
        <f t="shared" si="60"/>
        <v>#REF!</v>
      </c>
      <c r="J139" s="34" t="e">
        <f t="shared" si="60"/>
        <v>#REF!</v>
      </c>
      <c r="K139" s="34" t="e">
        <f t="shared" si="60"/>
        <v>#REF!</v>
      </c>
      <c r="L139" s="34" t="e">
        <f t="shared" si="60"/>
        <v>#REF!</v>
      </c>
      <c r="M139" s="34" t="e">
        <f t="shared" si="60"/>
        <v>#REF!</v>
      </c>
      <c r="N139" s="34" t="e">
        <f t="shared" si="60"/>
        <v>#REF!</v>
      </c>
      <c r="O139" s="34" t="e">
        <f t="shared" si="60"/>
        <v>#REF!</v>
      </c>
      <c r="P139" s="34" t="e">
        <f t="shared" si="60"/>
        <v>#REF!</v>
      </c>
      <c r="Q139" s="34" t="e">
        <f t="shared" si="60"/>
        <v>#REF!</v>
      </c>
      <c r="R139" s="34" t="e">
        <f t="shared" si="60"/>
        <v>#REF!</v>
      </c>
      <c r="S139" s="34" t="e">
        <f t="shared" si="60"/>
        <v>#REF!</v>
      </c>
      <c r="T139" s="34" t="e">
        <f t="shared" si="60"/>
        <v>#REF!</v>
      </c>
      <c r="U139" s="34" t="e">
        <f t="shared" si="60"/>
        <v>#REF!</v>
      </c>
      <c r="V139" s="34" t="e">
        <f t="shared" si="60"/>
        <v>#REF!</v>
      </c>
    </row>
    <row r="140" spans="1:22" x14ac:dyDescent="0.25">
      <c r="B140" s="33" t="s">
        <v>41</v>
      </c>
      <c r="C140" s="34" t="e">
        <f t="shared" si="59"/>
        <v>#REF!</v>
      </c>
      <c r="D140" s="34" t="e">
        <f t="shared" ref="D140:R140" si="61">SUMIF($B$80:$B$134,$B140,D$80:D$134)</f>
        <v>#REF!</v>
      </c>
      <c r="E140" s="34" t="e">
        <f t="shared" si="61"/>
        <v>#REF!</v>
      </c>
      <c r="F140" s="34" t="e">
        <f t="shared" si="61"/>
        <v>#REF!</v>
      </c>
      <c r="G140" s="34" t="e">
        <f t="shared" si="61"/>
        <v>#REF!</v>
      </c>
      <c r="H140" s="34" t="e">
        <f t="shared" si="61"/>
        <v>#REF!</v>
      </c>
      <c r="I140" s="34" t="e">
        <f t="shared" si="61"/>
        <v>#REF!</v>
      </c>
      <c r="J140" s="34" t="e">
        <f t="shared" si="61"/>
        <v>#REF!</v>
      </c>
      <c r="K140" s="34" t="e">
        <f t="shared" si="61"/>
        <v>#REF!</v>
      </c>
      <c r="L140" s="34" t="e">
        <f t="shared" si="61"/>
        <v>#REF!</v>
      </c>
      <c r="M140" s="34" t="e">
        <f t="shared" si="61"/>
        <v>#REF!</v>
      </c>
      <c r="N140" s="34" t="e">
        <f t="shared" si="61"/>
        <v>#REF!</v>
      </c>
      <c r="O140" s="34" t="e">
        <f t="shared" si="61"/>
        <v>#REF!</v>
      </c>
      <c r="P140" s="34" t="e">
        <f t="shared" si="61"/>
        <v>#REF!</v>
      </c>
      <c r="Q140" s="34" t="e">
        <f t="shared" si="61"/>
        <v>#REF!</v>
      </c>
      <c r="R140" s="34" t="e">
        <f t="shared" si="61"/>
        <v>#REF!</v>
      </c>
      <c r="S140" s="34" t="e">
        <f t="shared" si="60"/>
        <v>#REF!</v>
      </c>
      <c r="T140" s="34" t="e">
        <f t="shared" si="60"/>
        <v>#REF!</v>
      </c>
      <c r="U140" s="34" t="e">
        <f t="shared" si="60"/>
        <v>#REF!</v>
      </c>
      <c r="V140" s="34" t="e">
        <f t="shared" si="60"/>
        <v>#REF!</v>
      </c>
    </row>
    <row r="141" spans="1:22" x14ac:dyDescent="0.25">
      <c r="B141" s="33" t="s">
        <v>40</v>
      </c>
      <c r="C141" s="34" t="e">
        <f t="shared" si="59"/>
        <v>#REF!</v>
      </c>
      <c r="D141" s="34" t="e">
        <f t="shared" si="60"/>
        <v>#REF!</v>
      </c>
      <c r="E141" s="34" t="e">
        <f t="shared" si="60"/>
        <v>#REF!</v>
      </c>
      <c r="F141" s="34" t="e">
        <f t="shared" si="60"/>
        <v>#REF!</v>
      </c>
      <c r="G141" s="34" t="e">
        <f t="shared" si="60"/>
        <v>#REF!</v>
      </c>
      <c r="H141" s="34" t="e">
        <f t="shared" si="60"/>
        <v>#REF!</v>
      </c>
      <c r="I141" s="34" t="e">
        <f t="shared" si="60"/>
        <v>#REF!</v>
      </c>
      <c r="J141" s="34" t="e">
        <f t="shared" si="60"/>
        <v>#REF!</v>
      </c>
      <c r="K141" s="34" t="e">
        <f t="shared" si="60"/>
        <v>#REF!</v>
      </c>
      <c r="L141" s="34" t="e">
        <f t="shared" si="60"/>
        <v>#REF!</v>
      </c>
      <c r="M141" s="34" t="e">
        <f t="shared" si="60"/>
        <v>#REF!</v>
      </c>
      <c r="N141" s="34" t="e">
        <f t="shared" si="60"/>
        <v>#REF!</v>
      </c>
      <c r="O141" s="34" t="e">
        <f t="shared" si="60"/>
        <v>#REF!</v>
      </c>
      <c r="P141" s="34" t="e">
        <f t="shared" si="60"/>
        <v>#REF!</v>
      </c>
      <c r="Q141" s="34" t="e">
        <f t="shared" si="60"/>
        <v>#REF!</v>
      </c>
      <c r="R141" s="34" t="e">
        <f t="shared" si="60"/>
        <v>#REF!</v>
      </c>
      <c r="S141" s="34" t="e">
        <f t="shared" si="60"/>
        <v>#REF!</v>
      </c>
      <c r="T141" s="34" t="e">
        <f t="shared" si="60"/>
        <v>#REF!</v>
      </c>
      <c r="U141" s="34" t="e">
        <f t="shared" si="60"/>
        <v>#REF!</v>
      </c>
      <c r="V141" s="34" t="e">
        <f t="shared" si="60"/>
        <v>#REF!</v>
      </c>
    </row>
    <row r="142" spans="1:22" x14ac:dyDescent="0.25">
      <c r="B142" s="33" t="s">
        <v>80</v>
      </c>
      <c r="C142" s="34" t="e">
        <f t="shared" si="59"/>
        <v>#REF!</v>
      </c>
      <c r="D142" s="34" t="e">
        <f t="shared" si="60"/>
        <v>#REF!</v>
      </c>
      <c r="E142" s="34" t="e">
        <f t="shared" si="60"/>
        <v>#REF!</v>
      </c>
      <c r="F142" s="34" t="e">
        <f t="shared" si="60"/>
        <v>#REF!</v>
      </c>
      <c r="G142" s="34" t="e">
        <f t="shared" si="60"/>
        <v>#REF!</v>
      </c>
      <c r="H142" s="34" t="e">
        <f t="shared" si="60"/>
        <v>#REF!</v>
      </c>
      <c r="I142" s="34" t="e">
        <f t="shared" si="60"/>
        <v>#REF!</v>
      </c>
      <c r="J142" s="34" t="e">
        <f t="shared" si="60"/>
        <v>#REF!</v>
      </c>
      <c r="K142" s="34" t="e">
        <f t="shared" si="60"/>
        <v>#REF!</v>
      </c>
      <c r="L142" s="34" t="e">
        <f t="shared" si="60"/>
        <v>#REF!</v>
      </c>
      <c r="M142" s="34" t="e">
        <f t="shared" si="60"/>
        <v>#REF!</v>
      </c>
      <c r="N142" s="34" t="e">
        <f t="shared" si="60"/>
        <v>#REF!</v>
      </c>
      <c r="O142" s="34" t="e">
        <f t="shared" si="60"/>
        <v>#REF!</v>
      </c>
      <c r="P142" s="34" t="e">
        <f t="shared" si="60"/>
        <v>#REF!</v>
      </c>
      <c r="Q142" s="34" t="e">
        <f t="shared" si="60"/>
        <v>#REF!</v>
      </c>
      <c r="R142" s="34" t="e">
        <f t="shared" si="60"/>
        <v>#REF!</v>
      </c>
      <c r="S142" s="34" t="e">
        <f t="shared" si="60"/>
        <v>#REF!</v>
      </c>
      <c r="T142" s="34" t="e">
        <f t="shared" si="60"/>
        <v>#REF!</v>
      </c>
      <c r="U142" s="34" t="e">
        <f t="shared" si="60"/>
        <v>#REF!</v>
      </c>
      <c r="V142" s="34" t="e">
        <f t="shared" si="60"/>
        <v>#REF!</v>
      </c>
    </row>
    <row r="143" spans="1:22" x14ac:dyDescent="0.25">
      <c r="B143" s="33" t="s">
        <v>44</v>
      </c>
      <c r="C143" s="34" t="e">
        <f t="shared" si="59"/>
        <v>#REF!</v>
      </c>
      <c r="D143" s="34" t="e">
        <f t="shared" si="60"/>
        <v>#REF!</v>
      </c>
      <c r="E143" s="34" t="e">
        <f t="shared" si="60"/>
        <v>#REF!</v>
      </c>
      <c r="F143" s="34" t="e">
        <f t="shared" si="60"/>
        <v>#REF!</v>
      </c>
      <c r="G143" s="34" t="e">
        <f t="shared" si="60"/>
        <v>#REF!</v>
      </c>
      <c r="H143" s="34" t="e">
        <f t="shared" si="60"/>
        <v>#REF!</v>
      </c>
      <c r="I143" s="34" t="e">
        <f t="shared" si="60"/>
        <v>#REF!</v>
      </c>
      <c r="J143" s="34" t="e">
        <f t="shared" si="60"/>
        <v>#REF!</v>
      </c>
      <c r="K143" s="34" t="e">
        <f t="shared" si="60"/>
        <v>#REF!</v>
      </c>
      <c r="L143" s="34" t="e">
        <f t="shared" si="60"/>
        <v>#REF!</v>
      </c>
      <c r="M143" s="34" t="e">
        <f t="shared" si="60"/>
        <v>#REF!</v>
      </c>
      <c r="N143" s="34" t="e">
        <f t="shared" si="60"/>
        <v>#REF!</v>
      </c>
      <c r="O143" s="34" t="e">
        <f t="shared" si="60"/>
        <v>#REF!</v>
      </c>
      <c r="P143" s="34" t="e">
        <f t="shared" si="60"/>
        <v>#REF!</v>
      </c>
      <c r="Q143" s="34" t="e">
        <f t="shared" si="60"/>
        <v>#REF!</v>
      </c>
      <c r="R143" s="34" t="e">
        <f t="shared" si="60"/>
        <v>#REF!</v>
      </c>
      <c r="S143" s="34" t="e">
        <f t="shared" si="60"/>
        <v>#REF!</v>
      </c>
      <c r="T143" s="34" t="e">
        <f t="shared" si="60"/>
        <v>#REF!</v>
      </c>
      <c r="U143" s="34" t="e">
        <f t="shared" si="60"/>
        <v>#REF!</v>
      </c>
      <c r="V143" s="34" t="e">
        <f t="shared" si="60"/>
        <v>#REF!</v>
      </c>
    </row>
    <row r="144" spans="1:22" x14ac:dyDescent="0.25">
      <c r="B144" s="33" t="s">
        <v>81</v>
      </c>
      <c r="C144" s="34" t="e">
        <f t="shared" si="59"/>
        <v>#REF!</v>
      </c>
      <c r="D144" s="34" t="e">
        <f t="shared" si="60"/>
        <v>#REF!</v>
      </c>
      <c r="E144" s="34" t="e">
        <f t="shared" si="60"/>
        <v>#REF!</v>
      </c>
      <c r="F144" s="34" t="e">
        <f t="shared" si="60"/>
        <v>#REF!</v>
      </c>
      <c r="G144" s="34" t="e">
        <f t="shared" si="60"/>
        <v>#REF!</v>
      </c>
      <c r="H144" s="34" t="e">
        <f t="shared" si="60"/>
        <v>#REF!</v>
      </c>
      <c r="I144" s="34" t="e">
        <f t="shared" si="60"/>
        <v>#REF!</v>
      </c>
      <c r="J144" s="34" t="e">
        <f t="shared" si="60"/>
        <v>#REF!</v>
      </c>
      <c r="K144" s="34" t="e">
        <f t="shared" si="60"/>
        <v>#REF!</v>
      </c>
      <c r="L144" s="34" t="e">
        <f t="shared" si="60"/>
        <v>#REF!</v>
      </c>
      <c r="M144" s="34" t="e">
        <f t="shared" si="60"/>
        <v>#REF!</v>
      </c>
      <c r="N144" s="34" t="e">
        <f t="shared" si="60"/>
        <v>#REF!</v>
      </c>
      <c r="O144" s="34" t="e">
        <f t="shared" si="60"/>
        <v>#REF!</v>
      </c>
      <c r="P144" s="34" t="e">
        <f t="shared" si="60"/>
        <v>#REF!</v>
      </c>
      <c r="Q144" s="34" t="e">
        <f t="shared" si="60"/>
        <v>#REF!</v>
      </c>
      <c r="R144" s="34" t="e">
        <f t="shared" si="60"/>
        <v>#REF!</v>
      </c>
      <c r="S144" s="34" t="e">
        <f t="shared" si="60"/>
        <v>#REF!</v>
      </c>
      <c r="T144" s="34" t="e">
        <f t="shared" si="60"/>
        <v>#REF!</v>
      </c>
      <c r="U144" s="34" t="e">
        <f t="shared" si="60"/>
        <v>#REF!</v>
      </c>
      <c r="V144" s="34" t="e">
        <f t="shared" si="60"/>
        <v>#REF!</v>
      </c>
    </row>
    <row r="145" spans="1:22" x14ac:dyDescent="0.25">
      <c r="B145" s="33" t="s">
        <v>42</v>
      </c>
      <c r="C145" s="34" t="e">
        <f t="shared" si="59"/>
        <v>#REF!</v>
      </c>
      <c r="D145" s="34" t="e">
        <f t="shared" si="60"/>
        <v>#REF!</v>
      </c>
      <c r="E145" s="34" t="e">
        <f t="shared" si="60"/>
        <v>#REF!</v>
      </c>
      <c r="F145" s="34" t="e">
        <f t="shared" si="60"/>
        <v>#REF!</v>
      </c>
      <c r="G145" s="34" t="e">
        <f t="shared" si="60"/>
        <v>#REF!</v>
      </c>
      <c r="H145" s="34" t="e">
        <f t="shared" si="60"/>
        <v>#REF!</v>
      </c>
      <c r="I145" s="34" t="e">
        <f t="shared" si="60"/>
        <v>#REF!</v>
      </c>
      <c r="J145" s="34" t="e">
        <f t="shared" si="60"/>
        <v>#REF!</v>
      </c>
      <c r="K145" s="34" t="e">
        <f t="shared" si="60"/>
        <v>#REF!</v>
      </c>
      <c r="L145" s="34" t="e">
        <f t="shared" si="60"/>
        <v>#REF!</v>
      </c>
      <c r="M145" s="34" t="e">
        <f t="shared" si="60"/>
        <v>#REF!</v>
      </c>
      <c r="N145" s="34" t="e">
        <f t="shared" si="60"/>
        <v>#REF!</v>
      </c>
      <c r="O145" s="34" t="e">
        <f t="shared" si="60"/>
        <v>#REF!</v>
      </c>
      <c r="P145" s="34" t="e">
        <f t="shared" si="60"/>
        <v>#REF!</v>
      </c>
      <c r="Q145" s="34" t="e">
        <f t="shared" si="60"/>
        <v>#REF!</v>
      </c>
      <c r="R145" s="34" t="e">
        <f t="shared" si="60"/>
        <v>#REF!</v>
      </c>
      <c r="S145" s="34" t="e">
        <f t="shared" si="60"/>
        <v>#REF!</v>
      </c>
      <c r="T145" s="34" t="e">
        <f t="shared" si="60"/>
        <v>#REF!</v>
      </c>
      <c r="U145" s="34" t="e">
        <f t="shared" si="60"/>
        <v>#REF!</v>
      </c>
      <c r="V145" s="34" t="e">
        <f t="shared" si="60"/>
        <v>#REF!</v>
      </c>
    </row>
    <row r="146" spans="1:22" ht="14.4" thickBot="1" x14ac:dyDescent="0.3">
      <c r="B146" s="39" t="s">
        <v>45</v>
      </c>
      <c r="C146" s="34" t="e">
        <f t="shared" si="59"/>
        <v>#REF!</v>
      </c>
      <c r="D146" s="34" t="e">
        <f t="shared" si="60"/>
        <v>#REF!</v>
      </c>
      <c r="E146" s="34" t="e">
        <f t="shared" si="60"/>
        <v>#REF!</v>
      </c>
      <c r="F146" s="34" t="e">
        <f t="shared" si="60"/>
        <v>#REF!</v>
      </c>
      <c r="G146" s="34" t="e">
        <f t="shared" si="60"/>
        <v>#REF!</v>
      </c>
      <c r="H146" s="34" t="e">
        <f t="shared" si="60"/>
        <v>#REF!</v>
      </c>
      <c r="I146" s="34" t="e">
        <f t="shared" si="60"/>
        <v>#REF!</v>
      </c>
      <c r="J146" s="34" t="e">
        <f t="shared" si="60"/>
        <v>#REF!</v>
      </c>
      <c r="K146" s="34" t="e">
        <f t="shared" si="60"/>
        <v>#REF!</v>
      </c>
      <c r="L146" s="34" t="e">
        <f t="shared" si="60"/>
        <v>#REF!</v>
      </c>
      <c r="M146" s="34" t="e">
        <f t="shared" si="60"/>
        <v>#REF!</v>
      </c>
      <c r="N146" s="34" t="e">
        <f t="shared" si="60"/>
        <v>#REF!</v>
      </c>
      <c r="O146" s="34" t="e">
        <f t="shared" si="60"/>
        <v>#REF!</v>
      </c>
      <c r="P146" s="34" t="e">
        <f t="shared" si="60"/>
        <v>#REF!</v>
      </c>
      <c r="Q146" s="34" t="e">
        <f t="shared" si="60"/>
        <v>#REF!</v>
      </c>
      <c r="R146" s="34" t="e">
        <f t="shared" si="60"/>
        <v>#REF!</v>
      </c>
      <c r="S146" s="34" t="e">
        <f t="shared" si="60"/>
        <v>#REF!</v>
      </c>
      <c r="T146" s="34" t="e">
        <f t="shared" si="60"/>
        <v>#REF!</v>
      </c>
      <c r="U146" s="34" t="e">
        <f t="shared" si="60"/>
        <v>#REF!</v>
      </c>
      <c r="V146" s="34" t="e">
        <f t="shared" si="60"/>
        <v>#REF!</v>
      </c>
    </row>
    <row r="148" spans="1:22" x14ac:dyDescent="0.25">
      <c r="C148" s="93" t="e">
        <f>SUM(C139:C146)</f>
        <v>#REF!</v>
      </c>
      <c r="D148" s="93" t="e">
        <f t="shared" ref="D148:V148" si="62">SUM(D139:D146)</f>
        <v>#REF!</v>
      </c>
      <c r="E148" s="93" t="e">
        <f t="shared" si="62"/>
        <v>#REF!</v>
      </c>
      <c r="F148" s="93" t="e">
        <f t="shared" si="62"/>
        <v>#REF!</v>
      </c>
      <c r="G148" s="93" t="e">
        <f t="shared" si="62"/>
        <v>#REF!</v>
      </c>
      <c r="H148" s="93" t="e">
        <f t="shared" si="62"/>
        <v>#REF!</v>
      </c>
      <c r="I148" s="93" t="e">
        <f t="shared" si="62"/>
        <v>#REF!</v>
      </c>
      <c r="J148" s="93" t="e">
        <f t="shared" si="62"/>
        <v>#REF!</v>
      </c>
      <c r="K148" s="93" t="e">
        <f t="shared" si="62"/>
        <v>#REF!</v>
      </c>
      <c r="L148" s="94" t="e">
        <f t="shared" si="62"/>
        <v>#REF!</v>
      </c>
      <c r="M148" s="93" t="e">
        <f t="shared" si="62"/>
        <v>#REF!</v>
      </c>
      <c r="N148" s="93" t="e">
        <f t="shared" si="62"/>
        <v>#REF!</v>
      </c>
      <c r="O148" s="93" t="e">
        <f t="shared" si="62"/>
        <v>#REF!</v>
      </c>
      <c r="P148" s="93" t="e">
        <f t="shared" si="62"/>
        <v>#REF!</v>
      </c>
      <c r="Q148" s="93" t="e">
        <f t="shared" si="62"/>
        <v>#REF!</v>
      </c>
      <c r="R148" s="93" t="e">
        <f t="shared" si="62"/>
        <v>#REF!</v>
      </c>
      <c r="S148" s="93" t="e">
        <f t="shared" si="62"/>
        <v>#REF!</v>
      </c>
      <c r="T148" s="93" t="e">
        <f t="shared" si="62"/>
        <v>#REF!</v>
      </c>
      <c r="U148" s="93" t="e">
        <f t="shared" si="62"/>
        <v>#REF!</v>
      </c>
      <c r="V148" s="93" t="e">
        <f t="shared" si="62"/>
        <v>#REF!</v>
      </c>
    </row>
    <row r="149" spans="1:22" x14ac:dyDescent="0.25">
      <c r="C149" s="93"/>
      <c r="D149" s="93"/>
      <c r="E149" s="93"/>
      <c r="F149" s="93"/>
      <c r="G149" s="93"/>
      <c r="H149" s="93"/>
      <c r="I149" s="93"/>
      <c r="J149" s="93"/>
      <c r="K149" s="93"/>
      <c r="L149" s="94"/>
      <c r="M149" s="93"/>
      <c r="N149" s="93"/>
      <c r="O149" s="93"/>
      <c r="P149" s="93"/>
      <c r="Q149" s="93"/>
      <c r="R149" s="93"/>
      <c r="S149" s="93"/>
      <c r="T149" s="93"/>
      <c r="U149" s="93"/>
      <c r="V149" s="93"/>
    </row>
    <row r="150" spans="1:22" ht="14.4" thickBot="1" x14ac:dyDescent="0.3">
      <c r="B150" s="2" t="s">
        <v>76</v>
      </c>
    </row>
    <row r="151" spans="1:22" x14ac:dyDescent="0.25">
      <c r="B151" s="54" t="s">
        <v>82</v>
      </c>
      <c r="C151" s="74">
        <v>2021</v>
      </c>
      <c r="D151" s="74">
        <v>2022</v>
      </c>
      <c r="E151" s="74">
        <v>2023</v>
      </c>
      <c r="F151" s="74">
        <v>2024</v>
      </c>
      <c r="G151" s="74">
        <v>2025</v>
      </c>
      <c r="H151" s="74">
        <v>2026</v>
      </c>
      <c r="I151" s="74">
        <v>2027</v>
      </c>
      <c r="J151" s="74">
        <v>2028</v>
      </c>
      <c r="K151" s="74">
        <v>2029</v>
      </c>
      <c r="L151" s="74">
        <v>2030</v>
      </c>
      <c r="M151" s="74">
        <v>2031</v>
      </c>
      <c r="N151" s="74">
        <v>2032</v>
      </c>
      <c r="O151" s="74">
        <v>2033</v>
      </c>
      <c r="P151" s="74">
        <v>2034</v>
      </c>
      <c r="Q151" s="74">
        <v>2035</v>
      </c>
      <c r="R151" s="74">
        <v>2036</v>
      </c>
      <c r="S151" s="74">
        <v>2037</v>
      </c>
      <c r="T151" s="74">
        <v>2038</v>
      </c>
      <c r="U151" s="74">
        <v>2039</v>
      </c>
      <c r="V151" s="74">
        <v>2040</v>
      </c>
    </row>
    <row r="152" spans="1:22" x14ac:dyDescent="0.25">
      <c r="B152" s="33" t="s">
        <v>93</v>
      </c>
      <c r="C152" s="88">
        <f>SUM(C80:C126)</f>
        <v>42</v>
      </c>
      <c r="D152" s="88">
        <f t="shared" ref="D152:V152" si="63">SUM(D80:D126)</f>
        <v>38</v>
      </c>
      <c r="E152" s="88">
        <f t="shared" si="63"/>
        <v>32</v>
      </c>
      <c r="F152" s="88">
        <f t="shared" si="63"/>
        <v>29</v>
      </c>
      <c r="G152" s="88">
        <f t="shared" si="63"/>
        <v>24</v>
      </c>
      <c r="H152" s="88">
        <f t="shared" si="63"/>
        <v>20</v>
      </c>
      <c r="I152" s="88">
        <f t="shared" si="63"/>
        <v>17</v>
      </c>
      <c r="J152" s="88">
        <f t="shared" si="63"/>
        <v>15</v>
      </c>
      <c r="K152" s="88">
        <f t="shared" si="63"/>
        <v>15</v>
      </c>
      <c r="L152" s="88">
        <f t="shared" si="63"/>
        <v>15</v>
      </c>
      <c r="M152" s="88">
        <f t="shared" si="63"/>
        <v>13</v>
      </c>
      <c r="N152" s="88">
        <f t="shared" si="63"/>
        <v>13</v>
      </c>
      <c r="O152" s="88">
        <f t="shared" si="63"/>
        <v>13</v>
      </c>
      <c r="P152" s="88">
        <f t="shared" si="63"/>
        <v>13</v>
      </c>
      <c r="Q152" s="88">
        <f t="shared" si="63"/>
        <v>13</v>
      </c>
      <c r="R152" s="88">
        <f t="shared" si="63"/>
        <v>13</v>
      </c>
      <c r="S152" s="88">
        <f t="shared" si="63"/>
        <v>13</v>
      </c>
      <c r="T152" s="88">
        <f t="shared" si="63"/>
        <v>13</v>
      </c>
      <c r="U152" s="88">
        <f t="shared" si="63"/>
        <v>13</v>
      </c>
      <c r="V152" s="88">
        <f t="shared" si="63"/>
        <v>13</v>
      </c>
    </row>
    <row r="153" spans="1:22" x14ac:dyDescent="0.25">
      <c r="B153" s="33" t="s">
        <v>94</v>
      </c>
      <c r="C153" s="95" t="e">
        <f>SUM(C127:C134)</f>
        <v>#REF!</v>
      </c>
      <c r="D153" s="95" t="e">
        <f t="shared" ref="D153:V153" si="64">SUM(D127:D134)</f>
        <v>#REF!</v>
      </c>
      <c r="E153" s="95" t="e">
        <f t="shared" si="64"/>
        <v>#REF!</v>
      </c>
      <c r="F153" s="95" t="e">
        <f t="shared" si="64"/>
        <v>#REF!</v>
      </c>
      <c r="G153" s="95" t="e">
        <f t="shared" si="64"/>
        <v>#REF!</v>
      </c>
      <c r="H153" s="95" t="e">
        <f t="shared" si="64"/>
        <v>#REF!</v>
      </c>
      <c r="I153" s="95" t="e">
        <f t="shared" si="64"/>
        <v>#REF!</v>
      </c>
      <c r="J153" s="95" t="e">
        <f t="shared" si="64"/>
        <v>#REF!</v>
      </c>
      <c r="K153" s="95" t="e">
        <f t="shared" si="64"/>
        <v>#REF!</v>
      </c>
      <c r="L153" s="95" t="e">
        <f t="shared" si="64"/>
        <v>#REF!</v>
      </c>
      <c r="M153" s="95" t="e">
        <f t="shared" si="64"/>
        <v>#REF!</v>
      </c>
      <c r="N153" s="95" t="e">
        <f t="shared" si="64"/>
        <v>#REF!</v>
      </c>
      <c r="O153" s="95" t="e">
        <f t="shared" si="64"/>
        <v>#REF!</v>
      </c>
      <c r="P153" s="95" t="e">
        <f t="shared" si="64"/>
        <v>#REF!</v>
      </c>
      <c r="Q153" s="95" t="e">
        <f t="shared" si="64"/>
        <v>#REF!</v>
      </c>
      <c r="R153" s="95" t="e">
        <f t="shared" si="64"/>
        <v>#REF!</v>
      </c>
      <c r="S153" s="95" t="e">
        <f t="shared" si="64"/>
        <v>#REF!</v>
      </c>
      <c r="T153" s="95" t="e">
        <f t="shared" si="64"/>
        <v>#REF!</v>
      </c>
      <c r="U153" s="95" t="e">
        <f t="shared" si="64"/>
        <v>#REF!</v>
      </c>
      <c r="V153" s="95" t="e">
        <f t="shared" si="64"/>
        <v>#REF!</v>
      </c>
    </row>
    <row r="157" spans="1:22" x14ac:dyDescent="0.25">
      <c r="A157" s="27" t="s">
        <v>16</v>
      </c>
      <c r="B157" s="27" t="s">
        <v>121</v>
      </c>
      <c r="C157" s="27">
        <v>2021</v>
      </c>
      <c r="D157" s="28">
        <v>2022</v>
      </c>
      <c r="E157" s="27">
        <v>2023</v>
      </c>
      <c r="F157" s="28">
        <v>2024</v>
      </c>
      <c r="G157" s="27">
        <v>2025</v>
      </c>
      <c r="H157" s="28">
        <v>2026</v>
      </c>
      <c r="I157" s="27">
        <v>2027</v>
      </c>
      <c r="J157" s="28">
        <v>2028</v>
      </c>
      <c r="K157" s="27">
        <v>2029</v>
      </c>
      <c r="L157" s="64">
        <v>2030</v>
      </c>
      <c r="M157" s="65">
        <v>2031</v>
      </c>
      <c r="N157" s="28">
        <v>2032</v>
      </c>
      <c r="O157" s="27">
        <v>2033</v>
      </c>
      <c r="P157" s="28">
        <v>2034</v>
      </c>
      <c r="Q157" s="27">
        <v>2035</v>
      </c>
      <c r="R157" s="28">
        <v>2036</v>
      </c>
      <c r="S157" s="27">
        <v>2037</v>
      </c>
      <c r="T157" s="28">
        <v>2038</v>
      </c>
      <c r="U157" s="27">
        <v>2039</v>
      </c>
      <c r="V157" s="28">
        <v>2040</v>
      </c>
    </row>
    <row r="158" spans="1:22" x14ac:dyDescent="0.25">
      <c r="A158" s="29" t="s">
        <v>47</v>
      </c>
      <c r="B158" s="30" t="s">
        <v>41</v>
      </c>
      <c r="C158" s="38">
        <f t="shared" ref="C158:V158" si="65">C2</f>
        <v>1</v>
      </c>
      <c r="D158" s="38">
        <f t="shared" si="65"/>
        <v>1</v>
      </c>
      <c r="E158" s="38">
        <f t="shared" si="65"/>
        <v>0</v>
      </c>
      <c r="F158" s="38">
        <f t="shared" si="65"/>
        <v>0</v>
      </c>
      <c r="G158" s="38">
        <f t="shared" si="65"/>
        <v>0</v>
      </c>
      <c r="H158" s="38">
        <f t="shared" si="65"/>
        <v>0</v>
      </c>
      <c r="I158" s="38">
        <f t="shared" si="65"/>
        <v>0</v>
      </c>
      <c r="J158" s="38">
        <f t="shared" si="65"/>
        <v>0</v>
      </c>
      <c r="K158" s="38">
        <f t="shared" si="65"/>
        <v>0</v>
      </c>
      <c r="L158" s="38">
        <f t="shared" si="65"/>
        <v>0</v>
      </c>
      <c r="M158" s="38">
        <f t="shared" si="65"/>
        <v>0</v>
      </c>
      <c r="N158" s="38">
        <f t="shared" si="65"/>
        <v>0</v>
      </c>
      <c r="O158" s="38">
        <f t="shared" si="65"/>
        <v>0</v>
      </c>
      <c r="P158" s="38">
        <f t="shared" si="65"/>
        <v>0</v>
      </c>
      <c r="Q158" s="38">
        <f t="shared" si="65"/>
        <v>0</v>
      </c>
      <c r="R158" s="38">
        <f t="shared" si="65"/>
        <v>0</v>
      </c>
      <c r="S158" s="38">
        <f t="shared" si="65"/>
        <v>0</v>
      </c>
      <c r="T158" s="38">
        <f t="shared" si="65"/>
        <v>0</v>
      </c>
      <c r="U158" s="38">
        <f t="shared" si="65"/>
        <v>0</v>
      </c>
      <c r="V158" s="38">
        <f t="shared" si="65"/>
        <v>0</v>
      </c>
    </row>
    <row r="159" spans="1:22" x14ac:dyDescent="0.25">
      <c r="A159" s="29" t="s">
        <v>17</v>
      </c>
      <c r="B159" s="30" t="s">
        <v>41</v>
      </c>
      <c r="C159" s="38">
        <f t="shared" ref="C159:V159" si="66">C3</f>
        <v>1</v>
      </c>
      <c r="D159" s="38">
        <f t="shared" si="66"/>
        <v>1</v>
      </c>
      <c r="E159" s="38">
        <f t="shared" si="66"/>
        <v>1</v>
      </c>
      <c r="F159" s="38">
        <f t="shared" si="66"/>
        <v>1</v>
      </c>
      <c r="G159" s="38">
        <f t="shared" si="66"/>
        <v>0</v>
      </c>
      <c r="H159" s="38">
        <f t="shared" si="66"/>
        <v>0</v>
      </c>
      <c r="I159" s="38">
        <f t="shared" si="66"/>
        <v>0</v>
      </c>
      <c r="J159" s="38">
        <f t="shared" si="66"/>
        <v>0</v>
      </c>
      <c r="K159" s="38">
        <f t="shared" si="66"/>
        <v>0</v>
      </c>
      <c r="L159" s="38">
        <f t="shared" si="66"/>
        <v>0</v>
      </c>
      <c r="M159" s="38">
        <f t="shared" si="66"/>
        <v>0</v>
      </c>
      <c r="N159" s="38">
        <f t="shared" si="66"/>
        <v>0</v>
      </c>
      <c r="O159" s="38">
        <f t="shared" si="66"/>
        <v>0</v>
      </c>
      <c r="P159" s="38">
        <f t="shared" si="66"/>
        <v>0</v>
      </c>
      <c r="Q159" s="38">
        <f t="shared" si="66"/>
        <v>0</v>
      </c>
      <c r="R159" s="38">
        <f t="shared" si="66"/>
        <v>0</v>
      </c>
      <c r="S159" s="38">
        <f t="shared" si="66"/>
        <v>0</v>
      </c>
      <c r="T159" s="38">
        <f t="shared" si="66"/>
        <v>0</v>
      </c>
      <c r="U159" s="38">
        <f t="shared" si="66"/>
        <v>0</v>
      </c>
      <c r="V159" s="38">
        <f t="shared" si="66"/>
        <v>0</v>
      </c>
    </row>
    <row r="160" spans="1:22" x14ac:dyDescent="0.25">
      <c r="A160" s="29" t="s">
        <v>49</v>
      </c>
      <c r="B160" s="30" t="s">
        <v>41</v>
      </c>
      <c r="C160" s="38">
        <f t="shared" ref="C160:V160" si="67">C4</f>
        <v>1</v>
      </c>
      <c r="D160" s="38">
        <f t="shared" si="67"/>
        <v>1</v>
      </c>
      <c r="E160" s="38">
        <f t="shared" si="67"/>
        <v>1</v>
      </c>
      <c r="F160" s="38">
        <f t="shared" si="67"/>
        <v>1</v>
      </c>
      <c r="G160" s="38">
        <f t="shared" si="67"/>
        <v>1</v>
      </c>
      <c r="H160" s="38">
        <f t="shared" si="67"/>
        <v>1</v>
      </c>
      <c r="I160" s="38">
        <f t="shared" si="67"/>
        <v>0</v>
      </c>
      <c r="J160" s="38">
        <f t="shared" si="67"/>
        <v>0</v>
      </c>
      <c r="K160" s="38">
        <f t="shared" si="67"/>
        <v>0</v>
      </c>
      <c r="L160" s="38">
        <f t="shared" si="67"/>
        <v>0</v>
      </c>
      <c r="M160" s="38">
        <f t="shared" si="67"/>
        <v>0</v>
      </c>
      <c r="N160" s="38">
        <f t="shared" si="67"/>
        <v>0</v>
      </c>
      <c r="O160" s="38">
        <f t="shared" si="67"/>
        <v>0</v>
      </c>
      <c r="P160" s="38">
        <f t="shared" si="67"/>
        <v>0</v>
      </c>
      <c r="Q160" s="38">
        <f t="shared" si="67"/>
        <v>0</v>
      </c>
      <c r="R160" s="38">
        <f t="shared" si="67"/>
        <v>0</v>
      </c>
      <c r="S160" s="38">
        <f t="shared" si="67"/>
        <v>0</v>
      </c>
      <c r="T160" s="38">
        <f t="shared" si="67"/>
        <v>0</v>
      </c>
      <c r="U160" s="38">
        <f t="shared" si="67"/>
        <v>0</v>
      </c>
      <c r="V160" s="38">
        <f t="shared" si="67"/>
        <v>0</v>
      </c>
    </row>
    <row r="161" spans="1:22" x14ac:dyDescent="0.25">
      <c r="A161" s="29" t="s">
        <v>50</v>
      </c>
      <c r="B161" s="36" t="s">
        <v>43</v>
      </c>
      <c r="C161" s="38">
        <f t="shared" ref="C161:V161" si="68">C5</f>
        <v>1</v>
      </c>
      <c r="D161" s="38">
        <f t="shared" si="68"/>
        <v>1</v>
      </c>
      <c r="E161" s="38">
        <f t="shared" si="68"/>
        <v>1</v>
      </c>
      <c r="F161" s="38">
        <f t="shared" si="68"/>
        <v>1</v>
      </c>
      <c r="G161" s="38">
        <f t="shared" si="68"/>
        <v>1</v>
      </c>
      <c r="H161" s="38">
        <f t="shared" si="68"/>
        <v>1</v>
      </c>
      <c r="I161" s="38">
        <f t="shared" si="68"/>
        <v>1</v>
      </c>
      <c r="J161" s="38">
        <f t="shared" si="68"/>
        <v>1</v>
      </c>
      <c r="K161" s="38">
        <f t="shared" si="68"/>
        <v>1</v>
      </c>
      <c r="L161" s="38">
        <f t="shared" si="68"/>
        <v>1</v>
      </c>
      <c r="M161" s="38">
        <f t="shared" si="68"/>
        <v>1</v>
      </c>
      <c r="N161" s="38">
        <f t="shared" si="68"/>
        <v>1</v>
      </c>
      <c r="O161" s="38">
        <f t="shared" si="68"/>
        <v>1</v>
      </c>
      <c r="P161" s="38">
        <f t="shared" si="68"/>
        <v>1</v>
      </c>
      <c r="Q161" s="38">
        <f t="shared" si="68"/>
        <v>1</v>
      </c>
      <c r="R161" s="38">
        <f t="shared" si="68"/>
        <v>1</v>
      </c>
      <c r="S161" s="38">
        <f t="shared" si="68"/>
        <v>1</v>
      </c>
      <c r="T161" s="38">
        <f t="shared" si="68"/>
        <v>1</v>
      </c>
      <c r="U161" s="38">
        <f t="shared" si="68"/>
        <v>1</v>
      </c>
      <c r="V161" s="38">
        <f t="shared" si="68"/>
        <v>1</v>
      </c>
    </row>
    <row r="162" spans="1:22" x14ac:dyDescent="0.25">
      <c r="A162" s="29" t="s">
        <v>51</v>
      </c>
      <c r="B162" s="37" t="s">
        <v>42</v>
      </c>
      <c r="C162" s="38">
        <f t="shared" ref="C162:V162" si="69">C6</f>
        <v>1</v>
      </c>
      <c r="D162" s="38">
        <f t="shared" si="69"/>
        <v>1</v>
      </c>
      <c r="E162" s="38">
        <f t="shared" si="69"/>
        <v>1</v>
      </c>
      <c r="F162" s="38">
        <f t="shared" si="69"/>
        <v>1</v>
      </c>
      <c r="G162" s="38">
        <f t="shared" si="69"/>
        <v>0</v>
      </c>
      <c r="H162" s="38">
        <f t="shared" si="69"/>
        <v>0</v>
      </c>
      <c r="I162" s="38">
        <f t="shared" si="69"/>
        <v>0</v>
      </c>
      <c r="J162" s="38">
        <f t="shared" si="69"/>
        <v>0</v>
      </c>
      <c r="K162" s="38">
        <f t="shared" si="69"/>
        <v>0</v>
      </c>
      <c r="L162" s="38">
        <f t="shared" si="69"/>
        <v>0</v>
      </c>
      <c r="M162" s="38">
        <f t="shared" si="69"/>
        <v>0</v>
      </c>
      <c r="N162" s="38">
        <f t="shared" si="69"/>
        <v>0</v>
      </c>
      <c r="O162" s="38">
        <f t="shared" si="69"/>
        <v>0</v>
      </c>
      <c r="P162" s="38">
        <f t="shared" si="69"/>
        <v>0</v>
      </c>
      <c r="Q162" s="38">
        <f t="shared" si="69"/>
        <v>0</v>
      </c>
      <c r="R162" s="38">
        <f t="shared" si="69"/>
        <v>0</v>
      </c>
      <c r="S162" s="38">
        <f t="shared" si="69"/>
        <v>0</v>
      </c>
      <c r="T162" s="38">
        <f t="shared" si="69"/>
        <v>0</v>
      </c>
      <c r="U162" s="38">
        <f t="shared" si="69"/>
        <v>0</v>
      </c>
      <c r="V162" s="38">
        <f t="shared" si="69"/>
        <v>0</v>
      </c>
    </row>
    <row r="163" spans="1:22" x14ac:dyDescent="0.25">
      <c r="A163" s="29" t="s">
        <v>52</v>
      </c>
      <c r="B163" s="30" t="s">
        <v>41</v>
      </c>
      <c r="C163" s="38">
        <f t="shared" ref="C163:V163" si="70">C7</f>
        <v>1</v>
      </c>
      <c r="D163" s="38">
        <f t="shared" si="70"/>
        <v>1</v>
      </c>
      <c r="E163" s="38">
        <f t="shared" si="70"/>
        <v>1</v>
      </c>
      <c r="F163" s="38">
        <f t="shared" si="70"/>
        <v>1</v>
      </c>
      <c r="G163" s="38">
        <f t="shared" si="70"/>
        <v>1</v>
      </c>
      <c r="H163" s="38">
        <f t="shared" si="70"/>
        <v>1</v>
      </c>
      <c r="I163" s="38">
        <f t="shared" si="70"/>
        <v>0</v>
      </c>
      <c r="J163" s="38">
        <f t="shared" si="70"/>
        <v>0</v>
      </c>
      <c r="K163" s="38">
        <f t="shared" si="70"/>
        <v>0</v>
      </c>
      <c r="L163" s="38">
        <f t="shared" si="70"/>
        <v>0</v>
      </c>
      <c r="M163" s="38">
        <f t="shared" si="70"/>
        <v>0</v>
      </c>
      <c r="N163" s="38">
        <f t="shared" si="70"/>
        <v>0</v>
      </c>
      <c r="O163" s="38">
        <f t="shared" si="70"/>
        <v>0</v>
      </c>
      <c r="P163" s="38">
        <f t="shared" si="70"/>
        <v>0</v>
      </c>
      <c r="Q163" s="38">
        <f t="shared" si="70"/>
        <v>0</v>
      </c>
      <c r="R163" s="38">
        <f t="shared" si="70"/>
        <v>0</v>
      </c>
      <c r="S163" s="38">
        <f t="shared" si="70"/>
        <v>0</v>
      </c>
      <c r="T163" s="38">
        <f t="shared" si="70"/>
        <v>0</v>
      </c>
      <c r="U163" s="38">
        <f t="shared" si="70"/>
        <v>0</v>
      </c>
      <c r="V163" s="38">
        <f t="shared" si="70"/>
        <v>0</v>
      </c>
    </row>
    <row r="164" spans="1:22" x14ac:dyDescent="0.25">
      <c r="A164" s="29" t="s">
        <v>18</v>
      </c>
      <c r="B164" s="38" t="s">
        <v>48</v>
      </c>
      <c r="C164" s="38">
        <f t="shared" ref="C164:V164" si="71">C8</f>
        <v>1</v>
      </c>
      <c r="D164" s="38">
        <f t="shared" si="71"/>
        <v>1</v>
      </c>
      <c r="E164" s="38">
        <f t="shared" si="71"/>
        <v>1</v>
      </c>
      <c r="F164" s="38">
        <f t="shared" si="71"/>
        <v>1</v>
      </c>
      <c r="G164" s="38">
        <f t="shared" si="71"/>
        <v>1</v>
      </c>
      <c r="H164" s="38">
        <f t="shared" si="71"/>
        <v>1</v>
      </c>
      <c r="I164" s="38">
        <f t="shared" si="71"/>
        <v>1</v>
      </c>
      <c r="J164" s="38">
        <f t="shared" si="71"/>
        <v>1</v>
      </c>
      <c r="K164" s="38">
        <f t="shared" si="71"/>
        <v>1</v>
      </c>
      <c r="L164" s="38">
        <f t="shared" si="71"/>
        <v>1</v>
      </c>
      <c r="M164" s="38">
        <f t="shared" si="71"/>
        <v>1</v>
      </c>
      <c r="N164" s="38">
        <f t="shared" si="71"/>
        <v>1</v>
      </c>
      <c r="O164" s="38">
        <f t="shared" si="71"/>
        <v>1</v>
      </c>
      <c r="P164" s="38">
        <f t="shared" si="71"/>
        <v>1</v>
      </c>
      <c r="Q164" s="38">
        <f t="shared" si="71"/>
        <v>1</v>
      </c>
      <c r="R164" s="38">
        <f t="shared" si="71"/>
        <v>1</v>
      </c>
      <c r="S164" s="38">
        <f t="shared" si="71"/>
        <v>1</v>
      </c>
      <c r="T164" s="38">
        <f t="shared" si="71"/>
        <v>1</v>
      </c>
      <c r="U164" s="38">
        <f t="shared" si="71"/>
        <v>1</v>
      </c>
      <c r="V164" s="38">
        <f t="shared" si="71"/>
        <v>1</v>
      </c>
    </row>
    <row r="165" spans="1:22" x14ac:dyDescent="0.25">
      <c r="A165" s="29" t="s">
        <v>53</v>
      </c>
      <c r="B165" s="30" t="s">
        <v>41</v>
      </c>
      <c r="C165" s="38">
        <f t="shared" ref="C165:V165" si="72">C9</f>
        <v>0</v>
      </c>
      <c r="D165" s="38">
        <f t="shared" si="72"/>
        <v>0</v>
      </c>
      <c r="E165" s="38">
        <f t="shared" si="72"/>
        <v>0</v>
      </c>
      <c r="F165" s="38">
        <f t="shared" si="72"/>
        <v>0</v>
      </c>
      <c r="G165" s="38">
        <f t="shared" si="72"/>
        <v>0</v>
      </c>
      <c r="H165" s="38">
        <f t="shared" si="72"/>
        <v>0</v>
      </c>
      <c r="I165" s="38">
        <f t="shared" si="72"/>
        <v>0</v>
      </c>
      <c r="J165" s="38">
        <f t="shared" si="72"/>
        <v>0</v>
      </c>
      <c r="K165" s="38">
        <f t="shared" si="72"/>
        <v>0</v>
      </c>
      <c r="L165" s="38">
        <f t="shared" si="72"/>
        <v>0</v>
      </c>
      <c r="M165" s="38">
        <f t="shared" si="72"/>
        <v>0</v>
      </c>
      <c r="N165" s="38">
        <f t="shared" si="72"/>
        <v>0</v>
      </c>
      <c r="O165" s="38">
        <f t="shared" si="72"/>
        <v>0</v>
      </c>
      <c r="P165" s="38">
        <f t="shared" si="72"/>
        <v>0</v>
      </c>
      <c r="Q165" s="38">
        <f t="shared" si="72"/>
        <v>0</v>
      </c>
      <c r="R165" s="38">
        <f t="shared" si="72"/>
        <v>0</v>
      </c>
      <c r="S165" s="38">
        <f t="shared" si="72"/>
        <v>0</v>
      </c>
      <c r="T165" s="38">
        <f t="shared" si="72"/>
        <v>0</v>
      </c>
      <c r="U165" s="38">
        <f t="shared" si="72"/>
        <v>0</v>
      </c>
      <c r="V165" s="38">
        <f t="shared" si="72"/>
        <v>0</v>
      </c>
    </row>
    <row r="166" spans="1:22" x14ac:dyDescent="0.25">
      <c r="A166" s="29" t="s">
        <v>54</v>
      </c>
      <c r="B166" s="37" t="s">
        <v>43</v>
      </c>
      <c r="C166" s="38">
        <f t="shared" ref="C166:V166" si="73">C10</f>
        <v>1</v>
      </c>
      <c r="D166" s="38">
        <f t="shared" si="73"/>
        <v>1</v>
      </c>
      <c r="E166" s="38">
        <f t="shared" si="73"/>
        <v>1</v>
      </c>
      <c r="F166" s="38">
        <f t="shared" si="73"/>
        <v>1</v>
      </c>
      <c r="G166" s="38">
        <f t="shared" si="73"/>
        <v>1</v>
      </c>
      <c r="H166" s="38">
        <f t="shared" si="73"/>
        <v>1</v>
      </c>
      <c r="I166" s="38">
        <f t="shared" si="73"/>
        <v>1</v>
      </c>
      <c r="J166" s="38">
        <f t="shared" si="73"/>
        <v>1</v>
      </c>
      <c r="K166" s="38">
        <f t="shared" si="73"/>
        <v>1</v>
      </c>
      <c r="L166" s="38">
        <f t="shared" si="73"/>
        <v>1</v>
      </c>
      <c r="M166" s="38">
        <f t="shared" si="73"/>
        <v>0</v>
      </c>
      <c r="N166" s="38">
        <f t="shared" si="73"/>
        <v>0</v>
      </c>
      <c r="O166" s="38">
        <f t="shared" si="73"/>
        <v>0</v>
      </c>
      <c r="P166" s="38">
        <f t="shared" si="73"/>
        <v>0</v>
      </c>
      <c r="Q166" s="38">
        <f t="shared" si="73"/>
        <v>0</v>
      </c>
      <c r="R166" s="38">
        <f t="shared" si="73"/>
        <v>0</v>
      </c>
      <c r="S166" s="38">
        <f t="shared" si="73"/>
        <v>0</v>
      </c>
      <c r="T166" s="38">
        <f t="shared" si="73"/>
        <v>0</v>
      </c>
      <c r="U166" s="38">
        <f t="shared" si="73"/>
        <v>0</v>
      </c>
      <c r="V166" s="38">
        <f t="shared" si="73"/>
        <v>0</v>
      </c>
    </row>
    <row r="167" spans="1:22" x14ac:dyDescent="0.25">
      <c r="A167" s="29" t="s">
        <v>55</v>
      </c>
      <c r="B167" s="37" t="s">
        <v>42</v>
      </c>
      <c r="C167" s="38">
        <f t="shared" ref="C167:V167" si="74">C11</f>
        <v>1</v>
      </c>
      <c r="D167" s="38">
        <f t="shared" si="74"/>
        <v>1</v>
      </c>
      <c r="E167" s="38">
        <f t="shared" si="74"/>
        <v>1</v>
      </c>
      <c r="F167" s="38">
        <f t="shared" si="74"/>
        <v>1</v>
      </c>
      <c r="G167" s="38">
        <f t="shared" si="74"/>
        <v>1</v>
      </c>
      <c r="H167" s="38">
        <f t="shared" si="74"/>
        <v>1</v>
      </c>
      <c r="I167" s="38">
        <f t="shared" si="74"/>
        <v>1</v>
      </c>
      <c r="J167" s="38">
        <f t="shared" si="74"/>
        <v>1</v>
      </c>
      <c r="K167" s="38">
        <f t="shared" si="74"/>
        <v>1</v>
      </c>
      <c r="L167" s="38">
        <f t="shared" si="74"/>
        <v>1</v>
      </c>
      <c r="M167" s="38">
        <f t="shared" si="74"/>
        <v>1</v>
      </c>
      <c r="N167" s="38">
        <f t="shared" si="74"/>
        <v>1</v>
      </c>
      <c r="O167" s="38">
        <f t="shared" si="74"/>
        <v>1</v>
      </c>
      <c r="P167" s="38">
        <f t="shared" si="74"/>
        <v>1</v>
      </c>
      <c r="Q167" s="38">
        <f t="shared" si="74"/>
        <v>1</v>
      </c>
      <c r="R167" s="38">
        <f t="shared" si="74"/>
        <v>1</v>
      </c>
      <c r="S167" s="38">
        <f t="shared" si="74"/>
        <v>1</v>
      </c>
      <c r="T167" s="38">
        <f t="shared" si="74"/>
        <v>1</v>
      </c>
      <c r="U167" s="38">
        <f t="shared" si="74"/>
        <v>1</v>
      </c>
      <c r="V167" s="38">
        <f t="shared" si="74"/>
        <v>1</v>
      </c>
    </row>
    <row r="168" spans="1:22" x14ac:dyDescent="0.25">
      <c r="A168" s="29" t="s">
        <v>56</v>
      </c>
      <c r="B168" s="36" t="s">
        <v>43</v>
      </c>
      <c r="C168" s="38">
        <f t="shared" ref="C168:V168" si="75">C12</f>
        <v>1</v>
      </c>
      <c r="D168" s="38">
        <f t="shared" si="75"/>
        <v>1</v>
      </c>
      <c r="E168" s="38">
        <f t="shared" si="75"/>
        <v>1</v>
      </c>
      <c r="F168" s="38">
        <f t="shared" si="75"/>
        <v>1</v>
      </c>
      <c r="G168" s="38">
        <f t="shared" si="75"/>
        <v>1</v>
      </c>
      <c r="H168" s="38">
        <f t="shared" si="75"/>
        <v>1</v>
      </c>
      <c r="I168" s="38">
        <f t="shared" si="75"/>
        <v>1</v>
      </c>
      <c r="J168" s="38">
        <f t="shared" si="75"/>
        <v>1</v>
      </c>
      <c r="K168" s="38">
        <f t="shared" si="75"/>
        <v>1</v>
      </c>
      <c r="L168" s="38">
        <f t="shared" si="75"/>
        <v>1</v>
      </c>
      <c r="M168" s="38">
        <f t="shared" si="75"/>
        <v>1</v>
      </c>
      <c r="N168" s="38">
        <f t="shared" si="75"/>
        <v>1</v>
      </c>
      <c r="O168" s="38">
        <f t="shared" si="75"/>
        <v>1</v>
      </c>
      <c r="P168" s="38">
        <f t="shared" si="75"/>
        <v>1</v>
      </c>
      <c r="Q168" s="38">
        <f t="shared" si="75"/>
        <v>1</v>
      </c>
      <c r="R168" s="38">
        <f t="shared" si="75"/>
        <v>1</v>
      </c>
      <c r="S168" s="38">
        <f t="shared" si="75"/>
        <v>1</v>
      </c>
      <c r="T168" s="38">
        <f t="shared" si="75"/>
        <v>1</v>
      </c>
      <c r="U168" s="38">
        <f t="shared" si="75"/>
        <v>1</v>
      </c>
      <c r="V168" s="38">
        <f t="shared" si="75"/>
        <v>1</v>
      </c>
    </row>
    <row r="169" spans="1:22" x14ac:dyDescent="0.25">
      <c r="A169" s="29" t="s">
        <v>66</v>
      </c>
      <c r="B169" s="38" t="s">
        <v>48</v>
      </c>
      <c r="C169" s="38">
        <f t="shared" ref="C169:V169" si="76">C13</f>
        <v>1</v>
      </c>
      <c r="D169" s="38">
        <f t="shared" si="76"/>
        <v>1</v>
      </c>
      <c r="E169" s="38">
        <f t="shared" si="76"/>
        <v>1</v>
      </c>
      <c r="F169" s="38">
        <f t="shared" si="76"/>
        <v>0</v>
      </c>
      <c r="G169" s="38">
        <f t="shared" si="76"/>
        <v>0</v>
      </c>
      <c r="H169" s="38">
        <f t="shared" si="76"/>
        <v>0</v>
      </c>
      <c r="I169" s="38">
        <f t="shared" si="76"/>
        <v>0</v>
      </c>
      <c r="J169" s="38">
        <f t="shared" si="76"/>
        <v>0</v>
      </c>
      <c r="K169" s="38">
        <f t="shared" si="76"/>
        <v>0</v>
      </c>
      <c r="L169" s="38">
        <f t="shared" si="76"/>
        <v>0</v>
      </c>
      <c r="M169" s="38">
        <f t="shared" si="76"/>
        <v>0</v>
      </c>
      <c r="N169" s="38">
        <f t="shared" si="76"/>
        <v>0</v>
      </c>
      <c r="O169" s="38">
        <f t="shared" si="76"/>
        <v>0</v>
      </c>
      <c r="P169" s="38">
        <f t="shared" si="76"/>
        <v>0</v>
      </c>
      <c r="Q169" s="38">
        <f t="shared" si="76"/>
        <v>0</v>
      </c>
      <c r="R169" s="38">
        <f t="shared" si="76"/>
        <v>0</v>
      </c>
      <c r="S169" s="38">
        <f t="shared" si="76"/>
        <v>0</v>
      </c>
      <c r="T169" s="38">
        <f t="shared" si="76"/>
        <v>0</v>
      </c>
      <c r="U169" s="38">
        <f t="shared" si="76"/>
        <v>0</v>
      </c>
      <c r="V169" s="38">
        <f t="shared" si="76"/>
        <v>0</v>
      </c>
    </row>
    <row r="170" spans="1:22" x14ac:dyDescent="0.25">
      <c r="A170" s="29" t="s">
        <v>19</v>
      </c>
      <c r="B170" s="30" t="s">
        <v>41</v>
      </c>
      <c r="C170" s="38">
        <f t="shared" ref="C170:V170" si="77">C14</f>
        <v>1</v>
      </c>
      <c r="D170" s="38">
        <f t="shared" si="77"/>
        <v>1</v>
      </c>
      <c r="E170" s="38">
        <f t="shared" si="77"/>
        <v>1</v>
      </c>
      <c r="F170" s="38">
        <f t="shared" si="77"/>
        <v>1</v>
      </c>
      <c r="G170" s="38">
        <f t="shared" si="77"/>
        <v>1</v>
      </c>
      <c r="H170" s="38">
        <f t="shared" si="77"/>
        <v>1</v>
      </c>
      <c r="I170" s="38">
        <f t="shared" si="77"/>
        <v>1</v>
      </c>
      <c r="J170" s="38">
        <f t="shared" si="77"/>
        <v>0</v>
      </c>
      <c r="K170" s="38">
        <f t="shared" si="77"/>
        <v>0</v>
      </c>
      <c r="L170" s="38">
        <f t="shared" si="77"/>
        <v>0</v>
      </c>
      <c r="M170" s="38">
        <f t="shared" si="77"/>
        <v>0</v>
      </c>
      <c r="N170" s="38">
        <f t="shared" si="77"/>
        <v>0</v>
      </c>
      <c r="O170" s="38">
        <f t="shared" si="77"/>
        <v>0</v>
      </c>
      <c r="P170" s="38">
        <f t="shared" si="77"/>
        <v>0</v>
      </c>
      <c r="Q170" s="38">
        <f t="shared" si="77"/>
        <v>0</v>
      </c>
      <c r="R170" s="38">
        <f t="shared" si="77"/>
        <v>0</v>
      </c>
      <c r="S170" s="38">
        <f t="shared" si="77"/>
        <v>0</v>
      </c>
      <c r="T170" s="38">
        <f t="shared" si="77"/>
        <v>0</v>
      </c>
      <c r="U170" s="38">
        <f t="shared" si="77"/>
        <v>0</v>
      </c>
      <c r="V170" s="38">
        <f t="shared" si="77"/>
        <v>0</v>
      </c>
    </row>
    <row r="171" spans="1:22" x14ac:dyDescent="0.25">
      <c r="A171" s="41" t="s">
        <v>67</v>
      </c>
      <c r="B171" s="30" t="s">
        <v>40</v>
      </c>
      <c r="C171" s="38">
        <f t="shared" ref="C171:V171" si="78">C15</f>
        <v>1</v>
      </c>
      <c r="D171" s="38">
        <f t="shared" si="78"/>
        <v>1</v>
      </c>
      <c r="E171" s="38">
        <f t="shared" si="78"/>
        <v>1</v>
      </c>
      <c r="F171" s="38">
        <f t="shared" si="78"/>
        <v>1</v>
      </c>
      <c r="G171" s="38">
        <f t="shared" si="78"/>
        <v>1</v>
      </c>
      <c r="H171" s="38">
        <f t="shared" si="78"/>
        <v>1</v>
      </c>
      <c r="I171" s="38">
        <f t="shared" si="78"/>
        <v>1</v>
      </c>
      <c r="J171" s="38">
        <f t="shared" si="78"/>
        <v>1</v>
      </c>
      <c r="K171" s="38">
        <f t="shared" si="78"/>
        <v>1</v>
      </c>
      <c r="L171" s="38">
        <f t="shared" si="78"/>
        <v>1</v>
      </c>
      <c r="M171" s="38">
        <f t="shared" si="78"/>
        <v>1</v>
      </c>
      <c r="N171" s="38">
        <f t="shared" si="78"/>
        <v>1</v>
      </c>
      <c r="O171" s="38">
        <f t="shared" si="78"/>
        <v>1</v>
      </c>
      <c r="P171" s="38">
        <f t="shared" si="78"/>
        <v>1</v>
      </c>
      <c r="Q171" s="38">
        <f t="shared" si="78"/>
        <v>1</v>
      </c>
      <c r="R171" s="38">
        <f t="shared" si="78"/>
        <v>1</v>
      </c>
      <c r="S171" s="38">
        <f t="shared" si="78"/>
        <v>1</v>
      </c>
      <c r="T171" s="38">
        <f t="shared" si="78"/>
        <v>1</v>
      </c>
      <c r="U171" s="38">
        <f t="shared" si="78"/>
        <v>1</v>
      </c>
      <c r="V171" s="38">
        <f t="shared" si="78"/>
        <v>1</v>
      </c>
    </row>
    <row r="172" spans="1:22" x14ac:dyDescent="0.25">
      <c r="A172" s="41" t="s">
        <v>68</v>
      </c>
      <c r="B172" s="30" t="s">
        <v>40</v>
      </c>
      <c r="C172" s="38">
        <f t="shared" ref="C172:V172" si="79">C16</f>
        <v>1</v>
      </c>
      <c r="D172" s="38">
        <f t="shared" si="79"/>
        <v>1</v>
      </c>
      <c r="E172" s="38">
        <f t="shared" si="79"/>
        <v>1</v>
      </c>
      <c r="F172" s="38">
        <f t="shared" si="79"/>
        <v>1</v>
      </c>
      <c r="G172" s="38">
        <f t="shared" si="79"/>
        <v>1</v>
      </c>
      <c r="H172" s="38">
        <f t="shared" si="79"/>
        <v>1</v>
      </c>
      <c r="I172" s="38">
        <f t="shared" si="79"/>
        <v>1</v>
      </c>
      <c r="J172" s="38">
        <f t="shared" si="79"/>
        <v>1</v>
      </c>
      <c r="K172" s="38">
        <f t="shared" si="79"/>
        <v>1</v>
      </c>
      <c r="L172" s="38">
        <f t="shared" si="79"/>
        <v>1</v>
      </c>
      <c r="M172" s="38">
        <f t="shared" si="79"/>
        <v>1</v>
      </c>
      <c r="N172" s="38">
        <f t="shared" si="79"/>
        <v>1</v>
      </c>
      <c r="O172" s="38">
        <f t="shared" si="79"/>
        <v>1</v>
      </c>
      <c r="P172" s="38">
        <f t="shared" si="79"/>
        <v>1</v>
      </c>
      <c r="Q172" s="38">
        <f t="shared" si="79"/>
        <v>1</v>
      </c>
      <c r="R172" s="38">
        <f t="shared" si="79"/>
        <v>1</v>
      </c>
      <c r="S172" s="38">
        <f t="shared" si="79"/>
        <v>1</v>
      </c>
      <c r="T172" s="38">
        <f t="shared" si="79"/>
        <v>1</v>
      </c>
      <c r="U172" s="38">
        <f t="shared" si="79"/>
        <v>1</v>
      </c>
      <c r="V172" s="38">
        <f t="shared" si="79"/>
        <v>1</v>
      </c>
    </row>
    <row r="173" spans="1:22" x14ac:dyDescent="0.25">
      <c r="A173" s="41" t="s">
        <v>69</v>
      </c>
      <c r="B173" s="30" t="s">
        <v>40</v>
      </c>
      <c r="C173" s="38">
        <f t="shared" ref="C173:V173" si="80">C17</f>
        <v>1</v>
      </c>
      <c r="D173" s="38">
        <f t="shared" si="80"/>
        <v>1</v>
      </c>
      <c r="E173" s="38">
        <f t="shared" si="80"/>
        <v>1</v>
      </c>
      <c r="F173" s="38">
        <f t="shared" si="80"/>
        <v>1</v>
      </c>
      <c r="G173" s="38">
        <f t="shared" si="80"/>
        <v>1</v>
      </c>
      <c r="H173" s="38">
        <f t="shared" si="80"/>
        <v>1</v>
      </c>
      <c r="I173" s="38">
        <f t="shared" si="80"/>
        <v>1</v>
      </c>
      <c r="J173" s="38">
        <f t="shared" si="80"/>
        <v>1</v>
      </c>
      <c r="K173" s="38">
        <f t="shared" si="80"/>
        <v>1</v>
      </c>
      <c r="L173" s="38">
        <f t="shared" si="80"/>
        <v>1</v>
      </c>
      <c r="M173" s="38">
        <f t="shared" si="80"/>
        <v>1</v>
      </c>
      <c r="N173" s="38">
        <f t="shared" si="80"/>
        <v>1</v>
      </c>
      <c r="O173" s="38">
        <f t="shared" si="80"/>
        <v>1</v>
      </c>
      <c r="P173" s="38">
        <f t="shared" si="80"/>
        <v>1</v>
      </c>
      <c r="Q173" s="38">
        <f t="shared" si="80"/>
        <v>1</v>
      </c>
      <c r="R173" s="38">
        <f t="shared" si="80"/>
        <v>1</v>
      </c>
      <c r="S173" s="38">
        <f t="shared" si="80"/>
        <v>1</v>
      </c>
      <c r="T173" s="38">
        <f t="shared" si="80"/>
        <v>1</v>
      </c>
      <c r="U173" s="38">
        <f t="shared" si="80"/>
        <v>1</v>
      </c>
      <c r="V173" s="38">
        <f t="shared" si="80"/>
        <v>1</v>
      </c>
    </row>
    <row r="174" spans="1:22" x14ac:dyDescent="0.25">
      <c r="A174" s="41" t="s">
        <v>70</v>
      </c>
      <c r="B174" s="30" t="s">
        <v>40</v>
      </c>
      <c r="C174" s="38">
        <f t="shared" ref="C174:V174" si="81">C18</f>
        <v>1</v>
      </c>
      <c r="D174" s="38">
        <f t="shared" si="81"/>
        <v>1</v>
      </c>
      <c r="E174" s="38">
        <f t="shared" si="81"/>
        <v>1</v>
      </c>
      <c r="F174" s="38">
        <f t="shared" si="81"/>
        <v>1</v>
      </c>
      <c r="G174" s="38">
        <f t="shared" si="81"/>
        <v>1</v>
      </c>
      <c r="H174" s="38">
        <f t="shared" si="81"/>
        <v>1</v>
      </c>
      <c r="I174" s="38">
        <f t="shared" si="81"/>
        <v>1</v>
      </c>
      <c r="J174" s="38">
        <f t="shared" si="81"/>
        <v>1</v>
      </c>
      <c r="K174" s="38">
        <f t="shared" si="81"/>
        <v>1</v>
      </c>
      <c r="L174" s="38">
        <f t="shared" si="81"/>
        <v>1</v>
      </c>
      <c r="M174" s="38">
        <f t="shared" si="81"/>
        <v>1</v>
      </c>
      <c r="N174" s="38">
        <f t="shared" si="81"/>
        <v>1</v>
      </c>
      <c r="O174" s="38">
        <f t="shared" si="81"/>
        <v>1</v>
      </c>
      <c r="P174" s="38">
        <f t="shared" si="81"/>
        <v>1</v>
      </c>
      <c r="Q174" s="38">
        <f t="shared" si="81"/>
        <v>1</v>
      </c>
      <c r="R174" s="38">
        <f t="shared" si="81"/>
        <v>1</v>
      </c>
      <c r="S174" s="38">
        <f t="shared" si="81"/>
        <v>1</v>
      </c>
      <c r="T174" s="38">
        <f t="shared" si="81"/>
        <v>1</v>
      </c>
      <c r="U174" s="38">
        <f t="shared" si="81"/>
        <v>1</v>
      </c>
      <c r="V174" s="38">
        <f t="shared" si="81"/>
        <v>1</v>
      </c>
    </row>
    <row r="175" spans="1:22" x14ac:dyDescent="0.25">
      <c r="A175" s="29" t="s">
        <v>20</v>
      </c>
      <c r="B175" s="30" t="s">
        <v>41</v>
      </c>
      <c r="C175" s="38">
        <f t="shared" ref="C175:V175" si="82">C19</f>
        <v>1</v>
      </c>
      <c r="D175" s="38">
        <f t="shared" si="82"/>
        <v>1</v>
      </c>
      <c r="E175" s="38">
        <f t="shared" si="82"/>
        <v>1</v>
      </c>
      <c r="F175" s="38">
        <f t="shared" si="82"/>
        <v>1</v>
      </c>
      <c r="G175" s="38">
        <f t="shared" si="82"/>
        <v>1</v>
      </c>
      <c r="H175" s="38">
        <f t="shared" si="82"/>
        <v>1</v>
      </c>
      <c r="I175" s="38">
        <f t="shared" si="82"/>
        <v>1</v>
      </c>
      <c r="J175" s="38">
        <f t="shared" si="82"/>
        <v>1</v>
      </c>
      <c r="K175" s="38">
        <f t="shared" si="82"/>
        <v>1</v>
      </c>
      <c r="L175" s="38">
        <f t="shared" si="82"/>
        <v>1</v>
      </c>
      <c r="M175" s="38">
        <f t="shared" si="82"/>
        <v>1</v>
      </c>
      <c r="N175" s="38">
        <f t="shared" si="82"/>
        <v>1</v>
      </c>
      <c r="O175" s="38">
        <f t="shared" si="82"/>
        <v>1</v>
      </c>
      <c r="P175" s="38">
        <f t="shared" si="82"/>
        <v>1</v>
      </c>
      <c r="Q175" s="38">
        <f t="shared" si="82"/>
        <v>1</v>
      </c>
      <c r="R175" s="38">
        <f t="shared" si="82"/>
        <v>1</v>
      </c>
      <c r="S175" s="38">
        <f t="shared" si="82"/>
        <v>1</v>
      </c>
      <c r="T175" s="38">
        <f t="shared" si="82"/>
        <v>1</v>
      </c>
      <c r="U175" s="38">
        <f t="shared" si="82"/>
        <v>1</v>
      </c>
      <c r="V175" s="38">
        <f t="shared" si="82"/>
        <v>1</v>
      </c>
    </row>
    <row r="176" spans="1:22" x14ac:dyDescent="0.25">
      <c r="A176" s="29" t="s">
        <v>21</v>
      </c>
      <c r="B176" s="30" t="s">
        <v>41</v>
      </c>
      <c r="C176" s="38">
        <f t="shared" ref="C176:V176" si="83">C20</f>
        <v>1</v>
      </c>
      <c r="D176" s="38">
        <f t="shared" si="83"/>
        <v>1</v>
      </c>
      <c r="E176" s="38">
        <f t="shared" si="83"/>
        <v>1</v>
      </c>
      <c r="F176" s="38">
        <f t="shared" si="83"/>
        <v>1</v>
      </c>
      <c r="G176" s="38">
        <f t="shared" si="83"/>
        <v>1</v>
      </c>
      <c r="H176" s="38">
        <f t="shared" si="83"/>
        <v>0</v>
      </c>
      <c r="I176" s="38">
        <f t="shared" si="83"/>
        <v>0</v>
      </c>
      <c r="J176" s="38">
        <f t="shared" si="83"/>
        <v>0</v>
      </c>
      <c r="K176" s="38">
        <f t="shared" si="83"/>
        <v>0</v>
      </c>
      <c r="L176" s="38">
        <f t="shared" si="83"/>
        <v>0</v>
      </c>
      <c r="M176" s="38">
        <f t="shared" si="83"/>
        <v>0</v>
      </c>
      <c r="N176" s="38">
        <f t="shared" si="83"/>
        <v>0</v>
      </c>
      <c r="O176" s="38">
        <f t="shared" si="83"/>
        <v>0</v>
      </c>
      <c r="P176" s="38">
        <f t="shared" si="83"/>
        <v>0</v>
      </c>
      <c r="Q176" s="38">
        <f t="shared" si="83"/>
        <v>0</v>
      </c>
      <c r="R176" s="38">
        <f t="shared" si="83"/>
        <v>0</v>
      </c>
      <c r="S176" s="38">
        <f t="shared" si="83"/>
        <v>0</v>
      </c>
      <c r="T176" s="38">
        <f t="shared" si="83"/>
        <v>0</v>
      </c>
      <c r="U176" s="38">
        <f t="shared" si="83"/>
        <v>0</v>
      </c>
      <c r="V176" s="38">
        <f t="shared" si="83"/>
        <v>0</v>
      </c>
    </row>
    <row r="177" spans="1:22" x14ac:dyDescent="0.25">
      <c r="A177" s="29" t="s">
        <v>24</v>
      </c>
      <c r="B177" s="42" t="s">
        <v>42</v>
      </c>
      <c r="C177" s="38">
        <f t="shared" ref="C177:V177" si="84">C21</f>
        <v>0</v>
      </c>
      <c r="D177" s="38">
        <f t="shared" si="84"/>
        <v>0</v>
      </c>
      <c r="E177" s="38">
        <f t="shared" si="84"/>
        <v>0</v>
      </c>
      <c r="F177" s="38">
        <f t="shared" si="84"/>
        <v>0</v>
      </c>
      <c r="G177" s="38">
        <f t="shared" si="84"/>
        <v>0</v>
      </c>
      <c r="H177" s="38">
        <f t="shared" si="84"/>
        <v>0</v>
      </c>
      <c r="I177" s="38">
        <f t="shared" si="84"/>
        <v>0</v>
      </c>
      <c r="J177" s="38">
        <f t="shared" si="84"/>
        <v>0</v>
      </c>
      <c r="K177" s="38">
        <f t="shared" si="84"/>
        <v>0</v>
      </c>
      <c r="L177" s="38">
        <f t="shared" si="84"/>
        <v>0</v>
      </c>
      <c r="M177" s="38">
        <f t="shared" si="84"/>
        <v>0</v>
      </c>
      <c r="N177" s="38">
        <f t="shared" si="84"/>
        <v>0</v>
      </c>
      <c r="O177" s="38">
        <f t="shared" si="84"/>
        <v>0</v>
      </c>
      <c r="P177" s="38">
        <f t="shared" si="84"/>
        <v>0</v>
      </c>
      <c r="Q177" s="38">
        <f t="shared" si="84"/>
        <v>0</v>
      </c>
      <c r="R177" s="38">
        <f t="shared" si="84"/>
        <v>0</v>
      </c>
      <c r="S177" s="38">
        <f t="shared" si="84"/>
        <v>0</v>
      </c>
      <c r="T177" s="38">
        <f t="shared" si="84"/>
        <v>0</v>
      </c>
      <c r="U177" s="38">
        <f t="shared" si="84"/>
        <v>0</v>
      </c>
      <c r="V177" s="38">
        <f t="shared" si="84"/>
        <v>0</v>
      </c>
    </row>
    <row r="178" spans="1:22" x14ac:dyDescent="0.25">
      <c r="A178" s="29" t="s">
        <v>57</v>
      </c>
      <c r="B178" s="30" t="s">
        <v>41</v>
      </c>
      <c r="C178" s="38">
        <f t="shared" ref="C178:V178" si="85">C22</f>
        <v>1</v>
      </c>
      <c r="D178" s="38">
        <f t="shared" si="85"/>
        <v>1</v>
      </c>
      <c r="E178" s="38">
        <f t="shared" si="85"/>
        <v>1</v>
      </c>
      <c r="F178" s="38">
        <f t="shared" si="85"/>
        <v>1</v>
      </c>
      <c r="G178" s="38">
        <f t="shared" si="85"/>
        <v>1</v>
      </c>
      <c r="H178" s="38">
        <f t="shared" si="85"/>
        <v>0</v>
      </c>
      <c r="I178" s="38">
        <f t="shared" si="85"/>
        <v>0</v>
      </c>
      <c r="J178" s="38">
        <f t="shared" si="85"/>
        <v>0</v>
      </c>
      <c r="K178" s="38">
        <f t="shared" si="85"/>
        <v>0</v>
      </c>
      <c r="L178" s="38">
        <f t="shared" si="85"/>
        <v>0</v>
      </c>
      <c r="M178" s="38">
        <f t="shared" si="85"/>
        <v>0</v>
      </c>
      <c r="N178" s="38">
        <f t="shared" si="85"/>
        <v>0</v>
      </c>
      <c r="O178" s="38">
        <f t="shared" si="85"/>
        <v>0</v>
      </c>
      <c r="P178" s="38">
        <f t="shared" si="85"/>
        <v>0</v>
      </c>
      <c r="Q178" s="38">
        <f t="shared" si="85"/>
        <v>0</v>
      </c>
      <c r="R178" s="38">
        <f t="shared" si="85"/>
        <v>0</v>
      </c>
      <c r="S178" s="38">
        <f t="shared" si="85"/>
        <v>0</v>
      </c>
      <c r="T178" s="38">
        <f t="shared" si="85"/>
        <v>0</v>
      </c>
      <c r="U178" s="38">
        <f t="shared" si="85"/>
        <v>0</v>
      </c>
      <c r="V178" s="38">
        <f t="shared" si="85"/>
        <v>0</v>
      </c>
    </row>
    <row r="179" spans="1:22" x14ac:dyDescent="0.25">
      <c r="A179" s="29" t="s">
        <v>22</v>
      </c>
      <c r="B179" s="30" t="s">
        <v>41</v>
      </c>
      <c r="C179" s="38">
        <f t="shared" ref="C179:V179" si="86">C23</f>
        <v>1</v>
      </c>
      <c r="D179" s="38">
        <f t="shared" si="86"/>
        <v>1</v>
      </c>
      <c r="E179" s="38">
        <f t="shared" si="86"/>
        <v>1</v>
      </c>
      <c r="F179" s="38">
        <f t="shared" si="86"/>
        <v>1</v>
      </c>
      <c r="G179" s="38">
        <f t="shared" si="86"/>
        <v>0</v>
      </c>
      <c r="H179" s="38">
        <f t="shared" si="86"/>
        <v>0</v>
      </c>
      <c r="I179" s="38">
        <f t="shared" si="86"/>
        <v>0</v>
      </c>
      <c r="J179" s="38">
        <f t="shared" si="86"/>
        <v>0</v>
      </c>
      <c r="K179" s="38">
        <f t="shared" si="86"/>
        <v>0</v>
      </c>
      <c r="L179" s="38">
        <f t="shared" si="86"/>
        <v>0</v>
      </c>
      <c r="M179" s="38">
        <f t="shared" si="86"/>
        <v>0</v>
      </c>
      <c r="N179" s="38">
        <f t="shared" si="86"/>
        <v>0</v>
      </c>
      <c r="O179" s="38">
        <f t="shared" si="86"/>
        <v>0</v>
      </c>
      <c r="P179" s="38">
        <f t="shared" si="86"/>
        <v>0</v>
      </c>
      <c r="Q179" s="38">
        <f t="shared" si="86"/>
        <v>0</v>
      </c>
      <c r="R179" s="38">
        <f t="shared" si="86"/>
        <v>0</v>
      </c>
      <c r="S179" s="38">
        <f t="shared" si="86"/>
        <v>0</v>
      </c>
      <c r="T179" s="38">
        <f t="shared" si="86"/>
        <v>0</v>
      </c>
      <c r="U179" s="38">
        <f t="shared" si="86"/>
        <v>0</v>
      </c>
      <c r="V179" s="38">
        <f t="shared" si="86"/>
        <v>0</v>
      </c>
    </row>
    <row r="180" spans="1:22" x14ac:dyDescent="0.25">
      <c r="A180" s="29" t="s">
        <v>23</v>
      </c>
      <c r="B180" s="37" t="s">
        <v>43</v>
      </c>
      <c r="C180" s="38">
        <f t="shared" ref="C180:V180" si="87">C24</f>
        <v>1</v>
      </c>
      <c r="D180" s="38">
        <f t="shared" si="87"/>
        <v>1</v>
      </c>
      <c r="E180" s="38">
        <f t="shared" si="87"/>
        <v>1</v>
      </c>
      <c r="F180" s="38">
        <f t="shared" si="87"/>
        <v>1</v>
      </c>
      <c r="G180" s="38">
        <f t="shared" si="87"/>
        <v>1</v>
      </c>
      <c r="H180" s="38">
        <f t="shared" si="87"/>
        <v>1</v>
      </c>
      <c r="I180" s="38">
        <f t="shared" si="87"/>
        <v>1</v>
      </c>
      <c r="J180" s="38">
        <f t="shared" si="87"/>
        <v>1</v>
      </c>
      <c r="K180" s="38">
        <f t="shared" si="87"/>
        <v>1</v>
      </c>
      <c r="L180" s="38">
        <f t="shared" si="87"/>
        <v>1</v>
      </c>
      <c r="M180" s="38">
        <f t="shared" si="87"/>
        <v>0</v>
      </c>
      <c r="N180" s="38">
        <f t="shared" si="87"/>
        <v>0</v>
      </c>
      <c r="O180" s="38">
        <f t="shared" si="87"/>
        <v>0</v>
      </c>
      <c r="P180" s="38">
        <f t="shared" si="87"/>
        <v>0</v>
      </c>
      <c r="Q180" s="38">
        <f t="shared" si="87"/>
        <v>0</v>
      </c>
      <c r="R180" s="38">
        <f t="shared" si="87"/>
        <v>0</v>
      </c>
      <c r="S180" s="38">
        <f t="shared" si="87"/>
        <v>0</v>
      </c>
      <c r="T180" s="38">
        <f t="shared" si="87"/>
        <v>0</v>
      </c>
      <c r="U180" s="38">
        <f t="shared" si="87"/>
        <v>0</v>
      </c>
      <c r="V180" s="38">
        <f t="shared" si="87"/>
        <v>0</v>
      </c>
    </row>
    <row r="181" spans="1:22" x14ac:dyDescent="0.25">
      <c r="A181" s="29" t="s">
        <v>25</v>
      </c>
      <c r="B181" s="30" t="s">
        <v>44</v>
      </c>
      <c r="C181" s="38">
        <f t="shared" ref="C181:V181" si="88">C25</f>
        <v>1</v>
      </c>
      <c r="D181" s="38">
        <f t="shared" si="88"/>
        <v>1</v>
      </c>
      <c r="E181" s="38">
        <f t="shared" si="88"/>
        <v>1</v>
      </c>
      <c r="F181" s="38">
        <f t="shared" si="88"/>
        <v>1</v>
      </c>
      <c r="G181" s="38">
        <f t="shared" si="88"/>
        <v>0</v>
      </c>
      <c r="H181" s="38">
        <f t="shared" si="88"/>
        <v>0</v>
      </c>
      <c r="I181" s="38">
        <f t="shared" si="88"/>
        <v>0</v>
      </c>
      <c r="J181" s="38">
        <f t="shared" si="88"/>
        <v>0</v>
      </c>
      <c r="K181" s="38">
        <f t="shared" si="88"/>
        <v>0</v>
      </c>
      <c r="L181" s="38">
        <f t="shared" si="88"/>
        <v>0</v>
      </c>
      <c r="M181" s="38">
        <f t="shared" si="88"/>
        <v>0</v>
      </c>
      <c r="N181" s="38">
        <f t="shared" si="88"/>
        <v>0</v>
      </c>
      <c r="O181" s="38">
        <f t="shared" si="88"/>
        <v>0</v>
      </c>
      <c r="P181" s="38">
        <f t="shared" si="88"/>
        <v>0</v>
      </c>
      <c r="Q181" s="38">
        <f t="shared" si="88"/>
        <v>0</v>
      </c>
      <c r="R181" s="38">
        <f t="shared" si="88"/>
        <v>0</v>
      </c>
      <c r="S181" s="38">
        <f t="shared" si="88"/>
        <v>0</v>
      </c>
      <c r="T181" s="38">
        <f t="shared" si="88"/>
        <v>0</v>
      </c>
      <c r="U181" s="38">
        <f t="shared" si="88"/>
        <v>0</v>
      </c>
      <c r="V181" s="38">
        <f t="shared" si="88"/>
        <v>0</v>
      </c>
    </row>
    <row r="182" spans="1:22" x14ac:dyDescent="0.25">
      <c r="A182" s="29" t="s">
        <v>58</v>
      </c>
      <c r="B182" s="30" t="s">
        <v>41</v>
      </c>
      <c r="C182" s="38">
        <f t="shared" ref="C182:V182" si="89">C26</f>
        <v>1</v>
      </c>
      <c r="D182" s="38">
        <f t="shared" si="89"/>
        <v>0</v>
      </c>
      <c r="E182" s="38">
        <f t="shared" si="89"/>
        <v>0</v>
      </c>
      <c r="F182" s="38">
        <f t="shared" si="89"/>
        <v>0</v>
      </c>
      <c r="G182" s="38">
        <f t="shared" si="89"/>
        <v>0</v>
      </c>
      <c r="H182" s="38">
        <f t="shared" si="89"/>
        <v>0</v>
      </c>
      <c r="I182" s="38">
        <f t="shared" si="89"/>
        <v>0</v>
      </c>
      <c r="J182" s="38">
        <f t="shared" si="89"/>
        <v>0</v>
      </c>
      <c r="K182" s="38">
        <f t="shared" si="89"/>
        <v>0</v>
      </c>
      <c r="L182" s="38">
        <f t="shared" si="89"/>
        <v>0</v>
      </c>
      <c r="M182" s="38">
        <f t="shared" si="89"/>
        <v>0</v>
      </c>
      <c r="N182" s="38">
        <f t="shared" si="89"/>
        <v>0</v>
      </c>
      <c r="O182" s="38">
        <f t="shared" si="89"/>
        <v>0</v>
      </c>
      <c r="P182" s="38">
        <f t="shared" si="89"/>
        <v>0</v>
      </c>
      <c r="Q182" s="38">
        <f t="shared" si="89"/>
        <v>0</v>
      </c>
      <c r="R182" s="38">
        <f t="shared" si="89"/>
        <v>0</v>
      </c>
      <c r="S182" s="38">
        <f t="shared" si="89"/>
        <v>0</v>
      </c>
      <c r="T182" s="38">
        <f t="shared" si="89"/>
        <v>0</v>
      </c>
      <c r="U182" s="38">
        <f t="shared" si="89"/>
        <v>0</v>
      </c>
      <c r="V182" s="38">
        <f t="shared" si="89"/>
        <v>0</v>
      </c>
    </row>
    <row r="183" spans="1:22" x14ac:dyDescent="0.25">
      <c r="A183" s="29" t="s">
        <v>59</v>
      </c>
      <c r="B183" s="30" t="s">
        <v>41</v>
      </c>
      <c r="C183" s="38">
        <f t="shared" ref="C183:V183" si="90">C27</f>
        <v>1</v>
      </c>
      <c r="D183" s="38">
        <f t="shared" si="90"/>
        <v>1</v>
      </c>
      <c r="E183" s="38">
        <f t="shared" si="90"/>
        <v>1</v>
      </c>
      <c r="F183" s="38">
        <f t="shared" si="90"/>
        <v>0</v>
      </c>
      <c r="G183" s="38">
        <f t="shared" si="90"/>
        <v>0</v>
      </c>
      <c r="H183" s="38">
        <f t="shared" si="90"/>
        <v>0</v>
      </c>
      <c r="I183" s="38">
        <f t="shared" si="90"/>
        <v>0</v>
      </c>
      <c r="J183" s="38">
        <f t="shared" si="90"/>
        <v>0</v>
      </c>
      <c r="K183" s="38">
        <f t="shared" si="90"/>
        <v>0</v>
      </c>
      <c r="L183" s="38">
        <f t="shared" si="90"/>
        <v>0</v>
      </c>
      <c r="M183" s="38">
        <f t="shared" si="90"/>
        <v>0</v>
      </c>
      <c r="N183" s="38">
        <f t="shared" si="90"/>
        <v>0</v>
      </c>
      <c r="O183" s="38">
        <f t="shared" si="90"/>
        <v>0</v>
      </c>
      <c r="P183" s="38">
        <f t="shared" si="90"/>
        <v>0</v>
      </c>
      <c r="Q183" s="38">
        <f t="shared" si="90"/>
        <v>0</v>
      </c>
      <c r="R183" s="38">
        <f t="shared" si="90"/>
        <v>0</v>
      </c>
      <c r="S183" s="38">
        <f t="shared" si="90"/>
        <v>0</v>
      </c>
      <c r="T183" s="38">
        <f t="shared" si="90"/>
        <v>0</v>
      </c>
      <c r="U183" s="38">
        <f t="shared" si="90"/>
        <v>0</v>
      </c>
      <c r="V183" s="38">
        <f t="shared" si="90"/>
        <v>0</v>
      </c>
    </row>
    <row r="184" spans="1:22" x14ac:dyDescent="0.25">
      <c r="A184" s="29" t="s">
        <v>60</v>
      </c>
      <c r="B184" s="30" t="s">
        <v>41</v>
      </c>
      <c r="C184" s="38">
        <f t="shared" ref="C184:V184" si="91">C28</f>
        <v>1</v>
      </c>
      <c r="D184" s="38">
        <f t="shared" si="91"/>
        <v>1</v>
      </c>
      <c r="E184" s="38">
        <f t="shared" si="91"/>
        <v>1</v>
      </c>
      <c r="F184" s="38">
        <f t="shared" si="91"/>
        <v>1</v>
      </c>
      <c r="G184" s="38">
        <f t="shared" si="91"/>
        <v>1</v>
      </c>
      <c r="H184" s="38">
        <f t="shared" si="91"/>
        <v>1</v>
      </c>
      <c r="I184" s="38">
        <f t="shared" si="91"/>
        <v>0</v>
      </c>
      <c r="J184" s="38">
        <f t="shared" si="91"/>
        <v>0</v>
      </c>
      <c r="K184" s="38">
        <f t="shared" si="91"/>
        <v>0</v>
      </c>
      <c r="L184" s="38">
        <f t="shared" si="91"/>
        <v>0</v>
      </c>
      <c r="M184" s="38">
        <f t="shared" si="91"/>
        <v>0</v>
      </c>
      <c r="N184" s="38">
        <f t="shared" si="91"/>
        <v>0</v>
      </c>
      <c r="O184" s="38">
        <f t="shared" si="91"/>
        <v>0</v>
      </c>
      <c r="P184" s="38">
        <f t="shared" si="91"/>
        <v>0</v>
      </c>
      <c r="Q184" s="38">
        <f t="shared" si="91"/>
        <v>0</v>
      </c>
      <c r="R184" s="38">
        <f t="shared" si="91"/>
        <v>0</v>
      </c>
      <c r="S184" s="38">
        <f t="shared" si="91"/>
        <v>0</v>
      </c>
      <c r="T184" s="38">
        <f t="shared" si="91"/>
        <v>0</v>
      </c>
      <c r="U184" s="38">
        <f t="shared" si="91"/>
        <v>0</v>
      </c>
      <c r="V184" s="38">
        <f t="shared" si="91"/>
        <v>0</v>
      </c>
    </row>
    <row r="185" spans="1:22" x14ac:dyDescent="0.25">
      <c r="A185" s="29" t="s">
        <v>26</v>
      </c>
      <c r="B185" s="37" t="s">
        <v>45</v>
      </c>
      <c r="C185" s="38">
        <f t="shared" ref="C185:V185" si="92">C29</f>
        <v>1</v>
      </c>
      <c r="D185" s="38">
        <f t="shared" si="92"/>
        <v>1</v>
      </c>
      <c r="E185" s="38">
        <f t="shared" si="92"/>
        <v>1</v>
      </c>
      <c r="F185" s="38">
        <f t="shared" si="92"/>
        <v>1</v>
      </c>
      <c r="G185" s="38">
        <f t="shared" si="92"/>
        <v>1</v>
      </c>
      <c r="H185" s="38">
        <f t="shared" si="92"/>
        <v>1</v>
      </c>
      <c r="I185" s="38">
        <f t="shared" si="92"/>
        <v>1</v>
      </c>
      <c r="J185" s="38">
        <f t="shared" si="92"/>
        <v>1</v>
      </c>
      <c r="K185" s="38">
        <f t="shared" si="92"/>
        <v>1</v>
      </c>
      <c r="L185" s="38">
        <f t="shared" si="92"/>
        <v>1</v>
      </c>
      <c r="M185" s="38">
        <f t="shared" si="92"/>
        <v>1</v>
      </c>
      <c r="N185" s="38">
        <f t="shared" si="92"/>
        <v>1</v>
      </c>
      <c r="O185" s="38">
        <f t="shared" si="92"/>
        <v>1</v>
      </c>
      <c r="P185" s="38">
        <f t="shared" si="92"/>
        <v>1</v>
      </c>
      <c r="Q185" s="38">
        <f t="shared" si="92"/>
        <v>1</v>
      </c>
      <c r="R185" s="38">
        <f t="shared" si="92"/>
        <v>1</v>
      </c>
      <c r="S185" s="38">
        <f t="shared" si="92"/>
        <v>1</v>
      </c>
      <c r="T185" s="38">
        <f t="shared" si="92"/>
        <v>1</v>
      </c>
      <c r="U185" s="38">
        <f t="shared" si="92"/>
        <v>1</v>
      </c>
      <c r="V185" s="38">
        <f t="shared" si="92"/>
        <v>1</v>
      </c>
    </row>
    <row r="186" spans="1:22" x14ac:dyDescent="0.25">
      <c r="A186" s="29" t="s">
        <v>61</v>
      </c>
      <c r="B186" s="37" t="s">
        <v>42</v>
      </c>
      <c r="C186" s="38">
        <f t="shared" ref="C186:V186" si="93">C30</f>
        <v>1</v>
      </c>
      <c r="D186" s="38">
        <f t="shared" si="93"/>
        <v>1</v>
      </c>
      <c r="E186" s="38">
        <f t="shared" si="93"/>
        <v>1</v>
      </c>
      <c r="F186" s="38">
        <f t="shared" si="93"/>
        <v>1</v>
      </c>
      <c r="G186" s="38">
        <f t="shared" si="93"/>
        <v>1</v>
      </c>
      <c r="H186" s="38">
        <f t="shared" si="93"/>
        <v>1</v>
      </c>
      <c r="I186" s="38">
        <f t="shared" si="93"/>
        <v>1</v>
      </c>
      <c r="J186" s="38">
        <f t="shared" si="93"/>
        <v>1</v>
      </c>
      <c r="K186" s="38">
        <f t="shared" si="93"/>
        <v>1</v>
      </c>
      <c r="L186" s="38">
        <f t="shared" si="93"/>
        <v>1</v>
      </c>
      <c r="M186" s="38">
        <f t="shared" si="93"/>
        <v>1</v>
      </c>
      <c r="N186" s="38">
        <f t="shared" si="93"/>
        <v>1</v>
      </c>
      <c r="O186" s="38">
        <f t="shared" si="93"/>
        <v>1</v>
      </c>
      <c r="P186" s="38">
        <f t="shared" si="93"/>
        <v>1</v>
      </c>
      <c r="Q186" s="38">
        <f t="shared" si="93"/>
        <v>1</v>
      </c>
      <c r="R186" s="38">
        <f t="shared" si="93"/>
        <v>1</v>
      </c>
      <c r="S186" s="38">
        <f t="shared" si="93"/>
        <v>1</v>
      </c>
      <c r="T186" s="38">
        <f t="shared" si="93"/>
        <v>1</v>
      </c>
      <c r="U186" s="38">
        <f t="shared" si="93"/>
        <v>1</v>
      </c>
      <c r="V186" s="38">
        <f t="shared" si="93"/>
        <v>1</v>
      </c>
    </row>
    <row r="187" spans="1:22" x14ac:dyDescent="0.25">
      <c r="A187" s="29" t="s">
        <v>71</v>
      </c>
      <c r="B187" s="30" t="s">
        <v>40</v>
      </c>
      <c r="C187" s="38">
        <f t="shared" ref="C187:V187" si="94">C31</f>
        <v>1</v>
      </c>
      <c r="D187" s="38">
        <f t="shared" si="94"/>
        <v>1</v>
      </c>
      <c r="E187" s="38">
        <f t="shared" si="94"/>
        <v>0</v>
      </c>
      <c r="F187" s="38">
        <f t="shared" si="94"/>
        <v>0</v>
      </c>
      <c r="G187" s="38">
        <f t="shared" si="94"/>
        <v>0</v>
      </c>
      <c r="H187" s="38">
        <f t="shared" si="94"/>
        <v>0</v>
      </c>
      <c r="I187" s="38">
        <f t="shared" si="94"/>
        <v>0</v>
      </c>
      <c r="J187" s="38">
        <f t="shared" si="94"/>
        <v>0</v>
      </c>
      <c r="K187" s="38">
        <f t="shared" si="94"/>
        <v>0</v>
      </c>
      <c r="L187" s="38">
        <f t="shared" si="94"/>
        <v>0</v>
      </c>
      <c r="M187" s="38">
        <f t="shared" si="94"/>
        <v>0</v>
      </c>
      <c r="N187" s="38">
        <f t="shared" si="94"/>
        <v>0</v>
      </c>
      <c r="O187" s="38">
        <f t="shared" si="94"/>
        <v>0</v>
      </c>
      <c r="P187" s="38">
        <f t="shared" si="94"/>
        <v>0</v>
      </c>
      <c r="Q187" s="38">
        <f t="shared" si="94"/>
        <v>0</v>
      </c>
      <c r="R187" s="38">
        <f t="shared" si="94"/>
        <v>0</v>
      </c>
      <c r="S187" s="38">
        <f t="shared" si="94"/>
        <v>0</v>
      </c>
      <c r="T187" s="38">
        <f t="shared" si="94"/>
        <v>0</v>
      </c>
      <c r="U187" s="38">
        <f t="shared" si="94"/>
        <v>0</v>
      </c>
      <c r="V187" s="38">
        <f t="shared" si="94"/>
        <v>0</v>
      </c>
    </row>
    <row r="188" spans="1:22" x14ac:dyDescent="0.25">
      <c r="A188" s="29" t="s">
        <v>27</v>
      </c>
      <c r="B188" s="37" t="s">
        <v>45</v>
      </c>
      <c r="C188" s="38">
        <f t="shared" ref="C188:V188" si="95">C32</f>
        <v>1</v>
      </c>
      <c r="D188" s="38">
        <f t="shared" si="95"/>
        <v>0</v>
      </c>
      <c r="E188" s="38">
        <f t="shared" si="95"/>
        <v>0</v>
      </c>
      <c r="F188" s="38">
        <f t="shared" si="95"/>
        <v>0</v>
      </c>
      <c r="G188" s="38">
        <f t="shared" si="95"/>
        <v>0</v>
      </c>
      <c r="H188" s="38">
        <f t="shared" si="95"/>
        <v>0</v>
      </c>
      <c r="I188" s="38">
        <f t="shared" si="95"/>
        <v>0</v>
      </c>
      <c r="J188" s="38">
        <f t="shared" si="95"/>
        <v>0</v>
      </c>
      <c r="K188" s="38">
        <f t="shared" si="95"/>
        <v>0</v>
      </c>
      <c r="L188" s="38">
        <f t="shared" si="95"/>
        <v>0</v>
      </c>
      <c r="M188" s="38">
        <f t="shared" si="95"/>
        <v>0</v>
      </c>
      <c r="N188" s="38">
        <f t="shared" si="95"/>
        <v>0</v>
      </c>
      <c r="O188" s="38">
        <f t="shared" si="95"/>
        <v>0</v>
      </c>
      <c r="P188" s="38">
        <f t="shared" si="95"/>
        <v>0</v>
      </c>
      <c r="Q188" s="38">
        <f t="shared" si="95"/>
        <v>0</v>
      </c>
      <c r="R188" s="38">
        <f t="shared" si="95"/>
        <v>0</v>
      </c>
      <c r="S188" s="38">
        <f t="shared" si="95"/>
        <v>0</v>
      </c>
      <c r="T188" s="38">
        <f t="shared" si="95"/>
        <v>0</v>
      </c>
      <c r="U188" s="38">
        <f t="shared" si="95"/>
        <v>0</v>
      </c>
      <c r="V188" s="38">
        <f t="shared" si="95"/>
        <v>0</v>
      </c>
    </row>
    <row r="189" spans="1:22" x14ac:dyDescent="0.25">
      <c r="A189" s="29" t="s">
        <v>39</v>
      </c>
      <c r="B189" s="30" t="s">
        <v>41</v>
      </c>
      <c r="C189" s="38">
        <f t="shared" ref="C189:V189" si="96">C33</f>
        <v>1</v>
      </c>
      <c r="D189" s="38">
        <f t="shared" si="96"/>
        <v>1</v>
      </c>
      <c r="E189" s="38">
        <f t="shared" si="96"/>
        <v>1</v>
      </c>
      <c r="F189" s="38">
        <f t="shared" si="96"/>
        <v>1</v>
      </c>
      <c r="G189" s="38">
        <f t="shared" si="96"/>
        <v>0</v>
      </c>
      <c r="H189" s="38">
        <f t="shared" si="96"/>
        <v>0</v>
      </c>
      <c r="I189" s="38">
        <f t="shared" si="96"/>
        <v>0</v>
      </c>
      <c r="J189" s="38">
        <f t="shared" si="96"/>
        <v>0</v>
      </c>
      <c r="K189" s="38">
        <f t="shared" si="96"/>
        <v>0</v>
      </c>
      <c r="L189" s="38">
        <f t="shared" si="96"/>
        <v>0</v>
      </c>
      <c r="M189" s="38">
        <f t="shared" si="96"/>
        <v>0</v>
      </c>
      <c r="N189" s="38">
        <f t="shared" si="96"/>
        <v>0</v>
      </c>
      <c r="O189" s="38">
        <f t="shared" si="96"/>
        <v>0</v>
      </c>
      <c r="P189" s="38">
        <f t="shared" si="96"/>
        <v>0</v>
      </c>
      <c r="Q189" s="38">
        <f t="shared" si="96"/>
        <v>0</v>
      </c>
      <c r="R189" s="38">
        <f t="shared" si="96"/>
        <v>0</v>
      </c>
      <c r="S189" s="38">
        <f t="shared" si="96"/>
        <v>0</v>
      </c>
      <c r="T189" s="38">
        <f t="shared" si="96"/>
        <v>0</v>
      </c>
      <c r="U189" s="38">
        <f t="shared" si="96"/>
        <v>0</v>
      </c>
      <c r="V189" s="38">
        <f t="shared" si="96"/>
        <v>0</v>
      </c>
    </row>
    <row r="190" spans="1:22" x14ac:dyDescent="0.25">
      <c r="A190" s="29" t="s">
        <v>28</v>
      </c>
      <c r="B190" s="29"/>
      <c r="C190" s="38">
        <f t="shared" ref="C190:V190" si="97">C34</f>
        <v>1</v>
      </c>
      <c r="D190" s="38">
        <f t="shared" si="97"/>
        <v>0</v>
      </c>
      <c r="E190" s="38">
        <f t="shared" si="97"/>
        <v>0</v>
      </c>
      <c r="F190" s="38">
        <f t="shared" si="97"/>
        <v>0</v>
      </c>
      <c r="G190" s="38">
        <f t="shared" si="97"/>
        <v>0</v>
      </c>
      <c r="H190" s="38">
        <f t="shared" si="97"/>
        <v>0</v>
      </c>
      <c r="I190" s="38">
        <f t="shared" si="97"/>
        <v>0</v>
      </c>
      <c r="J190" s="38">
        <f t="shared" si="97"/>
        <v>0</v>
      </c>
      <c r="K190" s="38">
        <f t="shared" si="97"/>
        <v>0</v>
      </c>
      <c r="L190" s="38">
        <f t="shared" si="97"/>
        <v>0</v>
      </c>
      <c r="M190" s="38">
        <f t="shared" si="97"/>
        <v>0</v>
      </c>
      <c r="N190" s="38">
        <f t="shared" si="97"/>
        <v>0</v>
      </c>
      <c r="O190" s="38">
        <f t="shared" si="97"/>
        <v>0</v>
      </c>
      <c r="P190" s="38">
        <f t="shared" si="97"/>
        <v>0</v>
      </c>
      <c r="Q190" s="38">
        <f t="shared" si="97"/>
        <v>0</v>
      </c>
      <c r="R190" s="38">
        <f t="shared" si="97"/>
        <v>0</v>
      </c>
      <c r="S190" s="38">
        <f t="shared" si="97"/>
        <v>0</v>
      </c>
      <c r="T190" s="38">
        <f t="shared" si="97"/>
        <v>0</v>
      </c>
      <c r="U190" s="38">
        <f t="shared" si="97"/>
        <v>0</v>
      </c>
      <c r="V190" s="38">
        <f t="shared" si="97"/>
        <v>0</v>
      </c>
    </row>
    <row r="191" spans="1:22" x14ac:dyDescent="0.25">
      <c r="A191" s="29" t="s">
        <v>62</v>
      </c>
      <c r="B191" s="30" t="s">
        <v>41</v>
      </c>
      <c r="C191" s="38">
        <f t="shared" ref="C191:V191" si="98">C35</f>
        <v>1</v>
      </c>
      <c r="D191" s="38">
        <f t="shared" si="98"/>
        <v>1</v>
      </c>
      <c r="E191" s="38">
        <f t="shared" si="98"/>
        <v>1</v>
      </c>
      <c r="F191" s="38">
        <f t="shared" si="98"/>
        <v>1</v>
      </c>
      <c r="G191" s="38">
        <f t="shared" si="98"/>
        <v>1</v>
      </c>
      <c r="H191" s="38">
        <f t="shared" si="98"/>
        <v>0</v>
      </c>
      <c r="I191" s="38">
        <f t="shared" si="98"/>
        <v>0</v>
      </c>
      <c r="J191" s="38">
        <f t="shared" si="98"/>
        <v>0</v>
      </c>
      <c r="K191" s="38">
        <f t="shared" si="98"/>
        <v>0</v>
      </c>
      <c r="L191" s="38">
        <f t="shared" si="98"/>
        <v>0</v>
      </c>
      <c r="M191" s="38">
        <f t="shared" si="98"/>
        <v>0</v>
      </c>
      <c r="N191" s="38">
        <f t="shared" si="98"/>
        <v>0</v>
      </c>
      <c r="O191" s="38">
        <f t="shared" si="98"/>
        <v>0</v>
      </c>
      <c r="P191" s="38">
        <f t="shared" si="98"/>
        <v>0</v>
      </c>
      <c r="Q191" s="38">
        <f t="shared" si="98"/>
        <v>0</v>
      </c>
      <c r="R191" s="38">
        <f t="shared" si="98"/>
        <v>0</v>
      </c>
      <c r="S191" s="38">
        <f t="shared" si="98"/>
        <v>0</v>
      </c>
      <c r="T191" s="38">
        <f t="shared" si="98"/>
        <v>0</v>
      </c>
      <c r="U191" s="38">
        <f t="shared" si="98"/>
        <v>0</v>
      </c>
      <c r="V191" s="38">
        <f t="shared" si="98"/>
        <v>0</v>
      </c>
    </row>
    <row r="192" spans="1:22" x14ac:dyDescent="0.25">
      <c r="A192" s="29" t="s">
        <v>29</v>
      </c>
      <c r="B192" s="30" t="s">
        <v>41</v>
      </c>
      <c r="C192" s="38">
        <f t="shared" ref="C192:V192" si="99">C36</f>
        <v>1</v>
      </c>
      <c r="D192" s="38">
        <f t="shared" si="99"/>
        <v>1</v>
      </c>
      <c r="E192" s="38">
        <f t="shared" si="99"/>
        <v>1</v>
      </c>
      <c r="F192" s="38">
        <f t="shared" si="99"/>
        <v>0</v>
      </c>
      <c r="G192" s="38">
        <f t="shared" si="99"/>
        <v>0</v>
      </c>
      <c r="H192" s="38">
        <f t="shared" si="99"/>
        <v>0</v>
      </c>
      <c r="I192" s="38">
        <f t="shared" si="99"/>
        <v>0</v>
      </c>
      <c r="J192" s="38">
        <f t="shared" si="99"/>
        <v>0</v>
      </c>
      <c r="K192" s="38">
        <f t="shared" si="99"/>
        <v>0</v>
      </c>
      <c r="L192" s="38">
        <f t="shared" si="99"/>
        <v>0</v>
      </c>
      <c r="M192" s="38">
        <f t="shared" si="99"/>
        <v>0</v>
      </c>
      <c r="N192" s="38">
        <f t="shared" si="99"/>
        <v>0</v>
      </c>
      <c r="O192" s="38">
        <f t="shared" si="99"/>
        <v>0</v>
      </c>
      <c r="P192" s="38">
        <f t="shared" si="99"/>
        <v>0</v>
      </c>
      <c r="Q192" s="38">
        <f t="shared" si="99"/>
        <v>0</v>
      </c>
      <c r="R192" s="38">
        <f t="shared" si="99"/>
        <v>0</v>
      </c>
      <c r="S192" s="38">
        <f t="shared" si="99"/>
        <v>0</v>
      </c>
      <c r="T192" s="38">
        <f t="shared" si="99"/>
        <v>0</v>
      </c>
      <c r="U192" s="38">
        <f t="shared" si="99"/>
        <v>0</v>
      </c>
      <c r="V192" s="38">
        <f t="shared" si="99"/>
        <v>0</v>
      </c>
    </row>
    <row r="193" spans="1:22" x14ac:dyDescent="0.25">
      <c r="A193" s="29" t="s">
        <v>30</v>
      </c>
      <c r="B193" s="37" t="s">
        <v>43</v>
      </c>
      <c r="C193" s="38">
        <f t="shared" ref="C193:V193" si="100">C37</f>
        <v>1</v>
      </c>
      <c r="D193" s="38">
        <f t="shared" si="100"/>
        <v>1</v>
      </c>
      <c r="E193" s="38">
        <f t="shared" si="100"/>
        <v>1</v>
      </c>
      <c r="F193" s="38">
        <f t="shared" si="100"/>
        <v>1</v>
      </c>
      <c r="G193" s="38">
        <f t="shared" si="100"/>
        <v>1</v>
      </c>
      <c r="H193" s="38">
        <f t="shared" si="100"/>
        <v>1</v>
      </c>
      <c r="I193" s="38">
        <f t="shared" si="100"/>
        <v>1</v>
      </c>
      <c r="J193" s="38">
        <f t="shared" si="100"/>
        <v>1</v>
      </c>
      <c r="K193" s="38">
        <f t="shared" si="100"/>
        <v>1</v>
      </c>
      <c r="L193" s="38">
        <f t="shared" si="100"/>
        <v>1</v>
      </c>
      <c r="M193" s="38">
        <f t="shared" si="100"/>
        <v>1</v>
      </c>
      <c r="N193" s="38">
        <f t="shared" si="100"/>
        <v>1</v>
      </c>
      <c r="O193" s="38">
        <f t="shared" si="100"/>
        <v>1</v>
      </c>
      <c r="P193" s="38">
        <f t="shared" si="100"/>
        <v>1</v>
      </c>
      <c r="Q193" s="38">
        <f t="shared" si="100"/>
        <v>1</v>
      </c>
      <c r="R193" s="38">
        <f t="shared" si="100"/>
        <v>1</v>
      </c>
      <c r="S193" s="38">
        <f t="shared" si="100"/>
        <v>1</v>
      </c>
      <c r="T193" s="38">
        <f t="shared" si="100"/>
        <v>1</v>
      </c>
      <c r="U193" s="38">
        <f t="shared" si="100"/>
        <v>1</v>
      </c>
      <c r="V193" s="38">
        <f t="shared" si="100"/>
        <v>1</v>
      </c>
    </row>
    <row r="194" spans="1:22" x14ac:dyDescent="0.25">
      <c r="A194" s="29" t="s">
        <v>31</v>
      </c>
      <c r="B194" s="38" t="s">
        <v>48</v>
      </c>
      <c r="C194" s="38">
        <f t="shared" ref="C194:V194" si="101">C38</f>
        <v>0</v>
      </c>
      <c r="D194" s="38">
        <f t="shared" si="101"/>
        <v>0</v>
      </c>
      <c r="E194" s="38">
        <f t="shared" si="101"/>
        <v>0</v>
      </c>
      <c r="F194" s="38">
        <f t="shared" si="101"/>
        <v>0</v>
      </c>
      <c r="G194" s="38">
        <f t="shared" si="101"/>
        <v>0</v>
      </c>
      <c r="H194" s="38">
        <f t="shared" si="101"/>
        <v>0</v>
      </c>
      <c r="I194" s="38">
        <f t="shared" si="101"/>
        <v>0</v>
      </c>
      <c r="J194" s="38">
        <f t="shared" si="101"/>
        <v>0</v>
      </c>
      <c r="K194" s="38">
        <f t="shared" si="101"/>
        <v>0</v>
      </c>
      <c r="L194" s="38">
        <f t="shared" si="101"/>
        <v>0</v>
      </c>
      <c r="M194" s="38">
        <f t="shared" si="101"/>
        <v>0</v>
      </c>
      <c r="N194" s="38">
        <f t="shared" si="101"/>
        <v>0</v>
      </c>
      <c r="O194" s="38">
        <f t="shared" si="101"/>
        <v>0</v>
      </c>
      <c r="P194" s="38">
        <f t="shared" si="101"/>
        <v>0</v>
      </c>
      <c r="Q194" s="38">
        <f t="shared" si="101"/>
        <v>0</v>
      </c>
      <c r="R194" s="38">
        <f t="shared" si="101"/>
        <v>0</v>
      </c>
      <c r="S194" s="38">
        <f t="shared" si="101"/>
        <v>0</v>
      </c>
      <c r="T194" s="38">
        <f t="shared" si="101"/>
        <v>0</v>
      </c>
      <c r="U194" s="38">
        <f t="shared" si="101"/>
        <v>0</v>
      </c>
      <c r="V194" s="38">
        <f t="shared" si="101"/>
        <v>0</v>
      </c>
    </row>
    <row r="195" spans="1:22" x14ac:dyDescent="0.25">
      <c r="A195" s="29" t="s">
        <v>32</v>
      </c>
      <c r="B195" s="38" t="s">
        <v>48</v>
      </c>
      <c r="C195" s="38">
        <f t="shared" ref="C195:V195" si="102">C39</f>
        <v>0</v>
      </c>
      <c r="D195" s="38">
        <f t="shared" si="102"/>
        <v>0</v>
      </c>
      <c r="E195" s="38">
        <f t="shared" si="102"/>
        <v>0</v>
      </c>
      <c r="F195" s="38">
        <f t="shared" si="102"/>
        <v>0</v>
      </c>
      <c r="G195" s="38">
        <f t="shared" si="102"/>
        <v>0</v>
      </c>
      <c r="H195" s="38">
        <f t="shared" si="102"/>
        <v>0</v>
      </c>
      <c r="I195" s="38">
        <f t="shared" si="102"/>
        <v>0</v>
      </c>
      <c r="J195" s="38">
        <f t="shared" si="102"/>
        <v>0</v>
      </c>
      <c r="K195" s="38">
        <f t="shared" si="102"/>
        <v>0</v>
      </c>
      <c r="L195" s="38">
        <f t="shared" si="102"/>
        <v>0</v>
      </c>
      <c r="M195" s="38">
        <f t="shared" si="102"/>
        <v>0</v>
      </c>
      <c r="N195" s="38">
        <f t="shared" si="102"/>
        <v>0</v>
      </c>
      <c r="O195" s="38">
        <f t="shared" si="102"/>
        <v>0</v>
      </c>
      <c r="P195" s="38">
        <f t="shared" si="102"/>
        <v>0</v>
      </c>
      <c r="Q195" s="38">
        <f t="shared" si="102"/>
        <v>0</v>
      </c>
      <c r="R195" s="38">
        <f t="shared" si="102"/>
        <v>0</v>
      </c>
      <c r="S195" s="38">
        <f t="shared" si="102"/>
        <v>0</v>
      </c>
      <c r="T195" s="38">
        <f t="shared" si="102"/>
        <v>0</v>
      </c>
      <c r="U195" s="38">
        <f t="shared" si="102"/>
        <v>0</v>
      </c>
      <c r="V195" s="38">
        <f t="shared" si="102"/>
        <v>0</v>
      </c>
    </row>
    <row r="196" spans="1:22" x14ac:dyDescent="0.25">
      <c r="A196" s="29" t="s">
        <v>33</v>
      </c>
      <c r="B196" s="30" t="s">
        <v>41</v>
      </c>
      <c r="C196" s="38">
        <f t="shared" ref="C196:V196" si="103">C40</f>
        <v>0</v>
      </c>
      <c r="D196" s="38">
        <f t="shared" si="103"/>
        <v>0</v>
      </c>
      <c r="E196" s="38">
        <f t="shared" si="103"/>
        <v>0</v>
      </c>
      <c r="F196" s="38">
        <f t="shared" si="103"/>
        <v>0</v>
      </c>
      <c r="G196" s="38">
        <f t="shared" si="103"/>
        <v>0</v>
      </c>
      <c r="H196" s="38">
        <f t="shared" si="103"/>
        <v>0</v>
      </c>
      <c r="I196" s="38">
        <f t="shared" si="103"/>
        <v>0</v>
      </c>
      <c r="J196" s="38">
        <f t="shared" si="103"/>
        <v>0</v>
      </c>
      <c r="K196" s="38">
        <f t="shared" si="103"/>
        <v>0</v>
      </c>
      <c r="L196" s="38">
        <f t="shared" si="103"/>
        <v>0</v>
      </c>
      <c r="M196" s="38">
        <f t="shared" si="103"/>
        <v>0</v>
      </c>
      <c r="N196" s="38">
        <f t="shared" si="103"/>
        <v>0</v>
      </c>
      <c r="O196" s="38">
        <f t="shared" si="103"/>
        <v>0</v>
      </c>
      <c r="P196" s="38">
        <f t="shared" si="103"/>
        <v>0</v>
      </c>
      <c r="Q196" s="38">
        <f t="shared" si="103"/>
        <v>0</v>
      </c>
      <c r="R196" s="38">
        <f t="shared" si="103"/>
        <v>0</v>
      </c>
      <c r="S196" s="38">
        <f t="shared" si="103"/>
        <v>0</v>
      </c>
      <c r="T196" s="38">
        <f t="shared" si="103"/>
        <v>0</v>
      </c>
      <c r="U196" s="38">
        <f t="shared" si="103"/>
        <v>0</v>
      </c>
      <c r="V196" s="38">
        <f t="shared" si="103"/>
        <v>0</v>
      </c>
    </row>
    <row r="197" spans="1:22" x14ac:dyDescent="0.25">
      <c r="A197" s="29" t="s">
        <v>34</v>
      </c>
      <c r="B197" s="37" t="s">
        <v>45</v>
      </c>
      <c r="C197" s="38">
        <f t="shared" ref="C197:V197" si="104">C41</f>
        <v>1</v>
      </c>
      <c r="D197" s="38">
        <f t="shared" si="104"/>
        <v>1</v>
      </c>
      <c r="E197" s="38">
        <f t="shared" si="104"/>
        <v>1</v>
      </c>
      <c r="F197" s="38">
        <f t="shared" si="104"/>
        <v>1</v>
      </c>
      <c r="G197" s="38">
        <f t="shared" si="104"/>
        <v>1</v>
      </c>
      <c r="H197" s="38">
        <f t="shared" si="104"/>
        <v>0</v>
      </c>
      <c r="I197" s="38">
        <f t="shared" si="104"/>
        <v>0</v>
      </c>
      <c r="J197" s="38">
        <f t="shared" si="104"/>
        <v>0</v>
      </c>
      <c r="K197" s="38">
        <f t="shared" si="104"/>
        <v>0</v>
      </c>
      <c r="L197" s="38">
        <f t="shared" si="104"/>
        <v>0</v>
      </c>
      <c r="M197" s="38">
        <f t="shared" si="104"/>
        <v>0</v>
      </c>
      <c r="N197" s="38">
        <f t="shared" si="104"/>
        <v>0</v>
      </c>
      <c r="O197" s="38">
        <f t="shared" si="104"/>
        <v>0</v>
      </c>
      <c r="P197" s="38">
        <f t="shared" si="104"/>
        <v>0</v>
      </c>
      <c r="Q197" s="38">
        <f t="shared" si="104"/>
        <v>0</v>
      </c>
      <c r="R197" s="38">
        <f t="shared" si="104"/>
        <v>0</v>
      </c>
      <c r="S197" s="38">
        <f t="shared" si="104"/>
        <v>0</v>
      </c>
      <c r="T197" s="38">
        <f t="shared" si="104"/>
        <v>0</v>
      </c>
      <c r="U197" s="38">
        <f t="shared" si="104"/>
        <v>0</v>
      </c>
      <c r="V197" s="38">
        <f t="shared" si="104"/>
        <v>0</v>
      </c>
    </row>
    <row r="198" spans="1:22" x14ac:dyDescent="0.25">
      <c r="A198" s="29" t="s">
        <v>63</v>
      </c>
      <c r="B198" s="37" t="s">
        <v>43</v>
      </c>
      <c r="C198" s="38">
        <f t="shared" ref="C198:V198" si="105">C42</f>
        <v>1</v>
      </c>
      <c r="D198" s="38">
        <f t="shared" si="105"/>
        <v>1</v>
      </c>
      <c r="E198" s="38">
        <f t="shared" si="105"/>
        <v>1</v>
      </c>
      <c r="F198" s="38">
        <f t="shared" si="105"/>
        <v>1</v>
      </c>
      <c r="G198" s="38">
        <f t="shared" si="105"/>
        <v>1</v>
      </c>
      <c r="H198" s="38">
        <f t="shared" si="105"/>
        <v>1</v>
      </c>
      <c r="I198" s="38">
        <f t="shared" si="105"/>
        <v>1</v>
      </c>
      <c r="J198" s="38">
        <f t="shared" si="105"/>
        <v>1</v>
      </c>
      <c r="K198" s="38">
        <f t="shared" si="105"/>
        <v>1</v>
      </c>
      <c r="L198" s="38">
        <f t="shared" si="105"/>
        <v>1</v>
      </c>
      <c r="M198" s="38">
        <f t="shared" si="105"/>
        <v>1</v>
      </c>
      <c r="N198" s="38">
        <f t="shared" si="105"/>
        <v>1</v>
      </c>
      <c r="O198" s="38">
        <f t="shared" si="105"/>
        <v>1</v>
      </c>
      <c r="P198" s="38">
        <f t="shared" si="105"/>
        <v>1</v>
      </c>
      <c r="Q198" s="38">
        <f t="shared" si="105"/>
        <v>1</v>
      </c>
      <c r="R198" s="38">
        <f t="shared" si="105"/>
        <v>1</v>
      </c>
      <c r="S198" s="38">
        <f t="shared" si="105"/>
        <v>1</v>
      </c>
      <c r="T198" s="38">
        <f t="shared" si="105"/>
        <v>1</v>
      </c>
      <c r="U198" s="38">
        <f t="shared" si="105"/>
        <v>1</v>
      </c>
      <c r="V198" s="38">
        <f t="shared" si="105"/>
        <v>1</v>
      </c>
    </row>
    <row r="199" spans="1:22" x14ac:dyDescent="0.25">
      <c r="A199" s="29" t="s">
        <v>64</v>
      </c>
      <c r="B199" s="30" t="s">
        <v>46</v>
      </c>
      <c r="C199" s="38">
        <f t="shared" ref="C199:V199" si="106">C43</f>
        <v>1</v>
      </c>
      <c r="D199" s="38">
        <f t="shared" si="106"/>
        <v>1</v>
      </c>
      <c r="E199" s="38">
        <f t="shared" si="106"/>
        <v>0</v>
      </c>
      <c r="F199" s="38">
        <f t="shared" si="106"/>
        <v>0</v>
      </c>
      <c r="G199" s="38">
        <f t="shared" si="106"/>
        <v>0</v>
      </c>
      <c r="H199" s="38">
        <f t="shared" si="106"/>
        <v>0</v>
      </c>
      <c r="I199" s="38">
        <f t="shared" si="106"/>
        <v>0</v>
      </c>
      <c r="J199" s="38">
        <f t="shared" si="106"/>
        <v>0</v>
      </c>
      <c r="K199" s="38">
        <f t="shared" si="106"/>
        <v>0</v>
      </c>
      <c r="L199" s="38">
        <f t="shared" si="106"/>
        <v>0</v>
      </c>
      <c r="M199" s="38">
        <f t="shared" si="106"/>
        <v>0</v>
      </c>
      <c r="N199" s="38">
        <f t="shared" si="106"/>
        <v>0</v>
      </c>
      <c r="O199" s="38">
        <f t="shared" si="106"/>
        <v>0</v>
      </c>
      <c r="P199" s="38">
        <f t="shared" si="106"/>
        <v>0</v>
      </c>
      <c r="Q199" s="38">
        <f t="shared" si="106"/>
        <v>0</v>
      </c>
      <c r="R199" s="38">
        <f t="shared" si="106"/>
        <v>0</v>
      </c>
      <c r="S199" s="38">
        <f t="shared" si="106"/>
        <v>0</v>
      </c>
      <c r="T199" s="38">
        <f t="shared" si="106"/>
        <v>0</v>
      </c>
      <c r="U199" s="38">
        <f t="shared" si="106"/>
        <v>0</v>
      </c>
      <c r="V199" s="38">
        <f t="shared" si="106"/>
        <v>0</v>
      </c>
    </row>
    <row r="200" spans="1:22" x14ac:dyDescent="0.25">
      <c r="A200" s="29" t="s">
        <v>65</v>
      </c>
      <c r="B200" s="30" t="s">
        <v>41</v>
      </c>
      <c r="C200" s="38">
        <f t="shared" ref="C200:V200" si="107">C44</f>
        <v>1</v>
      </c>
      <c r="D200" s="38">
        <f t="shared" si="107"/>
        <v>1</v>
      </c>
      <c r="E200" s="38">
        <f t="shared" si="107"/>
        <v>1</v>
      </c>
      <c r="F200" s="38">
        <f t="shared" si="107"/>
        <v>1</v>
      </c>
      <c r="G200" s="38">
        <f t="shared" si="107"/>
        <v>1</v>
      </c>
      <c r="H200" s="38">
        <f t="shared" si="107"/>
        <v>1</v>
      </c>
      <c r="I200" s="38">
        <f t="shared" si="107"/>
        <v>1</v>
      </c>
      <c r="J200" s="38">
        <f t="shared" si="107"/>
        <v>0</v>
      </c>
      <c r="K200" s="38">
        <f t="shared" si="107"/>
        <v>0</v>
      </c>
      <c r="L200" s="38">
        <f t="shared" si="107"/>
        <v>0</v>
      </c>
      <c r="M200" s="38">
        <f t="shared" si="107"/>
        <v>0</v>
      </c>
      <c r="N200" s="38">
        <f t="shared" si="107"/>
        <v>0</v>
      </c>
      <c r="O200" s="38">
        <f t="shared" si="107"/>
        <v>0</v>
      </c>
      <c r="P200" s="38">
        <f t="shared" si="107"/>
        <v>0</v>
      </c>
      <c r="Q200" s="38">
        <f t="shared" si="107"/>
        <v>0</v>
      </c>
      <c r="R200" s="38">
        <f t="shared" si="107"/>
        <v>0</v>
      </c>
      <c r="S200" s="38">
        <f t="shared" si="107"/>
        <v>0</v>
      </c>
      <c r="T200" s="38">
        <f t="shared" si="107"/>
        <v>0</v>
      </c>
      <c r="U200" s="38">
        <f t="shared" si="107"/>
        <v>0</v>
      </c>
      <c r="V200" s="38">
        <f t="shared" si="107"/>
        <v>0</v>
      </c>
    </row>
    <row r="201" spans="1:22" x14ac:dyDescent="0.25">
      <c r="A201" s="29" t="s">
        <v>35</v>
      </c>
      <c r="B201" s="30" t="s">
        <v>40</v>
      </c>
      <c r="C201" s="38">
        <f t="shared" ref="C201:V201" si="108">C45</f>
        <v>1</v>
      </c>
      <c r="D201" s="38">
        <f t="shared" si="108"/>
        <v>1</v>
      </c>
      <c r="E201" s="38">
        <f t="shared" si="108"/>
        <v>0</v>
      </c>
      <c r="F201" s="38">
        <f t="shared" si="108"/>
        <v>0</v>
      </c>
      <c r="G201" s="38">
        <f t="shared" si="108"/>
        <v>0</v>
      </c>
      <c r="H201" s="38">
        <f t="shared" si="108"/>
        <v>0</v>
      </c>
      <c r="I201" s="38">
        <f t="shared" si="108"/>
        <v>0</v>
      </c>
      <c r="J201" s="38">
        <f t="shared" si="108"/>
        <v>0</v>
      </c>
      <c r="K201" s="38">
        <f t="shared" si="108"/>
        <v>0</v>
      </c>
      <c r="L201" s="38">
        <f t="shared" si="108"/>
        <v>0</v>
      </c>
      <c r="M201" s="38">
        <f t="shared" si="108"/>
        <v>0</v>
      </c>
      <c r="N201" s="38">
        <f t="shared" si="108"/>
        <v>0</v>
      </c>
      <c r="O201" s="38">
        <f t="shared" si="108"/>
        <v>0</v>
      </c>
      <c r="P201" s="38">
        <f t="shared" si="108"/>
        <v>0</v>
      </c>
      <c r="Q201" s="38">
        <f t="shared" si="108"/>
        <v>0</v>
      </c>
      <c r="R201" s="38">
        <f t="shared" si="108"/>
        <v>0</v>
      </c>
      <c r="S201" s="38">
        <f t="shared" si="108"/>
        <v>0</v>
      </c>
      <c r="T201" s="38">
        <f t="shared" si="108"/>
        <v>0</v>
      </c>
      <c r="U201" s="38">
        <f t="shared" si="108"/>
        <v>0</v>
      </c>
      <c r="V201" s="38">
        <f t="shared" si="108"/>
        <v>0</v>
      </c>
    </row>
    <row r="202" spans="1:22" x14ac:dyDescent="0.25">
      <c r="A202" s="29" t="s">
        <v>36</v>
      </c>
      <c r="B202" s="30" t="s">
        <v>40</v>
      </c>
      <c r="C202" s="38">
        <f t="shared" ref="C202:V202" si="109">C46</f>
        <v>1</v>
      </c>
      <c r="D202" s="38">
        <f t="shared" si="109"/>
        <v>1</v>
      </c>
      <c r="E202" s="38">
        <f t="shared" si="109"/>
        <v>0</v>
      </c>
      <c r="F202" s="38">
        <f t="shared" si="109"/>
        <v>0</v>
      </c>
      <c r="G202" s="38">
        <f t="shared" si="109"/>
        <v>0</v>
      </c>
      <c r="H202" s="38">
        <f t="shared" si="109"/>
        <v>0</v>
      </c>
      <c r="I202" s="38">
        <f t="shared" si="109"/>
        <v>0</v>
      </c>
      <c r="J202" s="38">
        <f t="shared" si="109"/>
        <v>0</v>
      </c>
      <c r="K202" s="38">
        <f t="shared" si="109"/>
        <v>0</v>
      </c>
      <c r="L202" s="38">
        <f t="shared" si="109"/>
        <v>0</v>
      </c>
      <c r="M202" s="38">
        <f t="shared" si="109"/>
        <v>0</v>
      </c>
      <c r="N202" s="38">
        <f t="shared" si="109"/>
        <v>0</v>
      </c>
      <c r="O202" s="38">
        <f t="shared" si="109"/>
        <v>0</v>
      </c>
      <c r="P202" s="38">
        <f t="shared" si="109"/>
        <v>0</v>
      </c>
      <c r="Q202" s="38">
        <f t="shared" si="109"/>
        <v>0</v>
      </c>
      <c r="R202" s="38">
        <f t="shared" si="109"/>
        <v>0</v>
      </c>
      <c r="S202" s="38">
        <f t="shared" si="109"/>
        <v>0</v>
      </c>
      <c r="T202" s="38">
        <f t="shared" si="109"/>
        <v>0</v>
      </c>
      <c r="U202" s="38">
        <f t="shared" si="109"/>
        <v>0</v>
      </c>
      <c r="V202" s="38">
        <f t="shared" si="109"/>
        <v>0</v>
      </c>
    </row>
    <row r="203" spans="1:22" x14ac:dyDescent="0.25">
      <c r="A203" s="29" t="s">
        <v>37</v>
      </c>
      <c r="B203" s="30" t="s">
        <v>40</v>
      </c>
      <c r="C203" s="38">
        <f t="shared" ref="C203:V203" si="110">C47</f>
        <v>1</v>
      </c>
      <c r="D203" s="38">
        <f t="shared" si="110"/>
        <v>1</v>
      </c>
      <c r="E203" s="38">
        <f t="shared" si="110"/>
        <v>0</v>
      </c>
      <c r="F203" s="38">
        <f t="shared" si="110"/>
        <v>0</v>
      </c>
      <c r="G203" s="38">
        <f t="shared" si="110"/>
        <v>0</v>
      </c>
      <c r="H203" s="38">
        <f t="shared" si="110"/>
        <v>0</v>
      </c>
      <c r="I203" s="38">
        <f t="shared" si="110"/>
        <v>0</v>
      </c>
      <c r="J203" s="38">
        <f t="shared" si="110"/>
        <v>0</v>
      </c>
      <c r="K203" s="38">
        <f t="shared" si="110"/>
        <v>0</v>
      </c>
      <c r="L203" s="38">
        <f t="shared" si="110"/>
        <v>0</v>
      </c>
      <c r="M203" s="38">
        <f t="shared" si="110"/>
        <v>0</v>
      </c>
      <c r="N203" s="38">
        <f t="shared" si="110"/>
        <v>0</v>
      </c>
      <c r="O203" s="38">
        <f t="shared" si="110"/>
        <v>0</v>
      </c>
      <c r="P203" s="38">
        <f t="shared" si="110"/>
        <v>0</v>
      </c>
      <c r="Q203" s="38">
        <f t="shared" si="110"/>
        <v>0</v>
      </c>
      <c r="R203" s="38">
        <f t="shared" si="110"/>
        <v>0</v>
      </c>
      <c r="S203" s="38">
        <f t="shared" si="110"/>
        <v>0</v>
      </c>
      <c r="T203" s="38">
        <f t="shared" si="110"/>
        <v>0</v>
      </c>
      <c r="U203" s="38">
        <f t="shared" si="110"/>
        <v>0</v>
      </c>
      <c r="V203" s="38">
        <f t="shared" si="110"/>
        <v>0</v>
      </c>
    </row>
    <row r="204" spans="1:22" x14ac:dyDescent="0.25">
      <c r="A204" s="29" t="s">
        <v>38</v>
      </c>
      <c r="B204" s="30" t="s">
        <v>41</v>
      </c>
      <c r="C204" s="38">
        <f t="shared" ref="C204:V204" si="111">C48</f>
        <v>1</v>
      </c>
      <c r="D204" s="38">
        <f t="shared" si="111"/>
        <v>0</v>
      </c>
      <c r="E204" s="38">
        <f t="shared" si="111"/>
        <v>0</v>
      </c>
      <c r="F204" s="38">
        <f t="shared" si="111"/>
        <v>0</v>
      </c>
      <c r="G204" s="38">
        <f t="shared" si="111"/>
        <v>0</v>
      </c>
      <c r="H204" s="38">
        <f t="shared" si="111"/>
        <v>0</v>
      </c>
      <c r="I204" s="38">
        <f t="shared" si="111"/>
        <v>0</v>
      </c>
      <c r="J204" s="38">
        <f t="shared" si="111"/>
        <v>0</v>
      </c>
      <c r="K204" s="38">
        <f t="shared" si="111"/>
        <v>0</v>
      </c>
      <c r="L204" s="38">
        <f t="shared" si="111"/>
        <v>0</v>
      </c>
      <c r="M204" s="38">
        <f t="shared" si="111"/>
        <v>0</v>
      </c>
      <c r="N204" s="38">
        <f t="shared" si="111"/>
        <v>0</v>
      </c>
      <c r="O204" s="38">
        <f t="shared" si="111"/>
        <v>0</v>
      </c>
      <c r="P204" s="38">
        <f t="shared" si="111"/>
        <v>0</v>
      </c>
      <c r="Q204" s="38">
        <f t="shared" si="111"/>
        <v>0</v>
      </c>
      <c r="R204" s="38">
        <f t="shared" si="111"/>
        <v>0</v>
      </c>
      <c r="S204" s="38">
        <f t="shared" si="111"/>
        <v>0</v>
      </c>
      <c r="T204" s="38">
        <f t="shared" si="111"/>
        <v>0</v>
      </c>
      <c r="U204" s="38">
        <f t="shared" si="111"/>
        <v>0</v>
      </c>
      <c r="V204" s="38">
        <f t="shared" si="111"/>
        <v>0</v>
      </c>
    </row>
    <row r="205" spans="1:22" x14ac:dyDescent="0.25">
      <c r="A205" s="88" t="str">
        <f t="shared" ref="A205:B212" si="112">A49</f>
        <v>New</v>
      </c>
      <c r="B205" s="88" t="str">
        <f t="shared" si="112"/>
        <v>Human Space Flight</v>
      </c>
      <c r="C205" s="95" t="e">
        <f>New_missions!C14+New_missions!C50</f>
        <v>#REF!</v>
      </c>
      <c r="D205" s="95" t="e">
        <f>New_missions!D14+New_missions!D50</f>
        <v>#REF!</v>
      </c>
      <c r="E205" s="95" t="e">
        <f>New_missions!E14+New_missions!E50</f>
        <v>#REF!</v>
      </c>
      <c r="F205" s="95" t="e">
        <f>New_missions!F14+New_missions!F50</f>
        <v>#REF!</v>
      </c>
      <c r="G205" s="95" t="e">
        <f>New_missions!G14+New_missions!G50</f>
        <v>#REF!</v>
      </c>
      <c r="H205" s="95" t="e">
        <f>New_missions!H14+New_missions!H50</f>
        <v>#REF!</v>
      </c>
      <c r="I205" s="95" t="e">
        <f>New_missions!I14+New_missions!I50</f>
        <v>#REF!</v>
      </c>
      <c r="J205" s="95" t="e">
        <f>New_missions!J14+New_missions!J50</f>
        <v>#REF!</v>
      </c>
      <c r="K205" s="95" t="e">
        <f>New_missions!K14+New_missions!K50</f>
        <v>#REF!</v>
      </c>
      <c r="L205" s="95" t="e">
        <f>New_missions!L14+New_missions!L50</f>
        <v>#REF!</v>
      </c>
      <c r="M205" s="95" t="e">
        <f>New_missions!M14+New_missions!M50</f>
        <v>#REF!</v>
      </c>
      <c r="N205" s="95" t="e">
        <f>New_missions!N14+New_missions!N50</f>
        <v>#REF!</v>
      </c>
      <c r="O205" s="95" t="e">
        <f>New_missions!O14+New_missions!O50</f>
        <v>#REF!</v>
      </c>
      <c r="P205" s="95" t="e">
        <f>New_missions!P14+New_missions!P50</f>
        <v>#REF!</v>
      </c>
      <c r="Q205" s="95" t="e">
        <f>New_missions!Q14+New_missions!Q50</f>
        <v>#REF!</v>
      </c>
      <c r="R205" s="95" t="e">
        <f>New_missions!R14+New_missions!R50</f>
        <v>#REF!</v>
      </c>
      <c r="S205" s="95" t="e">
        <f>New_missions!S14+New_missions!S50</f>
        <v>#REF!</v>
      </c>
      <c r="T205" s="95" t="e">
        <f>New_missions!T14+New_missions!T50</f>
        <v>#REF!</v>
      </c>
      <c r="U205" s="95" t="e">
        <f>New_missions!U14+New_missions!U50</f>
        <v>#REF!</v>
      </c>
      <c r="V205" s="95" t="e">
        <f>New_missions!V14+New_missions!V50</f>
        <v>#REF!</v>
      </c>
    </row>
    <row r="206" spans="1:22" x14ac:dyDescent="0.25">
      <c r="A206" s="88" t="str">
        <f t="shared" si="112"/>
        <v>New</v>
      </c>
      <c r="B206" s="88" t="str">
        <f t="shared" si="112"/>
        <v>Near Earth Robotic - LEO Science</v>
      </c>
      <c r="C206" s="95" t="e">
        <f>New_missions!C15+New_missions!C51</f>
        <v>#REF!</v>
      </c>
      <c r="D206" s="95" t="e">
        <f>New_missions!D15+New_missions!D51</f>
        <v>#REF!</v>
      </c>
      <c r="E206" s="95" t="e">
        <f>New_missions!E15+New_missions!E51</f>
        <v>#REF!</v>
      </c>
      <c r="F206" s="95" t="e">
        <f>New_missions!F15+New_missions!F51</f>
        <v>#REF!</v>
      </c>
      <c r="G206" s="95" t="e">
        <f>New_missions!G15+New_missions!G51</f>
        <v>#REF!</v>
      </c>
      <c r="H206" s="95" t="e">
        <f>New_missions!H15+New_missions!H51</f>
        <v>#REF!</v>
      </c>
      <c r="I206" s="95" t="e">
        <f>New_missions!I15+New_missions!I51</f>
        <v>#REF!</v>
      </c>
      <c r="J206" s="95" t="e">
        <f>New_missions!J15+New_missions!J51</f>
        <v>#REF!</v>
      </c>
      <c r="K206" s="95" t="e">
        <f>New_missions!K15+New_missions!K51</f>
        <v>#REF!</v>
      </c>
      <c r="L206" s="95" t="e">
        <f>New_missions!L15+New_missions!L51</f>
        <v>#REF!</v>
      </c>
      <c r="M206" s="95" t="e">
        <f>New_missions!M15+New_missions!M51</f>
        <v>#REF!</v>
      </c>
      <c r="N206" s="95" t="e">
        <f>New_missions!N15+New_missions!N51</f>
        <v>#REF!</v>
      </c>
      <c r="O206" s="95" t="e">
        <f>New_missions!O15+New_missions!O51</f>
        <v>#REF!</v>
      </c>
      <c r="P206" s="95" t="e">
        <f>New_missions!P15+New_missions!P51</f>
        <v>#REF!</v>
      </c>
      <c r="Q206" s="95" t="e">
        <f>New_missions!Q15+New_missions!Q51</f>
        <v>#REF!</v>
      </c>
      <c r="R206" s="95" t="e">
        <f>New_missions!R15+New_missions!R51</f>
        <v>#REF!</v>
      </c>
      <c r="S206" s="95" t="e">
        <f>New_missions!S15+New_missions!S51</f>
        <v>#REF!</v>
      </c>
      <c r="T206" s="95" t="e">
        <f>New_missions!T15+New_missions!T51</f>
        <v>#REF!</v>
      </c>
      <c r="U206" s="95" t="e">
        <f>New_missions!U15+New_missions!U51</f>
        <v>#REF!</v>
      </c>
      <c r="V206" s="95" t="e">
        <f>New_missions!V15+New_missions!V51</f>
        <v>#REF!</v>
      </c>
    </row>
    <row r="207" spans="1:22" x14ac:dyDescent="0.25">
      <c r="A207" s="88" t="str">
        <f t="shared" si="112"/>
        <v>New</v>
      </c>
      <c r="B207" s="88" t="str">
        <f t="shared" si="112"/>
        <v>Near Earth Robotic - GEO and Near Earth</v>
      </c>
      <c r="C207" s="95" t="e">
        <f>New_missions!C16+New_missions!C52</f>
        <v>#REF!</v>
      </c>
      <c r="D207" s="95" t="e">
        <f>New_missions!D16+New_missions!D52</f>
        <v>#REF!</v>
      </c>
      <c r="E207" s="95" t="e">
        <f>New_missions!E16+New_missions!E52</f>
        <v>#REF!</v>
      </c>
      <c r="F207" s="95" t="e">
        <f>New_missions!F16+New_missions!F52</f>
        <v>#REF!</v>
      </c>
      <c r="G207" s="95" t="e">
        <f>New_missions!G16+New_missions!G52</f>
        <v>#REF!</v>
      </c>
      <c r="H207" s="95" t="e">
        <f>New_missions!H16+New_missions!H52</f>
        <v>#REF!</v>
      </c>
      <c r="I207" s="95" t="e">
        <f>New_missions!I16+New_missions!I52</f>
        <v>#REF!</v>
      </c>
      <c r="J207" s="95" t="e">
        <f>New_missions!J16+New_missions!J52</f>
        <v>#REF!</v>
      </c>
      <c r="K207" s="95" t="e">
        <f>New_missions!K16+New_missions!K52</f>
        <v>#REF!</v>
      </c>
      <c r="L207" s="95" t="e">
        <f>New_missions!L16+New_missions!L52</f>
        <v>#REF!</v>
      </c>
      <c r="M207" s="95" t="e">
        <f>New_missions!M16+New_missions!M52</f>
        <v>#REF!</v>
      </c>
      <c r="N207" s="95" t="e">
        <f>New_missions!N16+New_missions!N52</f>
        <v>#REF!</v>
      </c>
      <c r="O207" s="95" t="e">
        <f>New_missions!O16+New_missions!O52</f>
        <v>#REF!</v>
      </c>
      <c r="P207" s="95" t="e">
        <f>New_missions!P16+New_missions!P52</f>
        <v>#REF!</v>
      </c>
      <c r="Q207" s="95" t="e">
        <f>New_missions!Q16+New_missions!Q52</f>
        <v>#REF!</v>
      </c>
      <c r="R207" s="95" t="e">
        <f>New_missions!R16+New_missions!R52</f>
        <v>#REF!</v>
      </c>
      <c r="S207" s="95" t="e">
        <f>New_missions!S16+New_missions!S52</f>
        <v>#REF!</v>
      </c>
      <c r="T207" s="95" t="e">
        <f>New_missions!T16+New_missions!T52</f>
        <v>#REF!</v>
      </c>
      <c r="U207" s="95" t="e">
        <f>New_missions!U16+New_missions!U52</f>
        <v>#REF!</v>
      </c>
      <c r="V207" s="95" t="e">
        <f>New_missions!V16+New_missions!V52</f>
        <v>#REF!</v>
      </c>
    </row>
    <row r="208" spans="1:22" x14ac:dyDescent="0.25">
      <c r="A208" s="88" t="str">
        <f t="shared" si="112"/>
        <v>New</v>
      </c>
      <c r="B208" s="88" t="str">
        <f t="shared" si="112"/>
        <v>Deep Space Robotic</v>
      </c>
      <c r="C208" s="95" t="e">
        <f>New_missions!C17+New_missions!C53</f>
        <v>#REF!</v>
      </c>
      <c r="D208" s="95" t="e">
        <f>New_missions!D17+New_missions!D53</f>
        <v>#REF!</v>
      </c>
      <c r="E208" s="95" t="e">
        <f>New_missions!E17+New_missions!E53</f>
        <v>#REF!</v>
      </c>
      <c r="F208" s="95" t="e">
        <f>New_missions!F17+New_missions!F53</f>
        <v>#REF!</v>
      </c>
      <c r="G208" s="95" t="e">
        <f>New_missions!G17+New_missions!G53</f>
        <v>#REF!</v>
      </c>
      <c r="H208" s="95" t="e">
        <f>New_missions!H17+New_missions!H53</f>
        <v>#REF!</v>
      </c>
      <c r="I208" s="95" t="e">
        <f>New_missions!I17+New_missions!I53</f>
        <v>#REF!</v>
      </c>
      <c r="J208" s="95" t="e">
        <f>New_missions!J17+New_missions!J53</f>
        <v>#REF!</v>
      </c>
      <c r="K208" s="95" t="e">
        <f>New_missions!K17+New_missions!K53</f>
        <v>#REF!</v>
      </c>
      <c r="L208" s="95" t="e">
        <f>New_missions!L17+New_missions!L53</f>
        <v>#REF!</v>
      </c>
      <c r="M208" s="95" t="e">
        <f>New_missions!M17+New_missions!M53</f>
        <v>#REF!</v>
      </c>
      <c r="N208" s="95" t="e">
        <f>New_missions!N17+New_missions!N53</f>
        <v>#REF!</v>
      </c>
      <c r="O208" s="95" t="e">
        <f>New_missions!O17+New_missions!O53</f>
        <v>#REF!</v>
      </c>
      <c r="P208" s="95" t="e">
        <f>New_missions!P17+New_missions!P53</f>
        <v>#REF!</v>
      </c>
      <c r="Q208" s="95" t="e">
        <f>New_missions!Q17+New_missions!Q53</f>
        <v>#REF!</v>
      </c>
      <c r="R208" s="95" t="e">
        <f>New_missions!R17+New_missions!R53</f>
        <v>#REF!</v>
      </c>
      <c r="S208" s="95" t="e">
        <f>New_missions!S17+New_missions!S53</f>
        <v>#REF!</v>
      </c>
      <c r="T208" s="95" t="e">
        <f>New_missions!T17+New_missions!T53</f>
        <v>#REF!</v>
      </c>
      <c r="U208" s="95" t="e">
        <f>New_missions!U17+New_missions!U53</f>
        <v>#REF!</v>
      </c>
      <c r="V208" s="95" t="e">
        <f>New_missions!V17+New_missions!V53</f>
        <v>#REF!</v>
      </c>
    </row>
    <row r="209" spans="1:22" x14ac:dyDescent="0.25">
      <c r="A209" s="88" t="str">
        <f t="shared" si="112"/>
        <v>New</v>
      </c>
      <c r="B209" s="88" t="str">
        <f t="shared" si="112"/>
        <v>Near Earth Robotic - Low Latency &amp; Complex Needs</v>
      </c>
      <c r="C209" s="95" t="e">
        <f>New_missions!C18+New_missions!C54</f>
        <v>#REF!</v>
      </c>
      <c r="D209" s="95" t="e">
        <f>New_missions!D18+New_missions!D54</f>
        <v>#REF!</v>
      </c>
      <c r="E209" s="95" t="e">
        <f>New_missions!E18+New_missions!E54</f>
        <v>#REF!</v>
      </c>
      <c r="F209" s="95" t="e">
        <f>New_missions!F18+New_missions!F54</f>
        <v>#REF!</v>
      </c>
      <c r="G209" s="95" t="e">
        <f>New_missions!G18+New_missions!G54</f>
        <v>#REF!</v>
      </c>
      <c r="H209" s="95" t="e">
        <f>New_missions!H18+New_missions!H54</f>
        <v>#REF!</v>
      </c>
      <c r="I209" s="95" t="e">
        <f>New_missions!I18+New_missions!I54</f>
        <v>#REF!</v>
      </c>
      <c r="J209" s="95" t="e">
        <f>New_missions!J18+New_missions!J54</f>
        <v>#REF!</v>
      </c>
      <c r="K209" s="95" t="e">
        <f>New_missions!K18+New_missions!K54</f>
        <v>#REF!</v>
      </c>
      <c r="L209" s="95" t="e">
        <f>New_missions!L18+New_missions!L54</f>
        <v>#REF!</v>
      </c>
      <c r="M209" s="95" t="e">
        <f>New_missions!M18+New_missions!M54</f>
        <v>#REF!</v>
      </c>
      <c r="N209" s="95" t="e">
        <f>New_missions!N18+New_missions!N54</f>
        <v>#REF!</v>
      </c>
      <c r="O209" s="95" t="e">
        <f>New_missions!O18+New_missions!O54</f>
        <v>#REF!</v>
      </c>
      <c r="P209" s="95" t="e">
        <f>New_missions!P18+New_missions!P54</f>
        <v>#REF!</v>
      </c>
      <c r="Q209" s="95" t="e">
        <f>New_missions!Q18+New_missions!Q54</f>
        <v>#REF!</v>
      </c>
      <c r="R209" s="95" t="e">
        <f>New_missions!R18+New_missions!R54</f>
        <v>#REF!</v>
      </c>
      <c r="S209" s="95" t="e">
        <f>New_missions!S18+New_missions!S54</f>
        <v>#REF!</v>
      </c>
      <c r="T209" s="95" t="e">
        <f>New_missions!T18+New_missions!T54</f>
        <v>#REF!</v>
      </c>
      <c r="U209" s="95" t="e">
        <f>New_missions!U18+New_missions!U54</f>
        <v>#REF!</v>
      </c>
      <c r="V209" s="95" t="e">
        <f>New_missions!V18+New_missions!V54</f>
        <v>#REF!</v>
      </c>
    </row>
    <row r="210" spans="1:22" x14ac:dyDescent="0.25">
      <c r="A210" s="88" t="str">
        <f t="shared" si="112"/>
        <v>New</v>
      </c>
      <c r="B210" s="88" t="str">
        <f t="shared" si="112"/>
        <v>Mission Operations</v>
      </c>
      <c r="C210" s="95" t="e">
        <f>New_missions!C19+New_missions!C55</f>
        <v>#REF!</v>
      </c>
      <c r="D210" s="95" t="e">
        <f>New_missions!D19+New_missions!D55</f>
        <v>#REF!</v>
      </c>
      <c r="E210" s="95" t="e">
        <f>New_missions!E19+New_missions!E55</f>
        <v>#REF!</v>
      </c>
      <c r="F210" s="95" t="e">
        <f>New_missions!F19+New_missions!F55</f>
        <v>#REF!</v>
      </c>
      <c r="G210" s="95" t="e">
        <f>New_missions!G19+New_missions!G55</f>
        <v>#REF!</v>
      </c>
      <c r="H210" s="95" t="e">
        <f>New_missions!H19+New_missions!H55</f>
        <v>#REF!</v>
      </c>
      <c r="I210" s="95" t="e">
        <f>New_missions!I19+New_missions!I55</f>
        <v>#REF!</v>
      </c>
      <c r="J210" s="95" t="e">
        <f>New_missions!J19+New_missions!J55</f>
        <v>#REF!</v>
      </c>
      <c r="K210" s="95" t="e">
        <f>New_missions!K19+New_missions!K55</f>
        <v>#REF!</v>
      </c>
      <c r="L210" s="95" t="e">
        <f>New_missions!L19+New_missions!L55</f>
        <v>#REF!</v>
      </c>
      <c r="M210" s="95" t="e">
        <f>New_missions!M19+New_missions!M55</f>
        <v>#REF!</v>
      </c>
      <c r="N210" s="95" t="e">
        <f>New_missions!N19+New_missions!N55</f>
        <v>#REF!</v>
      </c>
      <c r="O210" s="95" t="e">
        <f>New_missions!O19+New_missions!O55</f>
        <v>#REF!</v>
      </c>
      <c r="P210" s="95" t="e">
        <f>New_missions!P19+New_missions!P55</f>
        <v>#REF!</v>
      </c>
      <c r="Q210" s="95" t="e">
        <f>New_missions!Q19+New_missions!Q55</f>
        <v>#REF!</v>
      </c>
      <c r="R210" s="95" t="e">
        <f>New_missions!R19+New_missions!R55</f>
        <v>#REF!</v>
      </c>
      <c r="S210" s="95" t="e">
        <f>New_missions!S19+New_missions!S55</f>
        <v>#REF!</v>
      </c>
      <c r="T210" s="95" t="e">
        <f>New_missions!T19+New_missions!T55</f>
        <v>#REF!</v>
      </c>
      <c r="U210" s="95" t="e">
        <f>New_missions!U19+New_missions!U55</f>
        <v>#REF!</v>
      </c>
      <c r="V210" s="95" t="e">
        <f>New_missions!V19+New_missions!V55</f>
        <v>#REF!</v>
      </c>
    </row>
    <row r="211" spans="1:22" x14ac:dyDescent="0.25">
      <c r="A211" s="88" t="str">
        <f t="shared" si="112"/>
        <v>New</v>
      </c>
      <c r="B211" s="88" t="str">
        <f t="shared" si="112"/>
        <v>Launch Events</v>
      </c>
      <c r="C211" s="95" t="e">
        <f>New_missions!C20+New_missions!C56</f>
        <v>#REF!</v>
      </c>
      <c r="D211" s="95" t="e">
        <f>New_missions!D20+New_missions!D56</f>
        <v>#REF!</v>
      </c>
      <c r="E211" s="95" t="e">
        <f>New_missions!E20+New_missions!E56</f>
        <v>#REF!</v>
      </c>
      <c r="F211" s="95" t="e">
        <f>New_missions!F20+New_missions!F56</f>
        <v>#REF!</v>
      </c>
      <c r="G211" s="95" t="e">
        <f>New_missions!G20+New_missions!G56</f>
        <v>#REF!</v>
      </c>
      <c r="H211" s="95" t="e">
        <f>New_missions!H20+New_missions!H56</f>
        <v>#REF!</v>
      </c>
      <c r="I211" s="95" t="e">
        <f>New_missions!I20+New_missions!I56</f>
        <v>#REF!</v>
      </c>
      <c r="J211" s="95" t="e">
        <f>New_missions!J20+New_missions!J56</f>
        <v>#REF!</v>
      </c>
      <c r="K211" s="95" t="e">
        <f>New_missions!K20+New_missions!K56</f>
        <v>#REF!</v>
      </c>
      <c r="L211" s="95" t="e">
        <f>New_missions!L20+New_missions!L56</f>
        <v>#REF!</v>
      </c>
      <c r="M211" s="95" t="e">
        <f>New_missions!M20+New_missions!M56</f>
        <v>#REF!</v>
      </c>
      <c r="N211" s="95" t="e">
        <f>New_missions!N20+New_missions!N56</f>
        <v>#REF!</v>
      </c>
      <c r="O211" s="95" t="e">
        <f>New_missions!O20+New_missions!O56</f>
        <v>#REF!</v>
      </c>
      <c r="P211" s="95" t="e">
        <f>New_missions!P20+New_missions!P56</f>
        <v>#REF!</v>
      </c>
      <c r="Q211" s="95" t="e">
        <f>New_missions!Q20+New_missions!Q56</f>
        <v>#REF!</v>
      </c>
      <c r="R211" s="95" t="e">
        <f>New_missions!R20+New_missions!R56</f>
        <v>#REF!</v>
      </c>
      <c r="S211" s="95" t="e">
        <f>New_missions!S20+New_missions!S56</f>
        <v>#REF!</v>
      </c>
      <c r="T211" s="95" t="e">
        <f>New_missions!T20+New_missions!T56</f>
        <v>#REF!</v>
      </c>
      <c r="U211" s="95" t="e">
        <f>New_missions!U20+New_missions!U56</f>
        <v>#REF!</v>
      </c>
      <c r="V211" s="95" t="e">
        <f>New_missions!V20+New_missions!V56</f>
        <v>#REF!</v>
      </c>
    </row>
    <row r="212" spans="1:22" x14ac:dyDescent="0.25">
      <c r="A212" s="88" t="str">
        <f t="shared" si="112"/>
        <v>New</v>
      </c>
      <c r="B212" s="88" t="str">
        <f t="shared" si="112"/>
        <v>Terrestrial &amp; Aerial</v>
      </c>
      <c r="C212" s="95" t="e">
        <f>New_missions!C21+New_missions!C57</f>
        <v>#REF!</v>
      </c>
      <c r="D212" s="95" t="e">
        <f>New_missions!D21+New_missions!D57</f>
        <v>#REF!</v>
      </c>
      <c r="E212" s="95" t="e">
        <f>New_missions!E21+New_missions!E57</f>
        <v>#REF!</v>
      </c>
      <c r="F212" s="95" t="e">
        <f>New_missions!F21+New_missions!F57</f>
        <v>#REF!</v>
      </c>
      <c r="G212" s="95" t="e">
        <f>New_missions!G21+New_missions!G57</f>
        <v>#REF!</v>
      </c>
      <c r="H212" s="95" t="e">
        <f>New_missions!H21+New_missions!H57</f>
        <v>#REF!</v>
      </c>
      <c r="I212" s="95" t="e">
        <f>New_missions!I21+New_missions!I57</f>
        <v>#REF!</v>
      </c>
      <c r="J212" s="95" t="e">
        <f>New_missions!J21+New_missions!J57</f>
        <v>#REF!</v>
      </c>
      <c r="K212" s="95" t="e">
        <f>New_missions!K21+New_missions!K57</f>
        <v>#REF!</v>
      </c>
      <c r="L212" s="95" t="e">
        <f>New_missions!L21+New_missions!L57</f>
        <v>#REF!</v>
      </c>
      <c r="M212" s="95" t="e">
        <f>New_missions!M21+New_missions!M57</f>
        <v>#REF!</v>
      </c>
      <c r="N212" s="95" t="e">
        <f>New_missions!N21+New_missions!N57</f>
        <v>#REF!</v>
      </c>
      <c r="O212" s="95" t="e">
        <f>New_missions!O21+New_missions!O57</f>
        <v>#REF!</v>
      </c>
      <c r="P212" s="95" t="e">
        <f>New_missions!P21+New_missions!P57</f>
        <v>#REF!</v>
      </c>
      <c r="Q212" s="95" t="e">
        <f>New_missions!Q21+New_missions!Q57</f>
        <v>#REF!</v>
      </c>
      <c r="R212" s="95" t="e">
        <f>New_missions!R21+New_missions!R57</f>
        <v>#REF!</v>
      </c>
      <c r="S212" s="95" t="e">
        <f>New_missions!S21+New_missions!S57</f>
        <v>#REF!</v>
      </c>
      <c r="T212" s="95" t="e">
        <f>New_missions!T21+New_missions!T57</f>
        <v>#REF!</v>
      </c>
      <c r="U212" s="95" t="e">
        <f>New_missions!U21+New_missions!U57</f>
        <v>#REF!</v>
      </c>
      <c r="V212" s="95" t="e">
        <f>New_missions!V21+New_missions!V57</f>
        <v>#REF!</v>
      </c>
    </row>
    <row r="213" spans="1:22" x14ac:dyDescent="0.25">
      <c r="A213" s="82"/>
      <c r="B213" s="89"/>
    </row>
    <row r="214" spans="1:22" x14ac:dyDescent="0.25">
      <c r="A214" s="82"/>
      <c r="B214" s="89"/>
      <c r="C214" s="91" t="e">
        <f>SUM(C158:C212)</f>
        <v>#REF!</v>
      </c>
      <c r="D214" s="91" t="e">
        <f>SUM(D158:D212)</f>
        <v>#REF!</v>
      </c>
      <c r="E214" s="91" t="e">
        <f t="shared" ref="E214:V214" si="113">SUM(E158:E212)</f>
        <v>#REF!</v>
      </c>
      <c r="F214" s="91" t="e">
        <f t="shared" si="113"/>
        <v>#REF!</v>
      </c>
      <c r="G214" s="91" t="e">
        <f t="shared" si="113"/>
        <v>#REF!</v>
      </c>
      <c r="H214" s="91" t="e">
        <f t="shared" si="113"/>
        <v>#REF!</v>
      </c>
      <c r="I214" s="91" t="e">
        <f t="shared" si="113"/>
        <v>#REF!</v>
      </c>
      <c r="J214" s="91" t="e">
        <f t="shared" si="113"/>
        <v>#REF!</v>
      </c>
      <c r="K214" s="91" t="e">
        <f t="shared" si="113"/>
        <v>#REF!</v>
      </c>
      <c r="L214" s="92" t="e">
        <f t="shared" si="113"/>
        <v>#REF!</v>
      </c>
      <c r="M214" s="91" t="e">
        <f t="shared" si="113"/>
        <v>#REF!</v>
      </c>
      <c r="N214" s="91" t="e">
        <f t="shared" si="113"/>
        <v>#REF!</v>
      </c>
      <c r="O214" s="91" t="e">
        <f t="shared" si="113"/>
        <v>#REF!</v>
      </c>
      <c r="P214" s="91" t="e">
        <f t="shared" si="113"/>
        <v>#REF!</v>
      </c>
      <c r="Q214" s="91" t="e">
        <f t="shared" si="113"/>
        <v>#REF!</v>
      </c>
      <c r="R214" s="91" t="e">
        <f t="shared" si="113"/>
        <v>#REF!</v>
      </c>
      <c r="S214" s="91" t="e">
        <f t="shared" si="113"/>
        <v>#REF!</v>
      </c>
      <c r="T214" s="91" t="e">
        <f t="shared" si="113"/>
        <v>#REF!</v>
      </c>
      <c r="U214" s="91" t="e">
        <f t="shared" si="113"/>
        <v>#REF!</v>
      </c>
      <c r="V214" s="91" t="e">
        <f t="shared" si="113"/>
        <v>#REF!</v>
      </c>
    </row>
    <row r="215" spans="1:22" ht="14.4" thickBot="1" x14ac:dyDescent="0.3"/>
    <row r="216" spans="1:22" x14ac:dyDescent="0.25">
      <c r="B216" s="54" t="s">
        <v>82</v>
      </c>
      <c r="C216" s="55">
        <f>C157</f>
        <v>2021</v>
      </c>
      <c r="D216" s="55">
        <f t="shared" ref="D216:U216" si="114">D157</f>
        <v>2022</v>
      </c>
      <c r="E216" s="55">
        <f t="shared" si="114"/>
        <v>2023</v>
      </c>
      <c r="F216" s="55">
        <f t="shared" si="114"/>
        <v>2024</v>
      </c>
      <c r="G216" s="55">
        <f t="shared" si="114"/>
        <v>2025</v>
      </c>
      <c r="H216" s="55">
        <f t="shared" si="114"/>
        <v>2026</v>
      </c>
      <c r="I216" s="55">
        <f t="shared" si="114"/>
        <v>2027</v>
      </c>
      <c r="J216" s="55">
        <f t="shared" si="114"/>
        <v>2028</v>
      </c>
      <c r="K216" s="55">
        <f t="shared" si="114"/>
        <v>2029</v>
      </c>
      <c r="L216" s="72">
        <f t="shared" si="114"/>
        <v>2030</v>
      </c>
      <c r="M216" s="73">
        <f t="shared" si="114"/>
        <v>2031</v>
      </c>
      <c r="N216" s="55">
        <f t="shared" si="114"/>
        <v>2032</v>
      </c>
      <c r="O216" s="55">
        <f t="shared" si="114"/>
        <v>2033</v>
      </c>
      <c r="P216" s="55">
        <f t="shared" si="114"/>
        <v>2034</v>
      </c>
      <c r="Q216" s="55">
        <f t="shared" si="114"/>
        <v>2035</v>
      </c>
      <c r="R216" s="55">
        <f t="shared" si="114"/>
        <v>2036</v>
      </c>
      <c r="S216" s="55">
        <f t="shared" si="114"/>
        <v>2037</v>
      </c>
      <c r="T216" s="55">
        <f t="shared" si="114"/>
        <v>2038</v>
      </c>
      <c r="U216" s="55">
        <f t="shared" si="114"/>
        <v>2039</v>
      </c>
      <c r="V216" s="55">
        <f>V157</f>
        <v>2040</v>
      </c>
    </row>
    <row r="217" spans="1:22" x14ac:dyDescent="0.25">
      <c r="B217" s="33" t="s">
        <v>43</v>
      </c>
      <c r="C217" s="34" t="e">
        <f t="shared" ref="C217:L224" si="115">SUMIF($B$158:$B$212,$B217,C$158:C$212)</f>
        <v>#REF!</v>
      </c>
      <c r="D217" s="34" t="e">
        <f t="shared" si="115"/>
        <v>#REF!</v>
      </c>
      <c r="E217" s="34" t="e">
        <f t="shared" si="115"/>
        <v>#REF!</v>
      </c>
      <c r="F217" s="34" t="e">
        <f t="shared" si="115"/>
        <v>#REF!</v>
      </c>
      <c r="G217" s="34" t="e">
        <f t="shared" si="115"/>
        <v>#REF!</v>
      </c>
      <c r="H217" s="34" t="e">
        <f t="shared" si="115"/>
        <v>#REF!</v>
      </c>
      <c r="I217" s="34" t="e">
        <f t="shared" si="115"/>
        <v>#REF!</v>
      </c>
      <c r="J217" s="34" t="e">
        <f t="shared" si="115"/>
        <v>#REF!</v>
      </c>
      <c r="K217" s="34" t="e">
        <f t="shared" si="115"/>
        <v>#REF!</v>
      </c>
      <c r="L217" s="34" t="e">
        <f t="shared" si="115"/>
        <v>#REF!</v>
      </c>
      <c r="M217" s="34" t="e">
        <f t="shared" ref="M217:V224" si="116">SUMIF($B$158:$B$212,$B217,M$158:M$212)</f>
        <v>#REF!</v>
      </c>
      <c r="N217" s="34" t="e">
        <f t="shared" si="116"/>
        <v>#REF!</v>
      </c>
      <c r="O217" s="34" t="e">
        <f t="shared" si="116"/>
        <v>#REF!</v>
      </c>
      <c r="P217" s="34" t="e">
        <f t="shared" si="116"/>
        <v>#REF!</v>
      </c>
      <c r="Q217" s="34" t="e">
        <f t="shared" si="116"/>
        <v>#REF!</v>
      </c>
      <c r="R217" s="34" t="e">
        <f t="shared" si="116"/>
        <v>#REF!</v>
      </c>
      <c r="S217" s="34" t="e">
        <f t="shared" si="116"/>
        <v>#REF!</v>
      </c>
      <c r="T217" s="34" t="e">
        <f t="shared" si="116"/>
        <v>#REF!</v>
      </c>
      <c r="U217" s="34" t="e">
        <f t="shared" si="116"/>
        <v>#REF!</v>
      </c>
      <c r="V217" s="34" t="e">
        <f t="shared" si="116"/>
        <v>#REF!</v>
      </c>
    </row>
    <row r="218" spans="1:22" x14ac:dyDescent="0.25">
      <c r="B218" s="33" t="s">
        <v>41</v>
      </c>
      <c r="C218" s="34" t="e">
        <f t="shared" si="115"/>
        <v>#REF!</v>
      </c>
      <c r="D218" s="34" t="e">
        <f t="shared" si="115"/>
        <v>#REF!</v>
      </c>
      <c r="E218" s="34" t="e">
        <f t="shared" si="115"/>
        <v>#REF!</v>
      </c>
      <c r="F218" s="34" t="e">
        <f t="shared" si="115"/>
        <v>#REF!</v>
      </c>
      <c r="G218" s="34" t="e">
        <f t="shared" si="115"/>
        <v>#REF!</v>
      </c>
      <c r="H218" s="34" t="e">
        <f t="shared" si="115"/>
        <v>#REF!</v>
      </c>
      <c r="I218" s="34" t="e">
        <f t="shared" si="115"/>
        <v>#REF!</v>
      </c>
      <c r="J218" s="34" t="e">
        <f t="shared" si="115"/>
        <v>#REF!</v>
      </c>
      <c r="K218" s="34" t="e">
        <f t="shared" si="115"/>
        <v>#REF!</v>
      </c>
      <c r="L218" s="34" t="e">
        <f t="shared" si="115"/>
        <v>#REF!</v>
      </c>
      <c r="M218" s="34" t="e">
        <f t="shared" si="116"/>
        <v>#REF!</v>
      </c>
      <c r="N218" s="34" t="e">
        <f t="shared" si="116"/>
        <v>#REF!</v>
      </c>
      <c r="O218" s="34" t="e">
        <f t="shared" si="116"/>
        <v>#REF!</v>
      </c>
      <c r="P218" s="34" t="e">
        <f t="shared" si="116"/>
        <v>#REF!</v>
      </c>
      <c r="Q218" s="34" t="e">
        <f t="shared" si="116"/>
        <v>#REF!</v>
      </c>
      <c r="R218" s="34" t="e">
        <f t="shared" si="116"/>
        <v>#REF!</v>
      </c>
      <c r="S218" s="34" t="e">
        <f t="shared" si="116"/>
        <v>#REF!</v>
      </c>
      <c r="T218" s="34" t="e">
        <f t="shared" si="116"/>
        <v>#REF!</v>
      </c>
      <c r="U218" s="34" t="e">
        <f t="shared" si="116"/>
        <v>#REF!</v>
      </c>
      <c r="V218" s="34" t="e">
        <f t="shared" si="116"/>
        <v>#REF!</v>
      </c>
    </row>
    <row r="219" spans="1:22" x14ac:dyDescent="0.25">
      <c r="B219" s="33" t="s">
        <v>40</v>
      </c>
      <c r="C219" s="34" t="e">
        <f t="shared" si="115"/>
        <v>#REF!</v>
      </c>
      <c r="D219" s="34" t="e">
        <f t="shared" si="115"/>
        <v>#REF!</v>
      </c>
      <c r="E219" s="34" t="e">
        <f t="shared" si="115"/>
        <v>#REF!</v>
      </c>
      <c r="F219" s="34" t="e">
        <f t="shared" si="115"/>
        <v>#REF!</v>
      </c>
      <c r="G219" s="34" t="e">
        <f t="shared" si="115"/>
        <v>#REF!</v>
      </c>
      <c r="H219" s="34" t="e">
        <f t="shared" si="115"/>
        <v>#REF!</v>
      </c>
      <c r="I219" s="34" t="e">
        <f t="shared" si="115"/>
        <v>#REF!</v>
      </c>
      <c r="J219" s="34" t="e">
        <f t="shared" si="115"/>
        <v>#REF!</v>
      </c>
      <c r="K219" s="34" t="e">
        <f t="shared" si="115"/>
        <v>#REF!</v>
      </c>
      <c r="L219" s="34" t="e">
        <f t="shared" si="115"/>
        <v>#REF!</v>
      </c>
      <c r="M219" s="34" t="e">
        <f t="shared" si="116"/>
        <v>#REF!</v>
      </c>
      <c r="N219" s="34" t="e">
        <f t="shared" si="116"/>
        <v>#REF!</v>
      </c>
      <c r="O219" s="34" t="e">
        <f t="shared" si="116"/>
        <v>#REF!</v>
      </c>
      <c r="P219" s="34" t="e">
        <f t="shared" si="116"/>
        <v>#REF!</v>
      </c>
      <c r="Q219" s="34" t="e">
        <f t="shared" si="116"/>
        <v>#REF!</v>
      </c>
      <c r="R219" s="34" t="e">
        <f t="shared" si="116"/>
        <v>#REF!</v>
      </c>
      <c r="S219" s="34" t="e">
        <f t="shared" si="116"/>
        <v>#REF!</v>
      </c>
      <c r="T219" s="34" t="e">
        <f t="shared" si="116"/>
        <v>#REF!</v>
      </c>
      <c r="U219" s="34" t="e">
        <f t="shared" si="116"/>
        <v>#REF!</v>
      </c>
      <c r="V219" s="34" t="e">
        <f t="shared" si="116"/>
        <v>#REF!</v>
      </c>
    </row>
    <row r="220" spans="1:22" x14ac:dyDescent="0.25">
      <c r="B220" s="33" t="s">
        <v>80</v>
      </c>
      <c r="C220" s="34" t="e">
        <f t="shared" si="115"/>
        <v>#REF!</v>
      </c>
      <c r="D220" s="34" t="e">
        <f t="shared" si="115"/>
        <v>#REF!</v>
      </c>
      <c r="E220" s="34" t="e">
        <f t="shared" si="115"/>
        <v>#REF!</v>
      </c>
      <c r="F220" s="34" t="e">
        <f t="shared" si="115"/>
        <v>#REF!</v>
      </c>
      <c r="G220" s="34" t="e">
        <f t="shared" si="115"/>
        <v>#REF!</v>
      </c>
      <c r="H220" s="34" t="e">
        <f t="shared" si="115"/>
        <v>#REF!</v>
      </c>
      <c r="I220" s="34" t="e">
        <f t="shared" si="115"/>
        <v>#REF!</v>
      </c>
      <c r="J220" s="34" t="e">
        <f t="shared" si="115"/>
        <v>#REF!</v>
      </c>
      <c r="K220" s="34" t="e">
        <f t="shared" si="115"/>
        <v>#REF!</v>
      </c>
      <c r="L220" s="34" t="e">
        <f t="shared" si="115"/>
        <v>#REF!</v>
      </c>
      <c r="M220" s="34" t="e">
        <f t="shared" si="116"/>
        <v>#REF!</v>
      </c>
      <c r="N220" s="34" t="e">
        <f t="shared" si="116"/>
        <v>#REF!</v>
      </c>
      <c r="O220" s="34" t="e">
        <f t="shared" si="116"/>
        <v>#REF!</v>
      </c>
      <c r="P220" s="34" t="e">
        <f t="shared" si="116"/>
        <v>#REF!</v>
      </c>
      <c r="Q220" s="34" t="e">
        <f t="shared" si="116"/>
        <v>#REF!</v>
      </c>
      <c r="R220" s="34" t="e">
        <f t="shared" si="116"/>
        <v>#REF!</v>
      </c>
      <c r="S220" s="34" t="e">
        <f t="shared" si="116"/>
        <v>#REF!</v>
      </c>
      <c r="T220" s="34" t="e">
        <f t="shared" si="116"/>
        <v>#REF!</v>
      </c>
      <c r="U220" s="34" t="e">
        <f t="shared" si="116"/>
        <v>#REF!</v>
      </c>
      <c r="V220" s="34" t="e">
        <f t="shared" si="116"/>
        <v>#REF!</v>
      </c>
    </row>
    <row r="221" spans="1:22" x14ac:dyDescent="0.25">
      <c r="B221" s="33" t="s">
        <v>44</v>
      </c>
      <c r="C221" s="34" t="e">
        <f t="shared" si="115"/>
        <v>#REF!</v>
      </c>
      <c r="D221" s="34" t="e">
        <f t="shared" si="115"/>
        <v>#REF!</v>
      </c>
      <c r="E221" s="34" t="e">
        <f t="shared" si="115"/>
        <v>#REF!</v>
      </c>
      <c r="F221" s="34" t="e">
        <f t="shared" si="115"/>
        <v>#REF!</v>
      </c>
      <c r="G221" s="34" t="e">
        <f t="shared" si="115"/>
        <v>#REF!</v>
      </c>
      <c r="H221" s="34" t="e">
        <f t="shared" si="115"/>
        <v>#REF!</v>
      </c>
      <c r="I221" s="34" t="e">
        <f t="shared" si="115"/>
        <v>#REF!</v>
      </c>
      <c r="J221" s="34" t="e">
        <f t="shared" si="115"/>
        <v>#REF!</v>
      </c>
      <c r="K221" s="34" t="e">
        <f t="shared" si="115"/>
        <v>#REF!</v>
      </c>
      <c r="L221" s="34" t="e">
        <f t="shared" si="115"/>
        <v>#REF!</v>
      </c>
      <c r="M221" s="34" t="e">
        <f t="shared" si="116"/>
        <v>#REF!</v>
      </c>
      <c r="N221" s="34" t="e">
        <f t="shared" si="116"/>
        <v>#REF!</v>
      </c>
      <c r="O221" s="34" t="e">
        <f t="shared" si="116"/>
        <v>#REF!</v>
      </c>
      <c r="P221" s="34" t="e">
        <f t="shared" si="116"/>
        <v>#REF!</v>
      </c>
      <c r="Q221" s="34" t="e">
        <f t="shared" si="116"/>
        <v>#REF!</v>
      </c>
      <c r="R221" s="34" t="e">
        <f t="shared" si="116"/>
        <v>#REF!</v>
      </c>
      <c r="S221" s="34" t="e">
        <f t="shared" si="116"/>
        <v>#REF!</v>
      </c>
      <c r="T221" s="34" t="e">
        <f t="shared" si="116"/>
        <v>#REF!</v>
      </c>
      <c r="U221" s="34" t="e">
        <f t="shared" si="116"/>
        <v>#REF!</v>
      </c>
      <c r="V221" s="34" t="e">
        <f t="shared" si="116"/>
        <v>#REF!</v>
      </c>
    </row>
    <row r="222" spans="1:22" x14ac:dyDescent="0.25">
      <c r="B222" s="33" t="s">
        <v>81</v>
      </c>
      <c r="C222" s="34" t="e">
        <f t="shared" si="115"/>
        <v>#REF!</v>
      </c>
      <c r="D222" s="34" t="e">
        <f t="shared" si="115"/>
        <v>#REF!</v>
      </c>
      <c r="E222" s="34" t="e">
        <f t="shared" si="115"/>
        <v>#REF!</v>
      </c>
      <c r="F222" s="34" t="e">
        <f t="shared" si="115"/>
        <v>#REF!</v>
      </c>
      <c r="G222" s="34" t="e">
        <f t="shared" si="115"/>
        <v>#REF!</v>
      </c>
      <c r="H222" s="34" t="e">
        <f t="shared" si="115"/>
        <v>#REF!</v>
      </c>
      <c r="I222" s="34" t="e">
        <f t="shared" si="115"/>
        <v>#REF!</v>
      </c>
      <c r="J222" s="34" t="e">
        <f t="shared" si="115"/>
        <v>#REF!</v>
      </c>
      <c r="K222" s="34" t="e">
        <f t="shared" si="115"/>
        <v>#REF!</v>
      </c>
      <c r="L222" s="34" t="e">
        <f t="shared" si="115"/>
        <v>#REF!</v>
      </c>
      <c r="M222" s="34" t="e">
        <f t="shared" si="116"/>
        <v>#REF!</v>
      </c>
      <c r="N222" s="34" t="e">
        <f t="shared" si="116"/>
        <v>#REF!</v>
      </c>
      <c r="O222" s="34" t="e">
        <f t="shared" si="116"/>
        <v>#REF!</v>
      </c>
      <c r="P222" s="34" t="e">
        <f t="shared" si="116"/>
        <v>#REF!</v>
      </c>
      <c r="Q222" s="34" t="e">
        <f t="shared" si="116"/>
        <v>#REF!</v>
      </c>
      <c r="R222" s="34" t="e">
        <f t="shared" si="116"/>
        <v>#REF!</v>
      </c>
      <c r="S222" s="34" t="e">
        <f t="shared" si="116"/>
        <v>#REF!</v>
      </c>
      <c r="T222" s="34" t="e">
        <f t="shared" si="116"/>
        <v>#REF!</v>
      </c>
      <c r="U222" s="34" t="e">
        <f t="shared" si="116"/>
        <v>#REF!</v>
      </c>
      <c r="V222" s="34" t="e">
        <f t="shared" si="116"/>
        <v>#REF!</v>
      </c>
    </row>
    <row r="223" spans="1:22" x14ac:dyDescent="0.25">
      <c r="B223" s="33" t="s">
        <v>42</v>
      </c>
      <c r="C223" s="34" t="e">
        <f t="shared" si="115"/>
        <v>#REF!</v>
      </c>
      <c r="D223" s="34" t="e">
        <f t="shared" si="115"/>
        <v>#REF!</v>
      </c>
      <c r="E223" s="34" t="e">
        <f t="shared" si="115"/>
        <v>#REF!</v>
      </c>
      <c r="F223" s="34" t="e">
        <f t="shared" si="115"/>
        <v>#REF!</v>
      </c>
      <c r="G223" s="34" t="e">
        <f t="shared" si="115"/>
        <v>#REF!</v>
      </c>
      <c r="H223" s="34" t="e">
        <f t="shared" si="115"/>
        <v>#REF!</v>
      </c>
      <c r="I223" s="34" t="e">
        <f t="shared" si="115"/>
        <v>#REF!</v>
      </c>
      <c r="J223" s="34" t="e">
        <f t="shared" si="115"/>
        <v>#REF!</v>
      </c>
      <c r="K223" s="34" t="e">
        <f t="shared" si="115"/>
        <v>#REF!</v>
      </c>
      <c r="L223" s="34" t="e">
        <f t="shared" si="115"/>
        <v>#REF!</v>
      </c>
      <c r="M223" s="34" t="e">
        <f t="shared" si="116"/>
        <v>#REF!</v>
      </c>
      <c r="N223" s="34" t="e">
        <f t="shared" si="116"/>
        <v>#REF!</v>
      </c>
      <c r="O223" s="34" t="e">
        <f t="shared" si="116"/>
        <v>#REF!</v>
      </c>
      <c r="P223" s="34" t="e">
        <f t="shared" si="116"/>
        <v>#REF!</v>
      </c>
      <c r="Q223" s="34" t="e">
        <f t="shared" si="116"/>
        <v>#REF!</v>
      </c>
      <c r="R223" s="34" t="e">
        <f t="shared" si="116"/>
        <v>#REF!</v>
      </c>
      <c r="S223" s="34" t="e">
        <f t="shared" si="116"/>
        <v>#REF!</v>
      </c>
      <c r="T223" s="34" t="e">
        <f t="shared" si="116"/>
        <v>#REF!</v>
      </c>
      <c r="U223" s="34" t="e">
        <f t="shared" si="116"/>
        <v>#REF!</v>
      </c>
      <c r="V223" s="34" t="e">
        <f t="shared" si="116"/>
        <v>#REF!</v>
      </c>
    </row>
    <row r="224" spans="1:22" ht="14.4" thickBot="1" x14ac:dyDescent="0.3">
      <c r="B224" s="39" t="s">
        <v>45</v>
      </c>
      <c r="C224" s="34" t="e">
        <f t="shared" si="115"/>
        <v>#REF!</v>
      </c>
      <c r="D224" s="34" t="e">
        <f t="shared" si="115"/>
        <v>#REF!</v>
      </c>
      <c r="E224" s="34" t="e">
        <f t="shared" si="115"/>
        <v>#REF!</v>
      </c>
      <c r="F224" s="34" t="e">
        <f t="shared" si="115"/>
        <v>#REF!</v>
      </c>
      <c r="G224" s="34" t="e">
        <f t="shared" si="115"/>
        <v>#REF!</v>
      </c>
      <c r="H224" s="34" t="e">
        <f t="shared" si="115"/>
        <v>#REF!</v>
      </c>
      <c r="I224" s="34" t="e">
        <f t="shared" si="115"/>
        <v>#REF!</v>
      </c>
      <c r="J224" s="34" t="e">
        <f t="shared" si="115"/>
        <v>#REF!</v>
      </c>
      <c r="K224" s="34" t="e">
        <f t="shared" si="115"/>
        <v>#REF!</v>
      </c>
      <c r="L224" s="34" t="e">
        <f t="shared" si="115"/>
        <v>#REF!</v>
      </c>
      <c r="M224" s="34" t="e">
        <f t="shared" si="116"/>
        <v>#REF!</v>
      </c>
      <c r="N224" s="34" t="e">
        <f t="shared" si="116"/>
        <v>#REF!</v>
      </c>
      <c r="O224" s="34" t="e">
        <f t="shared" si="116"/>
        <v>#REF!</v>
      </c>
      <c r="P224" s="34" t="e">
        <f t="shared" si="116"/>
        <v>#REF!</v>
      </c>
      <c r="Q224" s="34" t="e">
        <f t="shared" si="116"/>
        <v>#REF!</v>
      </c>
      <c r="R224" s="34" t="e">
        <f t="shared" si="116"/>
        <v>#REF!</v>
      </c>
      <c r="S224" s="34" t="e">
        <f t="shared" si="116"/>
        <v>#REF!</v>
      </c>
      <c r="T224" s="34" t="e">
        <f t="shared" si="116"/>
        <v>#REF!</v>
      </c>
      <c r="U224" s="34" t="e">
        <f t="shared" si="116"/>
        <v>#REF!</v>
      </c>
      <c r="V224" s="34" t="e">
        <f t="shared" si="116"/>
        <v>#REF!</v>
      </c>
    </row>
    <row r="226" spans="1:22" x14ac:dyDescent="0.25">
      <c r="C226" s="93" t="e">
        <f>SUM(C217:C224)</f>
        <v>#REF!</v>
      </c>
      <c r="D226" s="93" t="e">
        <f t="shared" ref="D226:V226" si="117">SUM(D217:D224)</f>
        <v>#REF!</v>
      </c>
      <c r="E226" s="93" t="e">
        <f t="shared" si="117"/>
        <v>#REF!</v>
      </c>
      <c r="F226" s="93" t="e">
        <f t="shared" si="117"/>
        <v>#REF!</v>
      </c>
      <c r="G226" s="93" t="e">
        <f t="shared" si="117"/>
        <v>#REF!</v>
      </c>
      <c r="H226" s="93" t="e">
        <f t="shared" si="117"/>
        <v>#REF!</v>
      </c>
      <c r="I226" s="93" t="e">
        <f t="shared" si="117"/>
        <v>#REF!</v>
      </c>
      <c r="J226" s="93" t="e">
        <f t="shared" si="117"/>
        <v>#REF!</v>
      </c>
      <c r="K226" s="93" t="e">
        <f t="shared" si="117"/>
        <v>#REF!</v>
      </c>
      <c r="L226" s="94" t="e">
        <f t="shared" si="117"/>
        <v>#REF!</v>
      </c>
      <c r="M226" s="93" t="e">
        <f t="shared" si="117"/>
        <v>#REF!</v>
      </c>
      <c r="N226" s="93" t="e">
        <f t="shared" si="117"/>
        <v>#REF!</v>
      </c>
      <c r="O226" s="93" t="e">
        <f t="shared" si="117"/>
        <v>#REF!</v>
      </c>
      <c r="P226" s="93" t="e">
        <f t="shared" si="117"/>
        <v>#REF!</v>
      </c>
      <c r="Q226" s="93" t="e">
        <f t="shared" si="117"/>
        <v>#REF!</v>
      </c>
      <c r="R226" s="93" t="e">
        <f t="shared" si="117"/>
        <v>#REF!</v>
      </c>
      <c r="S226" s="93" t="e">
        <f t="shared" si="117"/>
        <v>#REF!</v>
      </c>
      <c r="T226" s="93" t="e">
        <f t="shared" si="117"/>
        <v>#REF!</v>
      </c>
      <c r="U226" s="93" t="e">
        <f t="shared" si="117"/>
        <v>#REF!</v>
      </c>
      <c r="V226" s="93" t="e">
        <f t="shared" si="117"/>
        <v>#REF!</v>
      </c>
    </row>
    <row r="228" spans="1:22" ht="14.4" thickBot="1" x14ac:dyDescent="0.3">
      <c r="B228" s="2" t="s">
        <v>6</v>
      </c>
    </row>
    <row r="229" spans="1:22" x14ac:dyDescent="0.25">
      <c r="B229" s="54" t="s">
        <v>82</v>
      </c>
      <c r="C229" s="74">
        <v>2021</v>
      </c>
      <c r="D229" s="74">
        <v>2022</v>
      </c>
      <c r="E229" s="74">
        <v>2023</v>
      </c>
      <c r="F229" s="74">
        <v>2024</v>
      </c>
      <c r="G229" s="74">
        <v>2025</v>
      </c>
      <c r="H229" s="74">
        <v>2026</v>
      </c>
      <c r="I229" s="74">
        <v>2027</v>
      </c>
      <c r="J229" s="74">
        <v>2028</v>
      </c>
      <c r="K229" s="74">
        <v>2029</v>
      </c>
      <c r="L229" s="74">
        <v>2030</v>
      </c>
      <c r="M229" s="74">
        <v>2031</v>
      </c>
      <c r="N229" s="74">
        <v>2032</v>
      </c>
      <c r="O229" s="74">
        <v>2033</v>
      </c>
      <c r="P229" s="74">
        <v>2034</v>
      </c>
      <c r="Q229" s="74">
        <v>2035</v>
      </c>
      <c r="R229" s="74">
        <v>2036</v>
      </c>
      <c r="S229" s="74">
        <v>2037</v>
      </c>
      <c r="T229" s="74">
        <v>2038</v>
      </c>
      <c r="U229" s="74">
        <v>2039</v>
      </c>
      <c r="V229" s="74">
        <v>2040</v>
      </c>
    </row>
    <row r="230" spans="1:22" x14ac:dyDescent="0.25">
      <c r="B230" s="33" t="s">
        <v>93</v>
      </c>
      <c r="C230" s="88">
        <f>SUM(C158:C204)</f>
        <v>42</v>
      </c>
      <c r="D230" s="88">
        <f t="shared" ref="D230:V230" si="118">SUM(D158:D204)</f>
        <v>38</v>
      </c>
      <c r="E230" s="88">
        <f t="shared" si="118"/>
        <v>32</v>
      </c>
      <c r="F230" s="88">
        <f t="shared" si="118"/>
        <v>29</v>
      </c>
      <c r="G230" s="88">
        <f t="shared" si="118"/>
        <v>24</v>
      </c>
      <c r="H230" s="88">
        <f t="shared" si="118"/>
        <v>20</v>
      </c>
      <c r="I230" s="88">
        <f t="shared" si="118"/>
        <v>17</v>
      </c>
      <c r="J230" s="88">
        <f t="shared" si="118"/>
        <v>15</v>
      </c>
      <c r="K230" s="88">
        <f t="shared" si="118"/>
        <v>15</v>
      </c>
      <c r="L230" s="88">
        <f t="shared" si="118"/>
        <v>15</v>
      </c>
      <c r="M230" s="88">
        <f t="shared" si="118"/>
        <v>13</v>
      </c>
      <c r="N230" s="88">
        <f t="shared" si="118"/>
        <v>13</v>
      </c>
      <c r="O230" s="88">
        <f t="shared" si="118"/>
        <v>13</v>
      </c>
      <c r="P230" s="88">
        <f t="shared" si="118"/>
        <v>13</v>
      </c>
      <c r="Q230" s="88">
        <f t="shared" si="118"/>
        <v>13</v>
      </c>
      <c r="R230" s="88">
        <f t="shared" si="118"/>
        <v>13</v>
      </c>
      <c r="S230" s="88">
        <f t="shared" si="118"/>
        <v>13</v>
      </c>
      <c r="T230" s="88">
        <f t="shared" si="118"/>
        <v>13</v>
      </c>
      <c r="U230" s="88">
        <f t="shared" si="118"/>
        <v>13</v>
      </c>
      <c r="V230" s="88">
        <f t="shared" si="118"/>
        <v>13</v>
      </c>
    </row>
    <row r="231" spans="1:22" x14ac:dyDescent="0.25">
      <c r="B231" s="33" t="s">
        <v>94</v>
      </c>
      <c r="C231" s="95" t="e">
        <f>SUM(C205:C212)</f>
        <v>#REF!</v>
      </c>
      <c r="D231" s="95" t="e">
        <f t="shared" ref="D231:V231" si="119">SUM(D205:D212)</f>
        <v>#REF!</v>
      </c>
      <c r="E231" s="95" t="e">
        <f t="shared" si="119"/>
        <v>#REF!</v>
      </c>
      <c r="F231" s="95" t="e">
        <f t="shared" si="119"/>
        <v>#REF!</v>
      </c>
      <c r="G231" s="95" t="e">
        <f t="shared" si="119"/>
        <v>#REF!</v>
      </c>
      <c r="H231" s="95" t="e">
        <f t="shared" si="119"/>
        <v>#REF!</v>
      </c>
      <c r="I231" s="95" t="e">
        <f t="shared" si="119"/>
        <v>#REF!</v>
      </c>
      <c r="J231" s="95" t="e">
        <f t="shared" si="119"/>
        <v>#REF!</v>
      </c>
      <c r="K231" s="95" t="e">
        <f t="shared" si="119"/>
        <v>#REF!</v>
      </c>
      <c r="L231" s="95" t="e">
        <f t="shared" si="119"/>
        <v>#REF!</v>
      </c>
      <c r="M231" s="95" t="e">
        <f t="shared" si="119"/>
        <v>#REF!</v>
      </c>
      <c r="N231" s="95" t="e">
        <f t="shared" si="119"/>
        <v>#REF!</v>
      </c>
      <c r="O231" s="95" t="e">
        <f t="shared" si="119"/>
        <v>#REF!</v>
      </c>
      <c r="P231" s="95" t="e">
        <f t="shared" si="119"/>
        <v>#REF!</v>
      </c>
      <c r="Q231" s="95" t="e">
        <f t="shared" si="119"/>
        <v>#REF!</v>
      </c>
      <c r="R231" s="95" t="e">
        <f t="shared" si="119"/>
        <v>#REF!</v>
      </c>
      <c r="S231" s="95" t="e">
        <f t="shared" si="119"/>
        <v>#REF!</v>
      </c>
      <c r="T231" s="95" t="e">
        <f t="shared" si="119"/>
        <v>#REF!</v>
      </c>
      <c r="U231" s="95" t="e">
        <f t="shared" si="119"/>
        <v>#REF!</v>
      </c>
      <c r="V231" s="95" t="e">
        <f t="shared" si="119"/>
        <v>#REF!</v>
      </c>
    </row>
    <row r="233" spans="1:22" ht="14.4" x14ac:dyDescent="0.3">
      <c r="A233" s="96" t="s">
        <v>127</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A3B22-75F5-454B-AFD2-4420D36E43E8}">
  <sheetPr codeName="Sheet22">
    <tabColor rgb="FFFFFF00"/>
  </sheetPr>
  <dimension ref="A1:Y54"/>
  <sheetViews>
    <sheetView zoomScaleNormal="100" workbookViewId="0">
      <selection activeCell="E4" sqref="E4"/>
    </sheetView>
  </sheetViews>
  <sheetFormatPr defaultRowHeight="13.8" x14ac:dyDescent="0.25"/>
  <cols>
    <col min="1" max="1" width="21.6640625" style="2" customWidth="1"/>
    <col min="2" max="2" width="52.44140625" style="2" customWidth="1"/>
    <col min="3" max="22" width="9.44140625" style="82" customWidth="1"/>
    <col min="23" max="23" width="11.33203125" style="82" bestFit="1" customWidth="1"/>
    <col min="24" max="24" width="30.6640625" style="103" customWidth="1"/>
    <col min="25" max="16384" width="8.88671875" style="2"/>
  </cols>
  <sheetData>
    <row r="1" spans="1:25" s="11" customFormat="1" x14ac:dyDescent="0.25">
      <c r="A1" s="27" t="s">
        <v>16</v>
      </c>
      <c r="B1" s="27" t="s">
        <v>82</v>
      </c>
      <c r="C1" s="75">
        <v>2021</v>
      </c>
      <c r="D1" s="76">
        <v>2022</v>
      </c>
      <c r="E1" s="75">
        <v>2023</v>
      </c>
      <c r="F1" s="76">
        <v>2024</v>
      </c>
      <c r="G1" s="75">
        <v>2025</v>
      </c>
      <c r="H1" s="76">
        <v>2026</v>
      </c>
      <c r="I1" s="75">
        <v>2027</v>
      </c>
      <c r="J1" s="76">
        <v>2028</v>
      </c>
      <c r="K1" s="75">
        <v>2029</v>
      </c>
      <c r="L1" s="76">
        <v>2030</v>
      </c>
      <c r="M1" s="75">
        <v>2031</v>
      </c>
      <c r="N1" s="76">
        <v>2032</v>
      </c>
      <c r="O1" s="75">
        <v>2033</v>
      </c>
      <c r="P1" s="76">
        <v>2034</v>
      </c>
      <c r="Q1" s="75">
        <v>2035</v>
      </c>
      <c r="R1" s="76">
        <v>2036</v>
      </c>
      <c r="S1" s="75">
        <v>2037</v>
      </c>
      <c r="T1" s="76">
        <v>2038</v>
      </c>
      <c r="U1" s="75">
        <v>2039</v>
      </c>
      <c r="V1" s="76">
        <v>2040</v>
      </c>
      <c r="W1" s="77"/>
      <c r="X1" s="43" t="s">
        <v>147</v>
      </c>
    </row>
    <row r="2" spans="1:25" x14ac:dyDescent="0.25">
      <c r="A2" s="29" t="s">
        <v>47</v>
      </c>
      <c r="B2" s="30" t="s">
        <v>41</v>
      </c>
      <c r="C2" s="98"/>
      <c r="D2" s="98"/>
      <c r="E2" s="98"/>
      <c r="F2" s="98"/>
      <c r="G2" s="98"/>
      <c r="H2" s="98"/>
      <c r="I2" s="98"/>
      <c r="J2" s="98"/>
      <c r="K2" s="98"/>
      <c r="L2" s="98"/>
      <c r="M2" s="98"/>
      <c r="N2" s="98"/>
      <c r="O2" s="98"/>
      <c r="P2" s="98"/>
      <c r="Q2" s="98"/>
      <c r="R2" s="98"/>
      <c r="S2" s="98"/>
      <c r="T2" s="98"/>
      <c r="U2" s="98"/>
      <c r="V2" s="98"/>
      <c r="W2" s="2"/>
    </row>
    <row r="3" spans="1:25" x14ac:dyDescent="0.25">
      <c r="A3" s="29" t="s">
        <v>17</v>
      </c>
      <c r="B3" s="30" t="s">
        <v>41</v>
      </c>
      <c r="C3" s="98">
        <v>2249.4702694444441</v>
      </c>
      <c r="D3" s="98">
        <v>1189.7750000000001</v>
      </c>
      <c r="E3" s="98">
        <v>649.57638888888891</v>
      </c>
      <c r="F3" s="98">
        <v>1663.1641649999997</v>
      </c>
      <c r="G3" s="98">
        <v>1663.1641649999997</v>
      </c>
      <c r="H3" s="98">
        <v>1663.1641649999997</v>
      </c>
      <c r="I3" s="98">
        <v>1663.1641649999997</v>
      </c>
      <c r="J3" s="98">
        <v>1663.1641649999997</v>
      </c>
      <c r="K3" s="98">
        <v>1663.1641649999997</v>
      </c>
      <c r="L3" s="98">
        <v>1663.1641649999997</v>
      </c>
      <c r="M3" s="98">
        <v>1663.1641649999997</v>
      </c>
      <c r="N3" s="98">
        <v>1663.1641649999997</v>
      </c>
      <c r="O3" s="98">
        <v>1663.1641649999997</v>
      </c>
      <c r="P3" s="98">
        <v>1663.1641649999997</v>
      </c>
      <c r="Q3" s="98">
        <v>1663.1641649999997</v>
      </c>
      <c r="R3" s="98">
        <v>1663.1641649999997</v>
      </c>
      <c r="S3" s="98">
        <v>1663.1641649999997</v>
      </c>
      <c r="T3" s="98">
        <v>1663.1641649999997</v>
      </c>
      <c r="U3" s="98">
        <v>1663.1641649999997</v>
      </c>
      <c r="V3" s="98">
        <v>1663.1641649999997</v>
      </c>
      <c r="W3" s="81"/>
      <c r="X3" s="121">
        <f>IFERROR(SUM(C3:V3)/COUNT(C3:V3),"-")</f>
        <v>1618.1306231666658</v>
      </c>
      <c r="Y3" s="104"/>
    </row>
    <row r="4" spans="1:25" x14ac:dyDescent="0.25">
      <c r="A4" s="29" t="s">
        <v>49</v>
      </c>
      <c r="B4" s="30" t="s">
        <v>41</v>
      </c>
      <c r="C4" s="98">
        <v>1151.5091666666667</v>
      </c>
      <c r="D4" s="98">
        <v>1164.4527777777778</v>
      </c>
      <c r="E4" s="98">
        <v>862.00805555555553</v>
      </c>
      <c r="F4" s="98">
        <v>1093.0107777777775</v>
      </c>
      <c r="G4" s="98">
        <v>1093.0107777777775</v>
      </c>
      <c r="H4" s="98">
        <v>1093.0107777777775</v>
      </c>
      <c r="I4" s="98">
        <v>1093.0107777777775</v>
      </c>
      <c r="J4" s="98">
        <v>1093.0107777777775</v>
      </c>
      <c r="K4" s="98">
        <v>1093.0107777777775</v>
      </c>
      <c r="L4" s="98">
        <v>1093.0107777777775</v>
      </c>
      <c r="M4" s="98">
        <v>1093.0107777777775</v>
      </c>
      <c r="N4" s="98">
        <v>1093.0107777777775</v>
      </c>
      <c r="O4" s="98">
        <v>1093.0107777777775</v>
      </c>
      <c r="P4" s="98">
        <v>1093.0107777777775</v>
      </c>
      <c r="Q4" s="98">
        <v>1093.0107777777775</v>
      </c>
      <c r="R4" s="98">
        <v>1093.0107777777775</v>
      </c>
      <c r="S4" s="98">
        <v>1093.0107777777775</v>
      </c>
      <c r="T4" s="98">
        <v>1093.0107777777775</v>
      </c>
      <c r="U4" s="98">
        <v>1093.0107777777775</v>
      </c>
      <c r="V4" s="98">
        <v>1093.0107777777775</v>
      </c>
      <c r="W4" s="81"/>
      <c r="X4" s="121">
        <f t="shared" ref="X4:X48" si="0">IFERROR(SUM(C4:V4)/COUNT(C4:V4),"-")</f>
        <v>1087.9576611111108</v>
      </c>
    </row>
    <row r="5" spans="1:25" x14ac:dyDescent="0.25">
      <c r="A5" s="29" t="s">
        <v>50</v>
      </c>
      <c r="B5" s="36" t="s">
        <v>48</v>
      </c>
      <c r="C5" s="98"/>
      <c r="D5" s="98"/>
      <c r="E5" s="98"/>
      <c r="F5" s="98"/>
      <c r="G5" s="98"/>
      <c r="H5" s="98"/>
      <c r="I5" s="98"/>
      <c r="J5" s="98"/>
      <c r="K5" s="98"/>
      <c r="L5" s="98"/>
      <c r="M5" s="98"/>
      <c r="N5" s="98"/>
      <c r="O5" s="98"/>
      <c r="P5" s="98"/>
      <c r="Q5" s="98"/>
      <c r="R5" s="98"/>
      <c r="S5" s="98"/>
      <c r="T5" s="98"/>
      <c r="U5" s="98"/>
      <c r="V5" s="98"/>
      <c r="W5" s="2"/>
      <c r="X5" s="121" t="str">
        <f t="shared" si="0"/>
        <v>-</v>
      </c>
    </row>
    <row r="6" spans="1:25" x14ac:dyDescent="0.25">
      <c r="A6" s="29" t="s">
        <v>51</v>
      </c>
      <c r="B6" s="37" t="s">
        <v>42</v>
      </c>
      <c r="C6" s="98">
        <v>30.559216666666664</v>
      </c>
      <c r="D6" s="98">
        <v>69.774163888888879</v>
      </c>
      <c r="E6" s="98">
        <v>18.289311111111111</v>
      </c>
      <c r="F6" s="98">
        <v>35.440637222222215</v>
      </c>
      <c r="G6" s="98">
        <v>35.440637222222215</v>
      </c>
      <c r="H6" s="98">
        <v>35.440637222222215</v>
      </c>
      <c r="I6" s="98">
        <v>35.440637222222215</v>
      </c>
      <c r="J6" s="98">
        <v>35.440637222222215</v>
      </c>
      <c r="K6" s="98">
        <v>35.440637222222215</v>
      </c>
      <c r="L6" s="98">
        <v>35.440637222222215</v>
      </c>
      <c r="M6" s="98">
        <v>35.440637222222215</v>
      </c>
      <c r="N6" s="98">
        <v>35.440637222222215</v>
      </c>
      <c r="O6" s="98">
        <v>35.440637222222215</v>
      </c>
      <c r="P6" s="98">
        <v>35.440637222222215</v>
      </c>
      <c r="Q6" s="98">
        <v>35.440637222222215</v>
      </c>
      <c r="R6" s="98">
        <v>35.440637222222215</v>
      </c>
      <c r="S6" s="98">
        <v>35.440637222222215</v>
      </c>
      <c r="T6" s="98">
        <v>35.440637222222215</v>
      </c>
      <c r="U6" s="98">
        <v>35.440637222222215</v>
      </c>
      <c r="V6" s="98">
        <v>35.440637222222215</v>
      </c>
      <c r="W6" s="2"/>
      <c r="X6" s="121">
        <f t="shared" si="0"/>
        <v>36.055676222222218</v>
      </c>
    </row>
    <row r="7" spans="1:25" x14ac:dyDescent="0.25">
      <c r="A7" s="29" t="s">
        <v>52</v>
      </c>
      <c r="B7" s="30" t="s">
        <v>41</v>
      </c>
      <c r="C7" s="98">
        <v>667.42555555555555</v>
      </c>
      <c r="D7" s="98">
        <v>707.53916666666669</v>
      </c>
      <c r="E7" s="98">
        <v>608.43833333333339</v>
      </c>
      <c r="F7" s="98">
        <v>671.11811111111115</v>
      </c>
      <c r="G7" s="98">
        <v>671.11811111111115</v>
      </c>
      <c r="H7" s="98">
        <v>671.11811111111115</v>
      </c>
      <c r="I7" s="98">
        <v>671.11811111111115</v>
      </c>
      <c r="J7" s="98">
        <v>671.11811111111115</v>
      </c>
      <c r="K7" s="98">
        <v>671.11811111111115</v>
      </c>
      <c r="L7" s="98">
        <v>671.11811111111115</v>
      </c>
      <c r="M7" s="98">
        <v>671.11811111111115</v>
      </c>
      <c r="N7" s="98">
        <v>671.11811111111115</v>
      </c>
      <c r="O7" s="98">
        <v>671.11811111111115</v>
      </c>
      <c r="P7" s="98">
        <v>671.11811111111115</v>
      </c>
      <c r="Q7" s="98">
        <v>671.11811111111115</v>
      </c>
      <c r="R7" s="98">
        <v>671.11811111111115</v>
      </c>
      <c r="S7" s="98">
        <v>671.11811111111115</v>
      </c>
      <c r="T7" s="98">
        <v>671.11811111111115</v>
      </c>
      <c r="U7" s="98">
        <v>671.11811111111115</v>
      </c>
      <c r="V7" s="98">
        <v>671.11811111111115</v>
      </c>
      <c r="W7" s="2"/>
      <c r="X7" s="121">
        <f t="shared" si="0"/>
        <v>669.62054722222206</v>
      </c>
    </row>
    <row r="8" spans="1:25" x14ac:dyDescent="0.25">
      <c r="A8" s="29" t="s">
        <v>18</v>
      </c>
      <c r="B8" s="38" t="s">
        <v>48</v>
      </c>
      <c r="C8" s="98">
        <v>508.14004722222222</v>
      </c>
      <c r="D8" s="98">
        <v>377.5913888888889</v>
      </c>
      <c r="E8" s="98">
        <v>307.24861111111113</v>
      </c>
      <c r="F8" s="98">
        <v>392.20349666666669</v>
      </c>
      <c r="G8" s="98">
        <v>392.20349666666669</v>
      </c>
      <c r="H8" s="98">
        <v>392.20349666666669</v>
      </c>
      <c r="I8" s="98">
        <v>392.20349666666669</v>
      </c>
      <c r="J8" s="98">
        <v>392.20349666666669</v>
      </c>
      <c r="K8" s="98">
        <v>392.20349666666669</v>
      </c>
      <c r="L8" s="98">
        <v>392.20349666666669</v>
      </c>
      <c r="M8" s="98">
        <v>392.20349666666669</v>
      </c>
      <c r="N8" s="98">
        <v>392.20349666666669</v>
      </c>
      <c r="O8" s="98">
        <v>392.20349666666669</v>
      </c>
      <c r="P8" s="98">
        <v>392.20349666666669</v>
      </c>
      <c r="Q8" s="98">
        <v>392.20349666666669</v>
      </c>
      <c r="R8" s="98">
        <v>392.20349666666669</v>
      </c>
      <c r="S8" s="98">
        <v>392.20349666666669</v>
      </c>
      <c r="T8" s="98">
        <v>392.20349666666669</v>
      </c>
      <c r="U8" s="98">
        <v>392.20349666666669</v>
      </c>
      <c r="V8" s="98">
        <v>392.20349666666669</v>
      </c>
      <c r="W8" s="2"/>
      <c r="X8" s="121">
        <f t="shared" si="0"/>
        <v>393.0219745277779</v>
      </c>
    </row>
    <row r="9" spans="1:25" x14ac:dyDescent="0.25">
      <c r="A9" s="29" t="s">
        <v>53</v>
      </c>
      <c r="B9" s="30" t="s">
        <v>41</v>
      </c>
      <c r="C9" s="98"/>
      <c r="D9" s="98"/>
      <c r="E9" s="98"/>
      <c r="F9" s="98"/>
      <c r="G9" s="98"/>
      <c r="H9" s="98"/>
      <c r="I9" s="98"/>
      <c r="J9" s="98"/>
      <c r="K9" s="98"/>
      <c r="L9" s="98"/>
      <c r="M9" s="98"/>
      <c r="N9" s="98"/>
      <c r="O9" s="98"/>
      <c r="P9" s="98"/>
      <c r="Q9" s="98"/>
      <c r="R9" s="98"/>
      <c r="S9" s="98"/>
      <c r="T9" s="98"/>
      <c r="U9" s="98"/>
      <c r="V9" s="98"/>
      <c r="W9" s="2"/>
      <c r="X9" s="121" t="str">
        <f t="shared" si="0"/>
        <v>-</v>
      </c>
    </row>
    <row r="10" spans="1:25" x14ac:dyDescent="0.25">
      <c r="A10" s="29" t="s">
        <v>54</v>
      </c>
      <c r="B10" s="37" t="s">
        <v>43</v>
      </c>
      <c r="C10" s="98">
        <v>1178.5658305555555</v>
      </c>
      <c r="D10" s="98">
        <v>779.39891388888896</v>
      </c>
      <c r="E10" s="98">
        <v>4.2386111111111111</v>
      </c>
      <c r="F10" s="98">
        <v>871.54136999999992</v>
      </c>
      <c r="G10" s="98">
        <v>871.54136999999992</v>
      </c>
      <c r="H10" s="98">
        <v>871.54136999999992</v>
      </c>
      <c r="I10" s="98">
        <v>871.54136999999992</v>
      </c>
      <c r="J10" s="98">
        <v>871.54136999999992</v>
      </c>
      <c r="K10" s="98">
        <v>871.54136999999992</v>
      </c>
      <c r="L10" s="98">
        <v>871.54136999999992</v>
      </c>
      <c r="M10" s="98">
        <v>871.54136999999992</v>
      </c>
      <c r="N10" s="98">
        <v>871.54136999999992</v>
      </c>
      <c r="O10" s="98">
        <v>871.54136999999992</v>
      </c>
      <c r="P10" s="98">
        <v>871.54136999999992</v>
      </c>
      <c r="Q10" s="98">
        <v>871.54136999999992</v>
      </c>
      <c r="R10" s="98">
        <v>871.54136999999992</v>
      </c>
      <c r="S10" s="98">
        <v>871.54136999999992</v>
      </c>
      <c r="T10" s="98">
        <v>871.54136999999992</v>
      </c>
      <c r="U10" s="98">
        <v>871.54136999999992</v>
      </c>
      <c r="V10" s="98">
        <v>871.54136999999992</v>
      </c>
      <c r="W10" s="2"/>
      <c r="X10" s="121">
        <f t="shared" si="0"/>
        <v>838.92033227777733</v>
      </c>
    </row>
    <row r="11" spans="1:25" x14ac:dyDescent="0.25">
      <c r="A11" s="29" t="s">
        <v>55</v>
      </c>
      <c r="B11" s="37" t="s">
        <v>42</v>
      </c>
      <c r="C11" s="98"/>
      <c r="D11" s="98"/>
      <c r="E11" s="98"/>
      <c r="F11" s="98"/>
      <c r="G11" s="98"/>
      <c r="H11" s="98"/>
      <c r="I11" s="98"/>
      <c r="J11" s="98"/>
      <c r="K11" s="98"/>
      <c r="L11" s="98"/>
      <c r="M11" s="98"/>
      <c r="N11" s="98"/>
      <c r="O11" s="98"/>
      <c r="P11" s="98"/>
      <c r="Q11" s="98"/>
      <c r="R11" s="98"/>
      <c r="S11" s="98"/>
      <c r="T11" s="98"/>
      <c r="U11" s="98"/>
      <c r="V11" s="98"/>
      <c r="W11" s="2"/>
      <c r="X11" s="121" t="str">
        <f t="shared" si="0"/>
        <v>-</v>
      </c>
    </row>
    <row r="12" spans="1:25" x14ac:dyDescent="0.25">
      <c r="A12" s="29" t="s">
        <v>56</v>
      </c>
      <c r="B12" s="36" t="s">
        <v>43</v>
      </c>
      <c r="C12" s="98"/>
      <c r="D12" s="98"/>
      <c r="E12" s="98"/>
      <c r="F12" s="98"/>
      <c r="G12" s="98"/>
      <c r="H12" s="98"/>
      <c r="I12" s="98"/>
      <c r="J12" s="98"/>
      <c r="K12" s="98"/>
      <c r="L12" s="98"/>
      <c r="M12" s="98"/>
      <c r="N12" s="98"/>
      <c r="O12" s="98"/>
      <c r="P12" s="98"/>
      <c r="Q12" s="98"/>
      <c r="R12" s="98"/>
      <c r="S12" s="98"/>
      <c r="T12" s="98"/>
      <c r="U12" s="98"/>
      <c r="V12" s="98"/>
      <c r="W12" s="2"/>
      <c r="X12" s="121" t="str">
        <f t="shared" si="0"/>
        <v>-</v>
      </c>
    </row>
    <row r="13" spans="1:25" x14ac:dyDescent="0.25">
      <c r="A13" s="29" t="s">
        <v>66</v>
      </c>
      <c r="B13" s="38" t="s">
        <v>48</v>
      </c>
      <c r="C13" s="98"/>
      <c r="D13" s="98"/>
      <c r="E13" s="98"/>
      <c r="F13" s="98"/>
      <c r="G13" s="98"/>
      <c r="H13" s="98"/>
      <c r="I13" s="98"/>
      <c r="J13" s="98"/>
      <c r="K13" s="98"/>
      <c r="L13" s="98"/>
      <c r="M13" s="98"/>
      <c r="N13" s="98"/>
      <c r="O13" s="98"/>
      <c r="P13" s="98"/>
      <c r="Q13" s="98"/>
      <c r="R13" s="98"/>
      <c r="S13" s="98"/>
      <c r="T13" s="98"/>
      <c r="U13" s="98"/>
      <c r="V13" s="98"/>
      <c r="W13" s="2"/>
      <c r="X13" s="121" t="str">
        <f t="shared" si="0"/>
        <v>-</v>
      </c>
    </row>
    <row r="14" spans="1:25" x14ac:dyDescent="0.25">
      <c r="A14" s="29" t="s">
        <v>19</v>
      </c>
      <c r="B14" s="30" t="s">
        <v>41</v>
      </c>
      <c r="C14" s="98">
        <v>851.36055555555549</v>
      </c>
      <c r="D14" s="98">
        <v>921.41561944444436</v>
      </c>
      <c r="E14" s="98">
        <v>793.34499999999991</v>
      </c>
      <c r="F14" s="98">
        <v>796.60534611111109</v>
      </c>
      <c r="G14" s="98">
        <v>796.60534611111109</v>
      </c>
      <c r="H14" s="98">
        <v>796.60534611111109</v>
      </c>
      <c r="I14" s="98">
        <v>796.60534611111109</v>
      </c>
      <c r="J14" s="98">
        <v>796.60534611111109</v>
      </c>
      <c r="K14" s="98">
        <v>796.60534611111109</v>
      </c>
      <c r="L14" s="98">
        <v>796.60534611111109</v>
      </c>
      <c r="M14" s="98">
        <v>796.60534611111109</v>
      </c>
      <c r="N14" s="98">
        <v>796.60534611111109</v>
      </c>
      <c r="O14" s="98">
        <v>796.60534611111109</v>
      </c>
      <c r="P14" s="98">
        <v>796.60534611111109</v>
      </c>
      <c r="Q14" s="98">
        <v>796.60534611111109</v>
      </c>
      <c r="R14" s="98">
        <v>796.60534611111109</v>
      </c>
      <c r="S14" s="98">
        <v>796.60534611111109</v>
      </c>
      <c r="T14" s="98">
        <v>796.60534611111109</v>
      </c>
      <c r="U14" s="98">
        <v>796.60534611111109</v>
      </c>
      <c r="V14" s="98">
        <v>796.60534611111109</v>
      </c>
      <c r="W14" s="2"/>
      <c r="X14" s="121">
        <f t="shared" si="0"/>
        <v>805.42060294444468</v>
      </c>
    </row>
    <row r="15" spans="1:25" x14ac:dyDescent="0.25">
      <c r="A15" s="41" t="s">
        <v>67</v>
      </c>
      <c r="B15" s="30" t="s">
        <v>40</v>
      </c>
      <c r="C15" s="98"/>
      <c r="D15" s="98"/>
      <c r="E15" s="98"/>
      <c r="F15" s="98"/>
      <c r="G15" s="98"/>
      <c r="H15" s="98"/>
      <c r="I15" s="98"/>
      <c r="J15" s="98"/>
      <c r="K15" s="98"/>
      <c r="L15" s="98"/>
      <c r="M15" s="98"/>
      <c r="N15" s="98"/>
      <c r="O15" s="98"/>
      <c r="P15" s="98"/>
      <c r="Q15" s="98"/>
      <c r="R15" s="98"/>
      <c r="S15" s="98"/>
      <c r="T15" s="98"/>
      <c r="U15" s="98"/>
      <c r="V15" s="98"/>
      <c r="W15" s="2"/>
      <c r="X15" s="121" t="str">
        <f t="shared" si="0"/>
        <v>-</v>
      </c>
    </row>
    <row r="16" spans="1:25" x14ac:dyDescent="0.25">
      <c r="A16" s="41" t="s">
        <v>68</v>
      </c>
      <c r="B16" s="30" t="s">
        <v>40</v>
      </c>
      <c r="C16" s="98"/>
      <c r="D16" s="98"/>
      <c r="E16" s="98"/>
      <c r="F16" s="98"/>
      <c r="G16" s="98"/>
      <c r="H16" s="98"/>
      <c r="I16" s="98"/>
      <c r="J16" s="98"/>
      <c r="K16" s="98"/>
      <c r="L16" s="98"/>
      <c r="M16" s="98"/>
      <c r="N16" s="98"/>
      <c r="O16" s="98"/>
      <c r="P16" s="98"/>
      <c r="Q16" s="98"/>
      <c r="R16" s="98"/>
      <c r="S16" s="98"/>
      <c r="T16" s="98"/>
      <c r="U16" s="98"/>
      <c r="V16" s="98"/>
      <c r="W16" s="2"/>
      <c r="X16" s="121" t="str">
        <f t="shared" si="0"/>
        <v>-</v>
      </c>
    </row>
    <row r="17" spans="1:24" x14ac:dyDescent="0.25">
      <c r="A17" s="41" t="s">
        <v>69</v>
      </c>
      <c r="B17" s="30" t="s">
        <v>40</v>
      </c>
      <c r="C17" s="98"/>
      <c r="D17" s="98"/>
      <c r="E17" s="98"/>
      <c r="F17" s="98"/>
      <c r="G17" s="98"/>
      <c r="H17" s="98"/>
      <c r="I17" s="98"/>
      <c r="J17" s="98"/>
      <c r="K17" s="98"/>
      <c r="L17" s="98"/>
      <c r="M17" s="98"/>
      <c r="N17" s="98"/>
      <c r="O17" s="98"/>
      <c r="P17" s="98"/>
      <c r="Q17" s="98"/>
      <c r="R17" s="98"/>
      <c r="S17" s="98"/>
      <c r="T17" s="98"/>
      <c r="U17" s="98"/>
      <c r="V17" s="98"/>
      <c r="W17" s="2"/>
      <c r="X17" s="121" t="str">
        <f t="shared" si="0"/>
        <v>-</v>
      </c>
    </row>
    <row r="18" spans="1:24" x14ac:dyDescent="0.25">
      <c r="A18" s="41" t="s">
        <v>70</v>
      </c>
      <c r="B18" s="30" t="s">
        <v>40</v>
      </c>
      <c r="C18" s="98"/>
      <c r="D18" s="98"/>
      <c r="E18" s="98"/>
      <c r="F18" s="98"/>
      <c r="G18" s="98"/>
      <c r="H18" s="98"/>
      <c r="I18" s="98"/>
      <c r="J18" s="98"/>
      <c r="K18" s="98"/>
      <c r="L18" s="98"/>
      <c r="M18" s="98"/>
      <c r="N18" s="98"/>
      <c r="O18" s="98"/>
      <c r="P18" s="98"/>
      <c r="Q18" s="98"/>
      <c r="R18" s="98"/>
      <c r="S18" s="98"/>
      <c r="T18" s="98"/>
      <c r="U18" s="98"/>
      <c r="V18" s="98"/>
      <c r="W18" s="2"/>
      <c r="X18" s="121" t="str">
        <f t="shared" si="0"/>
        <v>-</v>
      </c>
    </row>
    <row r="19" spans="1:24" x14ac:dyDescent="0.25">
      <c r="A19" s="29" t="s">
        <v>20</v>
      </c>
      <c r="B19" s="30" t="s">
        <v>41</v>
      </c>
      <c r="C19" s="99">
        <v>3121.1464916666664</v>
      </c>
      <c r="D19" s="99">
        <v>3157.8943527777778</v>
      </c>
      <c r="E19" s="99">
        <v>2937.5030555555554</v>
      </c>
      <c r="F19" s="99">
        <v>3137.9728877777775</v>
      </c>
      <c r="G19" s="99">
        <v>3137.9728877777775</v>
      </c>
      <c r="H19" s="99">
        <v>3137.9728877777775</v>
      </c>
      <c r="I19" s="99">
        <v>3137.9728877777775</v>
      </c>
      <c r="J19" s="99">
        <v>3137.9728877777775</v>
      </c>
      <c r="K19" s="99">
        <v>3137.9728877777775</v>
      </c>
      <c r="L19" s="99">
        <v>3137.9728877777775</v>
      </c>
      <c r="M19" s="99">
        <v>3137.9728877777775</v>
      </c>
      <c r="N19" s="99">
        <v>3137.9728877777775</v>
      </c>
      <c r="O19" s="99">
        <v>3137.9728877777775</v>
      </c>
      <c r="P19" s="99">
        <v>3137.9728877777775</v>
      </c>
      <c r="Q19" s="99">
        <v>3137.9728877777775</v>
      </c>
      <c r="R19" s="99">
        <v>3137.9728877777775</v>
      </c>
      <c r="S19" s="99">
        <v>3137.9728877777775</v>
      </c>
      <c r="T19" s="99">
        <v>3137.9728877777775</v>
      </c>
      <c r="U19" s="99">
        <v>3137.9728877777775</v>
      </c>
      <c r="V19" s="99">
        <v>3137.9728877777775</v>
      </c>
      <c r="W19" s="2"/>
      <c r="X19" s="121">
        <f t="shared" si="0"/>
        <v>3128.1041496111093</v>
      </c>
    </row>
    <row r="20" spans="1:24" x14ac:dyDescent="0.25">
      <c r="A20" s="29" t="s">
        <v>21</v>
      </c>
      <c r="B20" s="30" t="s">
        <v>41</v>
      </c>
      <c r="C20" s="99">
        <v>3653.0924999999997</v>
      </c>
      <c r="D20" s="99">
        <v>3468.0533333333337</v>
      </c>
      <c r="E20" s="99">
        <v>3224.0014777777778</v>
      </c>
      <c r="F20" s="99">
        <v>3454.7784394444448</v>
      </c>
      <c r="G20" s="99">
        <v>3454.7784394444448</v>
      </c>
      <c r="H20" s="99">
        <v>3454.7784394444448</v>
      </c>
      <c r="I20" s="99">
        <v>3454.7784394444448</v>
      </c>
      <c r="J20" s="99">
        <v>3454.7784394444448</v>
      </c>
      <c r="K20" s="99">
        <v>3454.7784394444448</v>
      </c>
      <c r="L20" s="99">
        <v>3454.7784394444448</v>
      </c>
      <c r="M20" s="99">
        <v>3454.7784394444448</v>
      </c>
      <c r="N20" s="99">
        <v>3454.7784394444448</v>
      </c>
      <c r="O20" s="99">
        <v>3454.7784394444448</v>
      </c>
      <c r="P20" s="99">
        <v>3454.7784394444448</v>
      </c>
      <c r="Q20" s="99">
        <v>3454.7784394444448</v>
      </c>
      <c r="R20" s="99">
        <v>3454.7784394444448</v>
      </c>
      <c r="S20" s="99">
        <v>3454.7784394444448</v>
      </c>
      <c r="T20" s="99">
        <v>3454.7784394444448</v>
      </c>
      <c r="U20" s="99">
        <v>3454.7784394444448</v>
      </c>
      <c r="V20" s="99">
        <v>3454.7784394444448</v>
      </c>
      <c r="W20" s="2"/>
      <c r="X20" s="121">
        <f t="shared" si="0"/>
        <v>3453.8190390833342</v>
      </c>
    </row>
    <row r="21" spans="1:24" x14ac:dyDescent="0.25">
      <c r="A21" s="29" t="s">
        <v>24</v>
      </c>
      <c r="B21" s="42" t="s">
        <v>42</v>
      </c>
      <c r="C21" s="98"/>
      <c r="D21" s="98"/>
      <c r="E21" s="98"/>
      <c r="F21" s="98"/>
      <c r="G21" s="98"/>
      <c r="H21" s="98"/>
      <c r="I21" s="98"/>
      <c r="J21" s="98"/>
      <c r="K21" s="98"/>
      <c r="L21" s="98"/>
      <c r="M21" s="98"/>
      <c r="N21" s="98"/>
      <c r="O21" s="98"/>
      <c r="P21" s="98"/>
      <c r="Q21" s="98"/>
      <c r="R21" s="98"/>
      <c r="S21" s="98"/>
      <c r="T21" s="98"/>
      <c r="U21" s="98"/>
      <c r="V21" s="98"/>
      <c r="W21" s="2"/>
      <c r="X21" s="121" t="str">
        <f t="shared" si="0"/>
        <v>-</v>
      </c>
    </row>
    <row r="22" spans="1:24" x14ac:dyDescent="0.25">
      <c r="A22" s="29" t="s">
        <v>57</v>
      </c>
      <c r="B22" s="30" t="s">
        <v>41</v>
      </c>
      <c r="C22" s="98"/>
      <c r="D22" s="98"/>
      <c r="E22" s="98"/>
      <c r="F22" s="98"/>
      <c r="G22" s="98"/>
      <c r="H22" s="98"/>
      <c r="I22" s="98"/>
      <c r="J22" s="98"/>
      <c r="K22" s="98"/>
      <c r="L22" s="98"/>
      <c r="M22" s="98"/>
      <c r="N22" s="98"/>
      <c r="O22" s="98"/>
      <c r="P22" s="98"/>
      <c r="Q22" s="98"/>
      <c r="R22" s="98"/>
      <c r="S22" s="98"/>
      <c r="T22" s="98"/>
      <c r="U22" s="98"/>
      <c r="V22" s="98"/>
      <c r="W22" s="2"/>
      <c r="X22" s="121" t="str">
        <f t="shared" si="0"/>
        <v>-</v>
      </c>
    </row>
    <row r="23" spans="1:24" x14ac:dyDescent="0.25">
      <c r="A23" s="29" t="s">
        <v>22</v>
      </c>
      <c r="B23" s="30" t="s">
        <v>41</v>
      </c>
      <c r="C23" s="98">
        <v>21.986611111111113</v>
      </c>
      <c r="D23" s="98">
        <v>1.1333333333333333</v>
      </c>
      <c r="E23" s="98">
        <v>3.7333333333333334</v>
      </c>
      <c r="F23" s="98">
        <v>23.303841111111115</v>
      </c>
      <c r="G23" s="98">
        <v>23.303841111111115</v>
      </c>
      <c r="H23" s="98">
        <v>23.303841111111115</v>
      </c>
      <c r="I23" s="98">
        <v>23.303841111111115</v>
      </c>
      <c r="J23" s="98">
        <v>23.303841111111115</v>
      </c>
      <c r="K23" s="98">
        <v>23.303841111111115</v>
      </c>
      <c r="L23" s="98">
        <v>23.303841111111115</v>
      </c>
      <c r="M23" s="98">
        <v>23.303841111111115</v>
      </c>
      <c r="N23" s="98">
        <v>23.303841111111115</v>
      </c>
      <c r="O23" s="98">
        <v>23.303841111111115</v>
      </c>
      <c r="P23" s="98">
        <v>23.303841111111115</v>
      </c>
      <c r="Q23" s="98">
        <v>23.303841111111115</v>
      </c>
      <c r="R23" s="98">
        <v>23.303841111111115</v>
      </c>
      <c r="S23" s="98">
        <v>23.303841111111115</v>
      </c>
      <c r="T23" s="98">
        <v>23.303841111111115</v>
      </c>
      <c r="U23" s="98">
        <v>23.303841111111115</v>
      </c>
      <c r="V23" s="98">
        <v>23.303841111111115</v>
      </c>
      <c r="W23" s="2"/>
      <c r="X23" s="121">
        <f t="shared" si="0"/>
        <v>21.150928833333342</v>
      </c>
    </row>
    <row r="24" spans="1:24" s="60" customFormat="1" x14ac:dyDescent="0.25">
      <c r="A24" s="100" t="s">
        <v>23</v>
      </c>
      <c r="B24" s="101" t="s">
        <v>43</v>
      </c>
      <c r="C24" s="102">
        <v>7757.52</v>
      </c>
      <c r="D24" s="102">
        <v>7884.0724999999993</v>
      </c>
      <c r="E24" s="102">
        <v>7411.0455555555554</v>
      </c>
      <c r="F24" s="102">
        <v>7749.4853583333334</v>
      </c>
      <c r="G24" s="102">
        <v>7749.4853583333334</v>
      </c>
      <c r="H24" s="102">
        <v>7749.4853583333334</v>
      </c>
      <c r="I24" s="102">
        <v>7749.4853583333334</v>
      </c>
      <c r="J24" s="102">
        <v>7749.4853583333334</v>
      </c>
      <c r="K24" s="102">
        <v>7749.4853583333334</v>
      </c>
      <c r="L24" s="102">
        <v>7749.4853583333334</v>
      </c>
      <c r="M24" s="102">
        <v>7749.4853583333334</v>
      </c>
      <c r="N24" s="102">
        <v>7749.4853583333334</v>
      </c>
      <c r="O24" s="102">
        <v>7749.4853583333334</v>
      </c>
      <c r="P24" s="102">
        <v>7749.4853583333334</v>
      </c>
      <c r="Q24" s="102">
        <v>7749.4853583333334</v>
      </c>
      <c r="R24" s="102">
        <v>7749.4853583333334</v>
      </c>
      <c r="S24" s="102">
        <v>7749.4853583333334</v>
      </c>
      <c r="T24" s="102">
        <v>7749.4853583333334</v>
      </c>
      <c r="U24" s="102">
        <v>7749.4853583333334</v>
      </c>
      <c r="V24" s="102">
        <v>7749.4853583333334</v>
      </c>
      <c r="W24" s="2"/>
      <c r="X24" s="121">
        <f t="shared" si="0"/>
        <v>7739.6944573611108</v>
      </c>
    </row>
    <row r="25" spans="1:24" x14ac:dyDescent="0.25">
      <c r="A25" s="29" t="s">
        <v>25</v>
      </c>
      <c r="B25" s="30" t="s">
        <v>44</v>
      </c>
      <c r="C25" s="98"/>
      <c r="D25" s="98"/>
      <c r="E25" s="98"/>
      <c r="F25" s="98"/>
      <c r="G25" s="98"/>
      <c r="H25" s="98"/>
      <c r="I25" s="98"/>
      <c r="J25" s="98"/>
      <c r="K25" s="98"/>
      <c r="L25" s="98"/>
      <c r="M25" s="98"/>
      <c r="N25" s="98"/>
      <c r="O25" s="98"/>
      <c r="P25" s="98"/>
      <c r="Q25" s="98"/>
      <c r="R25" s="98"/>
      <c r="S25" s="98"/>
      <c r="T25" s="98"/>
      <c r="U25" s="98"/>
      <c r="V25" s="98"/>
      <c r="W25" s="2"/>
      <c r="X25" s="121" t="str">
        <f t="shared" si="0"/>
        <v>-</v>
      </c>
    </row>
    <row r="26" spans="1:24" x14ac:dyDescent="0.25">
      <c r="A26" s="29" t="s">
        <v>58</v>
      </c>
      <c r="B26" s="30" t="s">
        <v>41</v>
      </c>
      <c r="C26" s="98"/>
      <c r="D26" s="98"/>
      <c r="E26" s="98"/>
      <c r="F26" s="98"/>
      <c r="G26" s="98"/>
      <c r="H26" s="98"/>
      <c r="I26" s="98"/>
      <c r="J26" s="98"/>
      <c r="K26" s="98"/>
      <c r="L26" s="98"/>
      <c r="M26" s="98"/>
      <c r="N26" s="98"/>
      <c r="O26" s="98"/>
      <c r="P26" s="98"/>
      <c r="Q26" s="98"/>
      <c r="R26" s="98"/>
      <c r="S26" s="98"/>
      <c r="T26" s="98"/>
      <c r="U26" s="98"/>
      <c r="V26" s="98"/>
      <c r="W26" s="2"/>
      <c r="X26" s="121" t="str">
        <f t="shared" si="0"/>
        <v>-</v>
      </c>
    </row>
    <row r="27" spans="1:24" x14ac:dyDescent="0.25">
      <c r="A27" s="29" t="s">
        <v>59</v>
      </c>
      <c r="B27" s="30" t="s">
        <v>41</v>
      </c>
      <c r="C27" s="98"/>
      <c r="D27" s="98"/>
      <c r="E27" s="98"/>
      <c r="F27" s="98"/>
      <c r="G27" s="98"/>
      <c r="H27" s="98"/>
      <c r="I27" s="98"/>
      <c r="J27" s="98"/>
      <c r="K27" s="98"/>
      <c r="L27" s="98"/>
      <c r="M27" s="98"/>
      <c r="N27" s="98"/>
      <c r="O27" s="98"/>
      <c r="P27" s="98"/>
      <c r="Q27" s="98"/>
      <c r="R27" s="98"/>
      <c r="S27" s="98"/>
      <c r="T27" s="98"/>
      <c r="U27" s="98"/>
      <c r="V27" s="98"/>
      <c r="W27" s="2"/>
      <c r="X27" s="121" t="str">
        <f t="shared" si="0"/>
        <v>-</v>
      </c>
    </row>
    <row r="28" spans="1:24" x14ac:dyDescent="0.25">
      <c r="A28" s="29" t="s">
        <v>60</v>
      </c>
      <c r="B28" s="30" t="s">
        <v>41</v>
      </c>
      <c r="C28" s="98"/>
      <c r="D28" s="98"/>
      <c r="E28" s="98"/>
      <c r="F28" s="98"/>
      <c r="G28" s="98"/>
      <c r="H28" s="98"/>
      <c r="I28" s="98"/>
      <c r="J28" s="98"/>
      <c r="K28" s="98"/>
      <c r="L28" s="98"/>
      <c r="M28" s="98"/>
      <c r="N28" s="98"/>
      <c r="O28" s="98"/>
      <c r="P28" s="98"/>
      <c r="Q28" s="98"/>
      <c r="R28" s="98"/>
      <c r="S28" s="98"/>
      <c r="T28" s="98"/>
      <c r="U28" s="98"/>
      <c r="V28" s="98"/>
      <c r="W28" s="2"/>
      <c r="X28" s="121" t="str">
        <f t="shared" si="0"/>
        <v>-</v>
      </c>
    </row>
    <row r="29" spans="1:24" x14ac:dyDescent="0.25">
      <c r="A29" s="29" t="s">
        <v>26</v>
      </c>
      <c r="B29" s="37" t="s">
        <v>45</v>
      </c>
      <c r="C29" s="98"/>
      <c r="D29" s="98"/>
      <c r="E29" s="98"/>
      <c r="F29" s="98"/>
      <c r="G29" s="98"/>
      <c r="H29" s="98"/>
      <c r="I29" s="98"/>
      <c r="J29" s="98"/>
      <c r="K29" s="98"/>
      <c r="L29" s="98"/>
      <c r="M29" s="98"/>
      <c r="N29" s="98"/>
      <c r="O29" s="98"/>
      <c r="P29" s="98"/>
      <c r="Q29" s="98"/>
      <c r="R29" s="98"/>
      <c r="S29" s="98"/>
      <c r="T29" s="98"/>
      <c r="U29" s="98"/>
      <c r="V29" s="98"/>
      <c r="W29" s="2"/>
      <c r="X29" s="121" t="str">
        <f t="shared" si="0"/>
        <v>-</v>
      </c>
    </row>
    <row r="30" spans="1:24" x14ac:dyDescent="0.25">
      <c r="A30" s="29" t="s">
        <v>61</v>
      </c>
      <c r="B30" s="37" t="s">
        <v>42</v>
      </c>
      <c r="C30" s="98"/>
      <c r="D30" s="98"/>
      <c r="E30" s="98"/>
      <c r="F30" s="98"/>
      <c r="G30" s="98"/>
      <c r="H30" s="98"/>
      <c r="I30" s="98"/>
      <c r="J30" s="98"/>
      <c r="K30" s="98"/>
      <c r="L30" s="98"/>
      <c r="M30" s="98"/>
      <c r="N30" s="98"/>
      <c r="O30" s="98"/>
      <c r="P30" s="98"/>
      <c r="Q30" s="98"/>
      <c r="R30" s="98"/>
      <c r="S30" s="98"/>
      <c r="T30" s="98"/>
      <c r="U30" s="98"/>
      <c r="V30" s="98"/>
      <c r="W30" s="2"/>
      <c r="X30" s="121" t="str">
        <f t="shared" si="0"/>
        <v>-</v>
      </c>
    </row>
    <row r="31" spans="1:24" x14ac:dyDescent="0.25">
      <c r="A31" s="29" t="s">
        <v>71</v>
      </c>
      <c r="B31" s="30" t="s">
        <v>40</v>
      </c>
      <c r="C31" s="98">
        <v>221.29177222222222</v>
      </c>
      <c r="D31" s="98">
        <v>244.03194444444446</v>
      </c>
      <c r="E31" s="98">
        <v>248.09916666666669</v>
      </c>
      <c r="F31" s="98">
        <v>251.81902111111111</v>
      </c>
      <c r="G31" s="98">
        <v>251.81902111111111</v>
      </c>
      <c r="H31" s="98">
        <v>251.81902111111111</v>
      </c>
      <c r="I31" s="98">
        <v>251.81902111111111</v>
      </c>
      <c r="J31" s="98">
        <v>251.81902111111111</v>
      </c>
      <c r="K31" s="98">
        <v>251.81902111111111</v>
      </c>
      <c r="L31" s="98">
        <v>251.81902111111111</v>
      </c>
      <c r="M31" s="98">
        <v>251.81902111111111</v>
      </c>
      <c r="N31" s="98">
        <v>251.81902111111111</v>
      </c>
      <c r="O31" s="98">
        <v>251.81902111111111</v>
      </c>
      <c r="P31" s="98">
        <v>251.81902111111111</v>
      </c>
      <c r="Q31" s="98">
        <v>251.81902111111111</v>
      </c>
      <c r="R31" s="98">
        <v>251.81902111111111</v>
      </c>
      <c r="S31" s="98">
        <v>251.81902111111111</v>
      </c>
      <c r="T31" s="98">
        <v>251.81902111111111</v>
      </c>
      <c r="U31" s="98">
        <v>251.81902111111111</v>
      </c>
      <c r="V31" s="98">
        <v>251.81902111111111</v>
      </c>
      <c r="W31" s="2"/>
      <c r="X31" s="121">
        <f t="shared" si="0"/>
        <v>249.71731211111108</v>
      </c>
    </row>
    <row r="32" spans="1:24" x14ac:dyDescent="0.25">
      <c r="A32" s="29" t="s">
        <v>27</v>
      </c>
      <c r="B32" s="37" t="s">
        <v>45</v>
      </c>
      <c r="C32" s="98">
        <v>64.996111111111119</v>
      </c>
      <c r="D32" s="98">
        <v>0</v>
      </c>
      <c r="E32" s="98">
        <v>0</v>
      </c>
      <c r="F32" s="98">
        <v>111.85489222222222</v>
      </c>
      <c r="G32" s="98">
        <v>111.85489222222222</v>
      </c>
      <c r="H32" s="98">
        <v>111.85489222222222</v>
      </c>
      <c r="I32" s="98">
        <v>111.85489222222222</v>
      </c>
      <c r="J32" s="98">
        <v>111.85489222222222</v>
      </c>
      <c r="K32" s="98">
        <v>111.85489222222222</v>
      </c>
      <c r="L32" s="98">
        <v>111.85489222222222</v>
      </c>
      <c r="M32" s="98">
        <v>111.85489222222222</v>
      </c>
      <c r="N32" s="98">
        <v>111.85489222222222</v>
      </c>
      <c r="O32" s="98">
        <v>111.85489222222222</v>
      </c>
      <c r="P32" s="98">
        <v>111.85489222222222</v>
      </c>
      <c r="Q32" s="98">
        <v>111.85489222222222</v>
      </c>
      <c r="R32" s="98">
        <v>111.85489222222222</v>
      </c>
      <c r="S32" s="98">
        <v>111.85489222222222</v>
      </c>
      <c r="T32" s="98">
        <v>111.85489222222222</v>
      </c>
      <c r="U32" s="98">
        <v>111.85489222222222</v>
      </c>
      <c r="V32" s="98">
        <v>111.85489222222222</v>
      </c>
      <c r="W32" s="2"/>
      <c r="X32" s="121">
        <f t="shared" si="0"/>
        <v>98.326463944444413</v>
      </c>
    </row>
    <row r="33" spans="1:24" x14ac:dyDescent="0.25">
      <c r="A33" s="29" t="s">
        <v>39</v>
      </c>
      <c r="B33" s="30" t="s">
        <v>41</v>
      </c>
      <c r="C33" s="98">
        <v>575.81194444444441</v>
      </c>
      <c r="D33" s="98">
        <v>580.59861111111104</v>
      </c>
      <c r="E33" s="98">
        <v>499.24888888888893</v>
      </c>
      <c r="F33" s="98">
        <v>565.82727777777768</v>
      </c>
      <c r="G33" s="98">
        <v>565.82727777777768</v>
      </c>
      <c r="H33" s="98">
        <v>565.82727777777768</v>
      </c>
      <c r="I33" s="98">
        <v>565.82727777777768</v>
      </c>
      <c r="J33" s="98">
        <v>565.82727777777768</v>
      </c>
      <c r="K33" s="98">
        <v>565.82727777777768</v>
      </c>
      <c r="L33" s="98">
        <v>565.82727777777768</v>
      </c>
      <c r="M33" s="98">
        <v>565.82727777777768</v>
      </c>
      <c r="N33" s="98">
        <v>565.82727777777768</v>
      </c>
      <c r="O33" s="98">
        <v>565.82727777777768</v>
      </c>
      <c r="P33" s="98">
        <v>565.82727777777768</v>
      </c>
      <c r="Q33" s="98">
        <v>565.82727777777768</v>
      </c>
      <c r="R33" s="98">
        <v>565.82727777777768</v>
      </c>
      <c r="S33" s="98">
        <v>565.82727777777768</v>
      </c>
      <c r="T33" s="98">
        <v>565.82727777777768</v>
      </c>
      <c r="U33" s="98">
        <v>565.82727777777768</v>
      </c>
      <c r="V33" s="98">
        <v>565.82727777777768</v>
      </c>
      <c r="W33" s="2"/>
      <c r="X33" s="121">
        <f t="shared" si="0"/>
        <v>563.73615833333338</v>
      </c>
    </row>
    <row r="34" spans="1:24" x14ac:dyDescent="0.25">
      <c r="A34" s="29" t="s">
        <v>28</v>
      </c>
      <c r="B34" s="29"/>
      <c r="C34" s="98"/>
      <c r="D34" s="98"/>
      <c r="E34" s="98"/>
      <c r="F34" s="98"/>
      <c r="G34" s="98"/>
      <c r="H34" s="98"/>
      <c r="I34" s="98"/>
      <c r="J34" s="98"/>
      <c r="K34" s="98"/>
      <c r="L34" s="98"/>
      <c r="M34" s="98"/>
      <c r="N34" s="98"/>
      <c r="O34" s="98"/>
      <c r="P34" s="98"/>
      <c r="Q34" s="98"/>
      <c r="R34" s="98"/>
      <c r="S34" s="98"/>
      <c r="T34" s="98"/>
      <c r="U34" s="98"/>
      <c r="V34" s="98"/>
      <c r="W34" s="2"/>
      <c r="X34" s="121" t="str">
        <f t="shared" si="0"/>
        <v>-</v>
      </c>
    </row>
    <row r="35" spans="1:24" x14ac:dyDescent="0.25">
      <c r="A35" s="29" t="s">
        <v>62</v>
      </c>
      <c r="B35" s="30" t="s">
        <v>41</v>
      </c>
      <c r="C35" s="98">
        <v>64.579722222222216</v>
      </c>
      <c r="D35" s="98">
        <v>56.487941666666664</v>
      </c>
      <c r="E35" s="98">
        <v>49.259444444444441</v>
      </c>
      <c r="F35" s="98">
        <v>60.035777777777774</v>
      </c>
      <c r="G35" s="98">
        <v>60.035777777777774</v>
      </c>
      <c r="H35" s="98">
        <v>60.035777777777774</v>
      </c>
      <c r="I35" s="98">
        <v>60.035777777777774</v>
      </c>
      <c r="J35" s="98">
        <v>60.035777777777774</v>
      </c>
      <c r="K35" s="98">
        <v>60.035777777777774</v>
      </c>
      <c r="L35" s="98">
        <v>60.035777777777774</v>
      </c>
      <c r="M35" s="98">
        <v>60.035777777777774</v>
      </c>
      <c r="N35" s="98">
        <v>60.035777777777774</v>
      </c>
      <c r="O35" s="98">
        <v>60.035777777777774</v>
      </c>
      <c r="P35" s="98">
        <v>60.035777777777774</v>
      </c>
      <c r="Q35" s="98">
        <v>60.035777777777774</v>
      </c>
      <c r="R35" s="98">
        <v>60.035777777777774</v>
      </c>
      <c r="S35" s="98">
        <v>60.035777777777774</v>
      </c>
      <c r="T35" s="98">
        <v>60.035777777777774</v>
      </c>
      <c r="U35" s="98">
        <v>60.035777777777774</v>
      </c>
      <c r="V35" s="98">
        <v>60.035777777777774</v>
      </c>
      <c r="W35" s="2"/>
      <c r="X35" s="121">
        <f t="shared" si="0"/>
        <v>59.546766527777777</v>
      </c>
    </row>
    <row r="36" spans="1:24" x14ac:dyDescent="0.25">
      <c r="A36" s="29" t="s">
        <v>29</v>
      </c>
      <c r="B36" s="30" t="s">
        <v>41</v>
      </c>
      <c r="C36" s="98"/>
      <c r="D36" s="98"/>
      <c r="E36" s="98"/>
      <c r="F36" s="98"/>
      <c r="G36" s="98"/>
      <c r="H36" s="98"/>
      <c r="I36" s="98"/>
      <c r="J36" s="98"/>
      <c r="K36" s="98"/>
      <c r="L36" s="98"/>
      <c r="M36" s="98"/>
      <c r="N36" s="98"/>
      <c r="O36" s="98"/>
      <c r="P36" s="98"/>
      <c r="Q36" s="98"/>
      <c r="R36" s="98"/>
      <c r="S36" s="98"/>
      <c r="T36" s="98"/>
      <c r="U36" s="98"/>
      <c r="V36" s="98"/>
      <c r="W36" s="2"/>
      <c r="X36" s="121" t="str">
        <f t="shared" si="0"/>
        <v>-</v>
      </c>
    </row>
    <row r="37" spans="1:24" x14ac:dyDescent="0.25">
      <c r="A37" s="29" t="s">
        <v>30</v>
      </c>
      <c r="B37" s="101" t="s">
        <v>43</v>
      </c>
      <c r="C37" s="98"/>
      <c r="D37" s="98"/>
      <c r="E37" s="98"/>
      <c r="F37" s="98"/>
      <c r="G37" s="98"/>
      <c r="H37" s="98"/>
      <c r="I37" s="98"/>
      <c r="J37" s="98"/>
      <c r="K37" s="98"/>
      <c r="L37" s="98"/>
      <c r="M37" s="98"/>
      <c r="N37" s="98"/>
      <c r="O37" s="98"/>
      <c r="P37" s="98"/>
      <c r="Q37" s="98"/>
      <c r="R37" s="98"/>
      <c r="S37" s="98"/>
      <c r="T37" s="98"/>
      <c r="U37" s="98"/>
      <c r="V37" s="98"/>
      <c r="W37" s="2"/>
      <c r="X37" s="121" t="str">
        <f t="shared" si="0"/>
        <v>-</v>
      </c>
    </row>
    <row r="38" spans="1:24" x14ac:dyDescent="0.25">
      <c r="A38" s="29" t="s">
        <v>31</v>
      </c>
      <c r="B38" s="38" t="s">
        <v>48</v>
      </c>
      <c r="C38" s="98"/>
      <c r="D38" s="98"/>
      <c r="E38" s="98"/>
      <c r="F38" s="98"/>
      <c r="G38" s="98"/>
      <c r="H38" s="98"/>
      <c r="I38" s="98"/>
      <c r="J38" s="98"/>
      <c r="K38" s="98"/>
      <c r="L38" s="98"/>
      <c r="M38" s="98"/>
      <c r="N38" s="98"/>
      <c r="O38" s="98"/>
      <c r="P38" s="98"/>
      <c r="Q38" s="98"/>
      <c r="R38" s="98"/>
      <c r="S38" s="98"/>
      <c r="T38" s="98"/>
      <c r="U38" s="98"/>
      <c r="V38" s="98"/>
      <c r="W38" s="2"/>
      <c r="X38" s="121" t="str">
        <f t="shared" si="0"/>
        <v>-</v>
      </c>
    </row>
    <row r="39" spans="1:24" x14ac:dyDescent="0.25">
      <c r="A39" s="29" t="s">
        <v>32</v>
      </c>
      <c r="B39" s="38" t="s">
        <v>48</v>
      </c>
      <c r="C39" s="98"/>
      <c r="D39" s="98"/>
      <c r="E39" s="98"/>
      <c r="F39" s="98"/>
      <c r="G39" s="98"/>
      <c r="H39" s="98"/>
      <c r="I39" s="98"/>
      <c r="J39" s="98"/>
      <c r="K39" s="98"/>
      <c r="L39" s="98"/>
      <c r="M39" s="98"/>
      <c r="N39" s="98"/>
      <c r="O39" s="98"/>
      <c r="P39" s="98"/>
      <c r="Q39" s="98"/>
      <c r="R39" s="98"/>
      <c r="S39" s="98"/>
      <c r="T39" s="98"/>
      <c r="U39" s="98"/>
      <c r="V39" s="98"/>
      <c r="W39" s="2"/>
      <c r="X39" s="121" t="str">
        <f t="shared" si="0"/>
        <v>-</v>
      </c>
    </row>
    <row r="40" spans="1:24" x14ac:dyDescent="0.25">
      <c r="A40" s="29" t="s">
        <v>33</v>
      </c>
      <c r="B40" s="30" t="s">
        <v>41</v>
      </c>
      <c r="C40" s="98">
        <v>0</v>
      </c>
      <c r="D40" s="98">
        <v>0</v>
      </c>
      <c r="E40" s="98">
        <v>0</v>
      </c>
      <c r="F40" s="98">
        <v>1368.9678622222223</v>
      </c>
      <c r="G40" s="98">
        <v>1368.9678622222223</v>
      </c>
      <c r="H40" s="98">
        <v>1368.9678622222223</v>
      </c>
      <c r="I40" s="98">
        <v>1368.9678622222223</v>
      </c>
      <c r="J40" s="98">
        <v>1368.9678622222223</v>
      </c>
      <c r="K40" s="98">
        <v>1368.9678622222223</v>
      </c>
      <c r="L40" s="98">
        <v>1368.9678622222223</v>
      </c>
      <c r="M40" s="98">
        <v>1368.9678622222223</v>
      </c>
      <c r="N40" s="98">
        <v>1368.9678622222223</v>
      </c>
      <c r="O40" s="98">
        <v>1368.9678622222223</v>
      </c>
      <c r="P40" s="98">
        <v>1368.9678622222223</v>
      </c>
      <c r="Q40" s="98">
        <v>1368.9678622222223</v>
      </c>
      <c r="R40" s="98">
        <v>1368.9678622222223</v>
      </c>
      <c r="S40" s="98">
        <v>1368.9678622222223</v>
      </c>
      <c r="T40" s="98">
        <v>1368.9678622222223</v>
      </c>
      <c r="U40" s="98">
        <v>1368.9678622222223</v>
      </c>
      <c r="V40" s="98">
        <v>1368.9678622222223</v>
      </c>
      <c r="W40" s="2"/>
      <c r="X40" s="121">
        <f t="shared" si="0"/>
        <v>1163.6226828888891</v>
      </c>
    </row>
    <row r="41" spans="1:24" x14ac:dyDescent="0.25">
      <c r="A41" s="29" t="s">
        <v>34</v>
      </c>
      <c r="B41" s="37" t="s">
        <v>45</v>
      </c>
      <c r="C41" s="98">
        <v>1321.6547222222223</v>
      </c>
      <c r="D41" s="98">
        <v>1450.1822222222222</v>
      </c>
      <c r="E41" s="98">
        <v>1386.2452777777776</v>
      </c>
      <c r="F41" s="98">
        <v>1393.7255555555555</v>
      </c>
      <c r="G41" s="98">
        <v>1393.7255555555555</v>
      </c>
      <c r="H41" s="98">
        <v>1393.7255555555555</v>
      </c>
      <c r="I41" s="98">
        <v>1393.7255555555555</v>
      </c>
      <c r="J41" s="98">
        <v>1393.7255555555555</v>
      </c>
      <c r="K41" s="98">
        <v>1393.7255555555555</v>
      </c>
      <c r="L41" s="98">
        <v>1393.7255555555555</v>
      </c>
      <c r="M41" s="98">
        <v>1393.7255555555555</v>
      </c>
      <c r="N41" s="98">
        <v>1393.7255555555555</v>
      </c>
      <c r="O41" s="98">
        <v>1393.7255555555555</v>
      </c>
      <c r="P41" s="98">
        <v>1393.7255555555555</v>
      </c>
      <c r="Q41" s="98">
        <v>1393.7255555555555</v>
      </c>
      <c r="R41" s="98">
        <v>1393.7255555555555</v>
      </c>
      <c r="S41" s="98">
        <v>1393.7255555555555</v>
      </c>
      <c r="T41" s="98">
        <v>1393.7255555555555</v>
      </c>
      <c r="U41" s="98">
        <v>1393.7255555555555</v>
      </c>
      <c r="V41" s="98">
        <v>1393.7255555555555</v>
      </c>
      <c r="W41" s="2"/>
      <c r="X41" s="121">
        <f t="shared" si="0"/>
        <v>1392.5708333333337</v>
      </c>
    </row>
    <row r="42" spans="1:24" x14ac:dyDescent="0.25">
      <c r="A42" s="29" t="s">
        <v>63</v>
      </c>
      <c r="B42" s="37" t="s">
        <v>43</v>
      </c>
      <c r="C42" s="98"/>
      <c r="D42" s="98"/>
      <c r="E42" s="98"/>
      <c r="F42" s="98"/>
      <c r="G42" s="98"/>
      <c r="H42" s="98"/>
      <c r="I42" s="98"/>
      <c r="J42" s="98"/>
      <c r="K42" s="98"/>
      <c r="L42" s="98"/>
      <c r="M42" s="98"/>
      <c r="N42" s="98"/>
      <c r="O42" s="98"/>
      <c r="P42" s="98"/>
      <c r="Q42" s="98"/>
      <c r="R42" s="98"/>
      <c r="S42" s="98"/>
      <c r="T42" s="98"/>
      <c r="U42" s="98"/>
      <c r="V42" s="98"/>
      <c r="W42" s="2"/>
      <c r="X42" s="121" t="str">
        <f t="shared" si="0"/>
        <v>-</v>
      </c>
    </row>
    <row r="43" spans="1:24" x14ac:dyDescent="0.25">
      <c r="A43" s="29" t="s">
        <v>64</v>
      </c>
      <c r="B43" s="30" t="s">
        <v>46</v>
      </c>
      <c r="C43" s="98"/>
      <c r="D43" s="98"/>
      <c r="E43" s="98"/>
      <c r="F43" s="98"/>
      <c r="G43" s="98"/>
      <c r="H43" s="98"/>
      <c r="I43" s="98"/>
      <c r="J43" s="98"/>
      <c r="K43" s="98"/>
      <c r="L43" s="98"/>
      <c r="M43" s="98"/>
      <c r="N43" s="98"/>
      <c r="O43" s="98"/>
      <c r="P43" s="98"/>
      <c r="Q43" s="98"/>
      <c r="R43" s="98"/>
      <c r="S43" s="98"/>
      <c r="T43" s="98"/>
      <c r="U43" s="98"/>
      <c r="V43" s="98"/>
      <c r="W43" s="2"/>
      <c r="X43" s="121" t="str">
        <f t="shared" si="0"/>
        <v>-</v>
      </c>
    </row>
    <row r="44" spans="1:24" x14ac:dyDescent="0.25">
      <c r="A44" s="29" t="s">
        <v>65</v>
      </c>
      <c r="B44" s="30" t="s">
        <v>41</v>
      </c>
      <c r="C44" s="98">
        <v>3017.8666666666668</v>
      </c>
      <c r="D44" s="98">
        <v>3078.4611111111108</v>
      </c>
      <c r="E44" s="98">
        <v>2765.7895222222219</v>
      </c>
      <c r="F44" s="98">
        <v>3000.2460561111111</v>
      </c>
      <c r="G44" s="98">
        <v>3000.2460561111111</v>
      </c>
      <c r="H44" s="98">
        <v>3000.2460561111111</v>
      </c>
      <c r="I44" s="98">
        <v>3000.2460561111111</v>
      </c>
      <c r="J44" s="98">
        <v>3000.2460561111111</v>
      </c>
      <c r="K44" s="98">
        <v>3000.2460561111111</v>
      </c>
      <c r="L44" s="98">
        <v>3000.2460561111111</v>
      </c>
      <c r="M44" s="98">
        <v>3000.2460561111111</v>
      </c>
      <c r="N44" s="98">
        <v>3000.2460561111111</v>
      </c>
      <c r="O44" s="98">
        <v>3000.2460561111111</v>
      </c>
      <c r="P44" s="98">
        <v>3000.2460561111111</v>
      </c>
      <c r="Q44" s="98">
        <v>3000.2460561111111</v>
      </c>
      <c r="R44" s="98">
        <v>3000.2460561111111</v>
      </c>
      <c r="S44" s="98">
        <v>3000.2460561111111</v>
      </c>
      <c r="T44" s="98">
        <v>3000.2460561111111</v>
      </c>
      <c r="U44" s="98">
        <v>3000.2460561111111</v>
      </c>
      <c r="V44" s="98">
        <v>3000.2460561111111</v>
      </c>
      <c r="W44" s="2"/>
      <c r="X44" s="121">
        <f t="shared" si="0"/>
        <v>2993.3150126944429</v>
      </c>
    </row>
    <row r="45" spans="1:24" x14ac:dyDescent="0.25">
      <c r="A45" s="29" t="s">
        <v>35</v>
      </c>
      <c r="B45" s="30" t="s">
        <v>40</v>
      </c>
      <c r="C45" s="98"/>
      <c r="D45" s="98"/>
      <c r="E45" s="98"/>
      <c r="F45" s="98"/>
      <c r="G45" s="98"/>
      <c r="H45" s="98"/>
      <c r="I45" s="98"/>
      <c r="J45" s="98"/>
      <c r="K45" s="98"/>
      <c r="L45" s="98"/>
      <c r="M45" s="98"/>
      <c r="N45" s="98"/>
      <c r="O45" s="98"/>
      <c r="P45" s="98"/>
      <c r="Q45" s="98"/>
      <c r="R45" s="98"/>
      <c r="S45" s="98"/>
      <c r="T45" s="98"/>
      <c r="U45" s="98"/>
      <c r="V45" s="98"/>
      <c r="W45" s="2"/>
      <c r="X45" s="121" t="str">
        <f t="shared" si="0"/>
        <v>-</v>
      </c>
    </row>
    <row r="46" spans="1:24" x14ac:dyDescent="0.25">
      <c r="A46" s="29" t="s">
        <v>36</v>
      </c>
      <c r="B46" s="30" t="s">
        <v>40</v>
      </c>
      <c r="C46" s="98"/>
      <c r="D46" s="98"/>
      <c r="E46" s="98"/>
      <c r="F46" s="98"/>
      <c r="G46" s="98"/>
      <c r="H46" s="98"/>
      <c r="I46" s="98"/>
      <c r="J46" s="98"/>
      <c r="K46" s="98"/>
      <c r="L46" s="98"/>
      <c r="M46" s="98"/>
      <c r="N46" s="98"/>
      <c r="O46" s="98"/>
      <c r="P46" s="98"/>
      <c r="Q46" s="98"/>
      <c r="R46" s="98"/>
      <c r="S46" s="98"/>
      <c r="T46" s="98"/>
      <c r="U46" s="98"/>
      <c r="V46" s="98"/>
      <c r="W46" s="2"/>
      <c r="X46" s="121" t="str">
        <f t="shared" si="0"/>
        <v>-</v>
      </c>
    </row>
    <row r="47" spans="1:24" x14ac:dyDescent="0.25">
      <c r="A47" s="29" t="s">
        <v>37</v>
      </c>
      <c r="B47" s="30" t="s">
        <v>40</v>
      </c>
      <c r="C47" s="98"/>
      <c r="D47" s="98"/>
      <c r="E47" s="98"/>
      <c r="F47" s="98"/>
      <c r="G47" s="98"/>
      <c r="H47" s="98"/>
      <c r="I47" s="98"/>
      <c r="J47" s="98"/>
      <c r="K47" s="98"/>
      <c r="L47" s="98"/>
      <c r="M47" s="98"/>
      <c r="N47" s="98"/>
      <c r="O47" s="98"/>
      <c r="P47" s="98"/>
      <c r="Q47" s="98"/>
      <c r="R47" s="98"/>
      <c r="S47" s="98"/>
      <c r="T47" s="98"/>
      <c r="U47" s="98"/>
      <c r="V47" s="98"/>
      <c r="W47" s="2"/>
      <c r="X47" s="121" t="str">
        <f t="shared" si="0"/>
        <v>-</v>
      </c>
    </row>
    <row r="48" spans="1:24" x14ac:dyDescent="0.25">
      <c r="A48" s="29" t="s">
        <v>38</v>
      </c>
      <c r="B48" s="30" t="s">
        <v>41</v>
      </c>
      <c r="C48" s="98"/>
      <c r="D48" s="98"/>
      <c r="E48" s="98"/>
      <c r="F48" s="98"/>
      <c r="G48" s="98"/>
      <c r="H48" s="98"/>
      <c r="I48" s="98"/>
      <c r="J48" s="98"/>
      <c r="K48" s="98"/>
      <c r="L48" s="98"/>
      <c r="M48" s="98"/>
      <c r="N48" s="98"/>
      <c r="O48" s="98"/>
      <c r="P48" s="98"/>
      <c r="Q48" s="98"/>
      <c r="R48" s="98"/>
      <c r="S48" s="98"/>
      <c r="T48" s="98"/>
      <c r="U48" s="98"/>
      <c r="V48" s="98"/>
      <c r="W48" s="2"/>
      <c r="X48" s="121" t="str">
        <f t="shared" si="0"/>
        <v>-</v>
      </c>
    </row>
    <row r="49" spans="1:24" x14ac:dyDescent="0.25">
      <c r="C49" s="23"/>
      <c r="D49" s="23"/>
      <c r="E49" s="23"/>
      <c r="F49" s="23"/>
      <c r="G49" s="23"/>
      <c r="H49" s="23"/>
      <c r="I49" s="23"/>
      <c r="J49" s="23"/>
      <c r="K49" s="23"/>
      <c r="L49" s="23"/>
      <c r="M49" s="23"/>
      <c r="N49" s="23"/>
      <c r="O49" s="23"/>
      <c r="P49" s="23"/>
      <c r="Q49" s="23"/>
      <c r="R49" s="23"/>
      <c r="S49" s="23"/>
      <c r="T49" s="23"/>
      <c r="U49" s="23"/>
      <c r="V49" s="23"/>
      <c r="X49" s="122"/>
    </row>
    <row r="50" spans="1:24" x14ac:dyDescent="0.25">
      <c r="C50" s="23">
        <f>SUM(C2:C48)</f>
        <v>26456.977183333336</v>
      </c>
      <c r="D50" s="23">
        <f t="shared" ref="D50:V50" si="1">SUM(D2:D48)</f>
        <v>25130.862380555554</v>
      </c>
      <c r="E50" s="23">
        <f t="shared" si="1"/>
        <v>21768.07003333333</v>
      </c>
      <c r="F50" s="23">
        <f t="shared" si="1"/>
        <v>26641.100873333336</v>
      </c>
      <c r="G50" s="23">
        <f t="shared" si="1"/>
        <v>26641.100873333336</v>
      </c>
      <c r="H50" s="23">
        <f t="shared" si="1"/>
        <v>26641.100873333336</v>
      </c>
      <c r="I50" s="23">
        <f t="shared" si="1"/>
        <v>26641.100873333336</v>
      </c>
      <c r="J50" s="23">
        <f t="shared" si="1"/>
        <v>26641.100873333336</v>
      </c>
      <c r="K50" s="23">
        <f t="shared" si="1"/>
        <v>26641.100873333336</v>
      </c>
      <c r="L50" s="23">
        <f t="shared" si="1"/>
        <v>26641.100873333336</v>
      </c>
      <c r="M50" s="23">
        <f t="shared" si="1"/>
        <v>26641.100873333336</v>
      </c>
      <c r="N50" s="23">
        <f t="shared" si="1"/>
        <v>26641.100873333336</v>
      </c>
      <c r="O50" s="23">
        <f t="shared" si="1"/>
        <v>26641.100873333336</v>
      </c>
      <c r="P50" s="23">
        <f t="shared" si="1"/>
        <v>26641.100873333336</v>
      </c>
      <c r="Q50" s="23">
        <f t="shared" si="1"/>
        <v>26641.100873333336</v>
      </c>
      <c r="R50" s="23">
        <f t="shared" si="1"/>
        <v>26641.100873333336</v>
      </c>
      <c r="S50" s="23">
        <f t="shared" si="1"/>
        <v>26641.100873333336</v>
      </c>
      <c r="T50" s="23">
        <f t="shared" si="1"/>
        <v>26641.100873333336</v>
      </c>
      <c r="U50" s="23">
        <f t="shared" si="1"/>
        <v>26641.100873333336</v>
      </c>
      <c r="V50" s="23">
        <f t="shared" si="1"/>
        <v>26641.100873333336</v>
      </c>
      <c r="W50" s="23"/>
      <c r="X50" s="122"/>
    </row>
    <row r="51" spans="1:24" x14ac:dyDescent="0.25">
      <c r="C51" s="23"/>
      <c r="D51" s="23"/>
      <c r="E51" s="23"/>
      <c r="F51" s="23"/>
      <c r="G51" s="23"/>
      <c r="H51" s="23"/>
      <c r="I51" s="23"/>
      <c r="J51" s="23"/>
      <c r="K51" s="23"/>
      <c r="L51" s="23"/>
      <c r="M51" s="23"/>
      <c r="N51" s="23"/>
      <c r="O51" s="23"/>
      <c r="P51" s="23"/>
      <c r="Q51" s="23"/>
      <c r="R51" s="23"/>
      <c r="S51" s="23"/>
      <c r="T51" s="23"/>
      <c r="U51" s="23"/>
      <c r="V51" s="23"/>
    </row>
    <row r="52" spans="1:24" x14ac:dyDescent="0.25">
      <c r="A52" s="2" t="s">
        <v>128</v>
      </c>
      <c r="C52" s="23"/>
      <c r="D52" s="23"/>
      <c r="E52" s="23"/>
      <c r="F52" s="23"/>
      <c r="G52" s="23"/>
      <c r="H52" s="23"/>
      <c r="I52" s="23"/>
      <c r="J52" s="23"/>
      <c r="K52" s="23"/>
      <c r="L52" s="23"/>
      <c r="M52" s="23"/>
      <c r="N52" s="23"/>
      <c r="O52" s="23"/>
      <c r="P52" s="23"/>
      <c r="Q52" s="23"/>
      <c r="R52" s="23"/>
      <c r="S52" s="23"/>
      <c r="T52" s="23"/>
      <c r="U52" s="23"/>
      <c r="V52" s="23"/>
    </row>
    <row r="53" spans="1:24" x14ac:dyDescent="0.25">
      <c r="A53" s="2" t="s">
        <v>134</v>
      </c>
      <c r="C53" s="23"/>
      <c r="D53" s="23"/>
      <c r="E53" s="23"/>
      <c r="F53" s="23"/>
      <c r="G53" s="23"/>
      <c r="H53" s="23"/>
      <c r="I53" s="23"/>
      <c r="J53" s="23"/>
      <c r="K53" s="23"/>
      <c r="L53" s="23"/>
      <c r="M53" s="23"/>
      <c r="N53" s="23"/>
      <c r="O53" s="23"/>
      <c r="P53" s="23"/>
      <c r="Q53" s="23"/>
      <c r="R53" s="23"/>
      <c r="S53" s="23"/>
      <c r="T53" s="23"/>
      <c r="U53" s="23"/>
      <c r="V53" s="23"/>
    </row>
    <row r="54" spans="1:24" ht="15.6" x14ac:dyDescent="0.3">
      <c r="C54" s="120" t="s">
        <v>146</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9DC0C-B41A-45B2-A140-C306D3971347}">
  <sheetPr codeName="Sheet9">
    <tabColor rgb="FFFFFF00"/>
  </sheetPr>
  <dimension ref="A1:V60"/>
  <sheetViews>
    <sheetView zoomScaleNormal="100" workbookViewId="0">
      <selection activeCell="E4" sqref="E4"/>
    </sheetView>
  </sheetViews>
  <sheetFormatPr defaultRowHeight="14.4" x14ac:dyDescent="0.3"/>
  <cols>
    <col min="1" max="1" width="18.33203125" style="32" customWidth="1"/>
    <col min="2" max="2" width="53.88671875" style="32" customWidth="1"/>
    <col min="3" max="22" width="9.44140625" style="52" customWidth="1"/>
    <col min="23" max="16384" width="8.88671875" style="32"/>
  </cols>
  <sheetData>
    <row r="1" spans="1:22" s="11" customFormat="1" ht="13.8" x14ac:dyDescent="0.25">
      <c r="A1" s="27" t="s">
        <v>16</v>
      </c>
      <c r="B1" s="27" t="s">
        <v>82</v>
      </c>
      <c r="C1" s="75">
        <v>2021</v>
      </c>
      <c r="D1" s="76">
        <v>2022</v>
      </c>
      <c r="E1" s="75">
        <v>2023</v>
      </c>
      <c r="F1" s="76">
        <v>2024</v>
      </c>
      <c r="G1" s="75">
        <v>2025</v>
      </c>
      <c r="H1" s="76">
        <v>2026</v>
      </c>
      <c r="I1" s="75">
        <v>2027</v>
      </c>
      <c r="J1" s="76">
        <v>2028</v>
      </c>
      <c r="K1" s="75">
        <v>2029</v>
      </c>
      <c r="L1" s="76">
        <v>2030</v>
      </c>
      <c r="M1" s="75">
        <v>2031</v>
      </c>
      <c r="N1" s="76">
        <v>2032</v>
      </c>
      <c r="O1" s="75">
        <v>2033</v>
      </c>
      <c r="P1" s="76">
        <v>2034</v>
      </c>
      <c r="Q1" s="75">
        <v>2035</v>
      </c>
      <c r="R1" s="76">
        <v>2036</v>
      </c>
      <c r="S1" s="75">
        <v>2037</v>
      </c>
      <c r="T1" s="76">
        <v>2038</v>
      </c>
      <c r="U1" s="75">
        <v>2039</v>
      </c>
      <c r="V1" s="76">
        <v>2040</v>
      </c>
    </row>
    <row r="2" spans="1:22" x14ac:dyDescent="0.3">
      <c r="A2" s="29" t="s">
        <v>47</v>
      </c>
      <c r="B2" s="30" t="s">
        <v>41</v>
      </c>
      <c r="C2" s="105">
        <f>IFERROR(IF(ISBLANK(Current_DTE!C2),INDEX(Minutes_by_use_case!$B$2:$B$9,MATCH($B2,Minutes_by_use_case!$A$2:$A$9,0)),Current_DTE!C2),"-")</f>
        <v>133409.35004928565</v>
      </c>
      <c r="D2" s="105">
        <f>IFERROR(IF(ISBLANK(Current_DTE!D2),INDEX(Minutes_by_use_case!$B$2:$B$9,MATCH($B2,Minutes_by_use_case!$A$2:$A$9,0)),Current_DTE!D2),"-")</f>
        <v>133409.35004928565</v>
      </c>
      <c r="E2" s="105">
        <f>IFERROR(IF(ISBLANK(Current_DTE!E2),INDEX(Minutes_by_use_case!$B$2:$B$9,MATCH($B2,Minutes_by_use_case!$A$2:$A$9,0)),Current_DTE!E2),"-")</f>
        <v>133409.35004928565</v>
      </c>
      <c r="F2" s="105">
        <f>IFERROR(IF(ISBLANK(Current_DTE!F2),INDEX(Minutes_by_use_case!$B$2:$B$9,MATCH($B2,Minutes_by_use_case!$A$2:$A$9,0)),Current_DTE!F2),"-")</f>
        <v>133409.35004928565</v>
      </c>
      <c r="G2" s="105">
        <f>IFERROR(IF(ISBLANK(Current_DTE!G2),INDEX(Minutes_by_use_case!$B$2:$B$9,MATCH($B2,Minutes_by_use_case!$A$2:$A$9,0)),Current_DTE!G2),"-")</f>
        <v>133409.35004928565</v>
      </c>
      <c r="H2" s="105">
        <f>IFERROR(IF(ISBLANK(Current_DTE!H2),INDEX(Minutes_by_use_case!$B$2:$B$9,MATCH($B2,Minutes_by_use_case!$A$2:$A$9,0)),Current_DTE!H2),"-")</f>
        <v>133409.35004928565</v>
      </c>
      <c r="I2" s="105">
        <f>IFERROR(IF(ISBLANK(Current_DTE!I2),INDEX(Minutes_by_use_case!$B$2:$B$9,MATCH($B2,Minutes_by_use_case!$A$2:$A$9,0)),Current_DTE!I2),"-")</f>
        <v>133409.35004928565</v>
      </c>
      <c r="J2" s="105">
        <f>IFERROR(IF(ISBLANK(Current_DTE!J2),INDEX(Minutes_by_use_case!$B$2:$B$9,MATCH($B2,Minutes_by_use_case!$A$2:$A$9,0)),Current_DTE!J2),"-")</f>
        <v>133409.35004928565</v>
      </c>
      <c r="K2" s="105">
        <f>IFERROR(IF(ISBLANK(Current_DTE!K2),INDEX(Minutes_by_use_case!$B$2:$B$9,MATCH($B2,Minutes_by_use_case!$A$2:$A$9,0)),Current_DTE!K2),"-")</f>
        <v>133409.35004928565</v>
      </c>
      <c r="L2" s="105">
        <f>IFERROR(IF(ISBLANK(Current_DTE!L2),INDEX(Minutes_by_use_case!$B$2:$B$9,MATCH($B2,Minutes_by_use_case!$A$2:$A$9,0)),Current_DTE!L2),"-")</f>
        <v>133409.35004928565</v>
      </c>
      <c r="M2" s="105">
        <f>IFERROR(IF(ISBLANK(Current_DTE!M2),INDEX(Minutes_by_use_case!$B$2:$B$9,MATCH($B2,Minutes_by_use_case!$A$2:$A$9,0)),Current_DTE!M2),"-")</f>
        <v>133409.35004928565</v>
      </c>
      <c r="N2" s="105">
        <f>IFERROR(IF(ISBLANK(Current_DTE!N2),INDEX(Minutes_by_use_case!$B$2:$B$9,MATCH($B2,Minutes_by_use_case!$A$2:$A$9,0)),Current_DTE!N2),"-")</f>
        <v>133409.35004928565</v>
      </c>
      <c r="O2" s="105">
        <f>IFERROR(IF(ISBLANK(Current_DTE!O2),INDEX(Minutes_by_use_case!$B$2:$B$9,MATCH($B2,Minutes_by_use_case!$A$2:$A$9,0)),Current_DTE!O2),"-")</f>
        <v>133409.35004928565</v>
      </c>
      <c r="P2" s="105">
        <f>IFERROR(IF(ISBLANK(Current_DTE!P2),INDEX(Minutes_by_use_case!$B$2:$B$9,MATCH($B2,Minutes_by_use_case!$A$2:$A$9,0)),Current_DTE!P2),"-")</f>
        <v>133409.35004928565</v>
      </c>
      <c r="Q2" s="105">
        <f>IFERROR(IF(ISBLANK(Current_DTE!Q2),INDEX(Minutes_by_use_case!$B$2:$B$9,MATCH($B2,Minutes_by_use_case!$A$2:$A$9,0)),Current_DTE!Q2),"-")</f>
        <v>133409.35004928565</v>
      </c>
      <c r="R2" s="105">
        <f>IFERROR(IF(ISBLANK(Current_DTE!R2),INDEX(Minutes_by_use_case!$B$2:$B$9,MATCH($B2,Minutes_by_use_case!$A$2:$A$9,0)),Current_DTE!R2),"-")</f>
        <v>133409.35004928565</v>
      </c>
      <c r="S2" s="105">
        <f>IFERROR(IF(ISBLANK(Current_DTE!S2),INDEX(Minutes_by_use_case!$B$2:$B$9,MATCH($B2,Minutes_by_use_case!$A$2:$A$9,0)),Current_DTE!S2),"-")</f>
        <v>133409.35004928565</v>
      </c>
      <c r="T2" s="105">
        <f>IFERROR(IF(ISBLANK(Current_DTE!T2),INDEX(Minutes_by_use_case!$B$2:$B$9,MATCH($B2,Minutes_by_use_case!$A$2:$A$9,0)),Current_DTE!T2),"-")</f>
        <v>133409.35004928565</v>
      </c>
      <c r="U2" s="105">
        <f>IFERROR(IF(ISBLANK(Current_DTE!U2),INDEX(Minutes_by_use_case!$B$2:$B$9,MATCH($B2,Minutes_by_use_case!$A$2:$A$9,0)),Current_DTE!U2),"-")</f>
        <v>133409.35004928565</v>
      </c>
      <c r="V2" s="105">
        <f>IFERROR(IF(ISBLANK(Current_DTE!V2),INDEX(Minutes_by_use_case!$B$2:$B$9,MATCH($B2,Minutes_by_use_case!$A$2:$A$9,0)),Current_DTE!V2),"-")</f>
        <v>133409.35004928565</v>
      </c>
    </row>
    <row r="3" spans="1:22" x14ac:dyDescent="0.3">
      <c r="A3" s="29" t="s">
        <v>17</v>
      </c>
      <c r="B3" s="30" t="s">
        <v>41</v>
      </c>
      <c r="C3" s="105">
        <f>IFERROR(IF(ISBLANK(Current_DTE!C3),INDEX(Minutes_by_use_case!$B$2:$B$9,MATCH($B3,Minutes_by_use_case!$A$2:$A$9,0)),Current_DTE!C3),"-")</f>
        <v>2249.4702694444441</v>
      </c>
      <c r="D3" s="105">
        <f>IFERROR(IF(ISBLANK(Current_DTE!D3),INDEX(Minutes_by_use_case!$B$2:$B$9,MATCH($B3,Minutes_by_use_case!$A$2:$A$9,0)),Current_DTE!D3),"-")</f>
        <v>1189.7750000000001</v>
      </c>
      <c r="E3" s="105">
        <f>IFERROR(IF(ISBLANK(Current_DTE!E3),INDEX(Minutes_by_use_case!$B$2:$B$9,MATCH($B3,Minutes_by_use_case!$A$2:$A$9,0)),Current_DTE!E3),"-")</f>
        <v>649.57638888888891</v>
      </c>
      <c r="F3" s="105">
        <f>IFERROR(IF(ISBLANK(Current_DTE!F3),INDEX(Minutes_by_use_case!$B$2:$B$9,MATCH($B3,Minutes_by_use_case!$A$2:$A$9,0)),Current_DTE!F3),"-")</f>
        <v>1663.1641649999997</v>
      </c>
      <c r="G3" s="105">
        <f>IFERROR(IF(ISBLANK(Current_DTE!G3),INDEX(Minutes_by_use_case!$B$2:$B$9,MATCH($B3,Minutes_by_use_case!$A$2:$A$9,0)),Current_DTE!G3),"-")</f>
        <v>1663.1641649999997</v>
      </c>
      <c r="H3" s="105">
        <f>IFERROR(IF(ISBLANK(Current_DTE!H3),INDEX(Minutes_by_use_case!$B$2:$B$9,MATCH($B3,Minutes_by_use_case!$A$2:$A$9,0)),Current_DTE!H3),"-")</f>
        <v>1663.1641649999997</v>
      </c>
      <c r="I3" s="105">
        <f>IFERROR(IF(ISBLANK(Current_DTE!I3),INDEX(Minutes_by_use_case!$B$2:$B$9,MATCH($B3,Minutes_by_use_case!$A$2:$A$9,0)),Current_DTE!I3),"-")</f>
        <v>1663.1641649999997</v>
      </c>
      <c r="J3" s="105">
        <f>IFERROR(IF(ISBLANK(Current_DTE!J3),INDEX(Minutes_by_use_case!$B$2:$B$9,MATCH($B3,Minutes_by_use_case!$A$2:$A$9,0)),Current_DTE!J3),"-")</f>
        <v>1663.1641649999997</v>
      </c>
      <c r="K3" s="105">
        <f>IFERROR(IF(ISBLANK(Current_DTE!K3),INDEX(Minutes_by_use_case!$B$2:$B$9,MATCH($B3,Minutes_by_use_case!$A$2:$A$9,0)),Current_DTE!K3),"-")</f>
        <v>1663.1641649999997</v>
      </c>
      <c r="L3" s="105">
        <f>IFERROR(IF(ISBLANK(Current_DTE!L3),INDEX(Minutes_by_use_case!$B$2:$B$9,MATCH($B3,Minutes_by_use_case!$A$2:$A$9,0)),Current_DTE!L3),"-")</f>
        <v>1663.1641649999997</v>
      </c>
      <c r="M3" s="105">
        <f>IFERROR(IF(ISBLANK(Current_DTE!M3),INDEX(Minutes_by_use_case!$B$2:$B$9,MATCH($B3,Minutes_by_use_case!$A$2:$A$9,0)),Current_DTE!M3),"-")</f>
        <v>1663.1641649999997</v>
      </c>
      <c r="N3" s="105">
        <f>IFERROR(IF(ISBLANK(Current_DTE!N3),INDEX(Minutes_by_use_case!$B$2:$B$9,MATCH($B3,Minutes_by_use_case!$A$2:$A$9,0)),Current_DTE!N3),"-")</f>
        <v>1663.1641649999997</v>
      </c>
      <c r="O3" s="105">
        <f>IFERROR(IF(ISBLANK(Current_DTE!O3),INDEX(Minutes_by_use_case!$B$2:$B$9,MATCH($B3,Minutes_by_use_case!$A$2:$A$9,0)),Current_DTE!O3),"-")</f>
        <v>1663.1641649999997</v>
      </c>
      <c r="P3" s="105">
        <f>IFERROR(IF(ISBLANK(Current_DTE!P3),INDEX(Minutes_by_use_case!$B$2:$B$9,MATCH($B3,Minutes_by_use_case!$A$2:$A$9,0)),Current_DTE!P3),"-")</f>
        <v>1663.1641649999997</v>
      </c>
      <c r="Q3" s="105">
        <f>IFERROR(IF(ISBLANK(Current_DTE!Q3),INDEX(Minutes_by_use_case!$B$2:$B$9,MATCH($B3,Minutes_by_use_case!$A$2:$A$9,0)),Current_DTE!Q3),"-")</f>
        <v>1663.1641649999997</v>
      </c>
      <c r="R3" s="105">
        <f>IFERROR(IF(ISBLANK(Current_DTE!R3),INDEX(Minutes_by_use_case!$B$2:$B$9,MATCH($B3,Minutes_by_use_case!$A$2:$A$9,0)),Current_DTE!R3),"-")</f>
        <v>1663.1641649999997</v>
      </c>
      <c r="S3" s="105">
        <f>IFERROR(IF(ISBLANK(Current_DTE!S3),INDEX(Minutes_by_use_case!$B$2:$B$9,MATCH($B3,Minutes_by_use_case!$A$2:$A$9,0)),Current_DTE!S3),"-")</f>
        <v>1663.1641649999997</v>
      </c>
      <c r="T3" s="105">
        <f>IFERROR(IF(ISBLANK(Current_DTE!T3),INDEX(Minutes_by_use_case!$B$2:$B$9,MATCH($B3,Minutes_by_use_case!$A$2:$A$9,0)),Current_DTE!T3),"-")</f>
        <v>1663.1641649999997</v>
      </c>
      <c r="U3" s="105">
        <f>IFERROR(IF(ISBLANK(Current_DTE!U3),INDEX(Minutes_by_use_case!$B$2:$B$9,MATCH($B3,Minutes_by_use_case!$A$2:$A$9,0)),Current_DTE!U3),"-")</f>
        <v>1663.1641649999997</v>
      </c>
      <c r="V3" s="105">
        <f>IFERROR(IF(ISBLANK(Current_DTE!V3),INDEX(Minutes_by_use_case!$B$2:$B$9,MATCH($B3,Minutes_by_use_case!$A$2:$A$9,0)),Current_DTE!V3),"-")</f>
        <v>1663.1641649999997</v>
      </c>
    </row>
    <row r="4" spans="1:22" x14ac:dyDescent="0.3">
      <c r="A4" s="29" t="s">
        <v>49</v>
      </c>
      <c r="B4" s="30" t="s">
        <v>41</v>
      </c>
      <c r="C4" s="105">
        <f>IFERROR(IF(ISBLANK(Current_DTE!C4),INDEX(Minutes_by_use_case!$B$2:$B$9,MATCH($B4,Minutes_by_use_case!$A$2:$A$9,0)),Current_DTE!C4),"-")</f>
        <v>1151.5091666666667</v>
      </c>
      <c r="D4" s="105">
        <f>IFERROR(IF(ISBLANK(Current_DTE!D4),INDEX(Minutes_by_use_case!$B$2:$B$9,MATCH($B4,Minutes_by_use_case!$A$2:$A$9,0)),Current_DTE!D4),"-")</f>
        <v>1164.4527777777778</v>
      </c>
      <c r="E4" s="105">
        <f>IFERROR(IF(ISBLANK(Current_DTE!E4),INDEX(Minutes_by_use_case!$B$2:$B$9,MATCH($B4,Minutes_by_use_case!$A$2:$A$9,0)),Current_DTE!E4),"-")</f>
        <v>862.00805555555553</v>
      </c>
      <c r="F4" s="105">
        <f>IFERROR(IF(ISBLANK(Current_DTE!F4),INDEX(Minutes_by_use_case!$B$2:$B$9,MATCH($B4,Minutes_by_use_case!$A$2:$A$9,0)),Current_DTE!F4),"-")</f>
        <v>1093.0107777777775</v>
      </c>
      <c r="G4" s="105">
        <f>IFERROR(IF(ISBLANK(Current_DTE!G4),INDEX(Minutes_by_use_case!$B$2:$B$9,MATCH($B4,Minutes_by_use_case!$A$2:$A$9,0)),Current_DTE!G4),"-")</f>
        <v>1093.0107777777775</v>
      </c>
      <c r="H4" s="105">
        <f>IFERROR(IF(ISBLANK(Current_DTE!H4),INDEX(Minutes_by_use_case!$B$2:$B$9,MATCH($B4,Minutes_by_use_case!$A$2:$A$9,0)),Current_DTE!H4),"-")</f>
        <v>1093.0107777777775</v>
      </c>
      <c r="I4" s="105">
        <f>IFERROR(IF(ISBLANK(Current_DTE!I4),INDEX(Minutes_by_use_case!$B$2:$B$9,MATCH($B4,Minutes_by_use_case!$A$2:$A$9,0)),Current_DTE!I4),"-")</f>
        <v>1093.0107777777775</v>
      </c>
      <c r="J4" s="105">
        <f>IFERROR(IF(ISBLANK(Current_DTE!J4),INDEX(Minutes_by_use_case!$B$2:$B$9,MATCH($B4,Minutes_by_use_case!$A$2:$A$9,0)),Current_DTE!J4),"-")</f>
        <v>1093.0107777777775</v>
      </c>
      <c r="K4" s="105">
        <f>IFERROR(IF(ISBLANK(Current_DTE!K4),INDEX(Minutes_by_use_case!$B$2:$B$9,MATCH($B4,Minutes_by_use_case!$A$2:$A$9,0)),Current_DTE!K4),"-")</f>
        <v>1093.0107777777775</v>
      </c>
      <c r="L4" s="105">
        <f>IFERROR(IF(ISBLANK(Current_DTE!L4),INDEX(Minutes_by_use_case!$B$2:$B$9,MATCH($B4,Minutes_by_use_case!$A$2:$A$9,0)),Current_DTE!L4),"-")</f>
        <v>1093.0107777777775</v>
      </c>
      <c r="M4" s="105">
        <f>IFERROR(IF(ISBLANK(Current_DTE!M4),INDEX(Minutes_by_use_case!$B$2:$B$9,MATCH($B4,Minutes_by_use_case!$A$2:$A$9,0)),Current_DTE!M4),"-")</f>
        <v>1093.0107777777775</v>
      </c>
      <c r="N4" s="105">
        <f>IFERROR(IF(ISBLANK(Current_DTE!N4),INDEX(Minutes_by_use_case!$B$2:$B$9,MATCH($B4,Minutes_by_use_case!$A$2:$A$9,0)),Current_DTE!N4),"-")</f>
        <v>1093.0107777777775</v>
      </c>
      <c r="O4" s="105">
        <f>IFERROR(IF(ISBLANK(Current_DTE!O4),INDEX(Minutes_by_use_case!$B$2:$B$9,MATCH($B4,Minutes_by_use_case!$A$2:$A$9,0)),Current_DTE!O4),"-")</f>
        <v>1093.0107777777775</v>
      </c>
      <c r="P4" s="105">
        <f>IFERROR(IF(ISBLANK(Current_DTE!P4),INDEX(Minutes_by_use_case!$B$2:$B$9,MATCH($B4,Minutes_by_use_case!$A$2:$A$9,0)),Current_DTE!P4),"-")</f>
        <v>1093.0107777777775</v>
      </c>
      <c r="Q4" s="105">
        <f>IFERROR(IF(ISBLANK(Current_DTE!Q4),INDEX(Minutes_by_use_case!$B$2:$B$9,MATCH($B4,Minutes_by_use_case!$A$2:$A$9,0)),Current_DTE!Q4),"-")</f>
        <v>1093.0107777777775</v>
      </c>
      <c r="R4" s="105">
        <f>IFERROR(IF(ISBLANK(Current_DTE!R4),INDEX(Minutes_by_use_case!$B$2:$B$9,MATCH($B4,Minutes_by_use_case!$A$2:$A$9,0)),Current_DTE!R4),"-")</f>
        <v>1093.0107777777775</v>
      </c>
      <c r="S4" s="105">
        <f>IFERROR(IF(ISBLANK(Current_DTE!S4),INDEX(Minutes_by_use_case!$B$2:$B$9,MATCH($B4,Minutes_by_use_case!$A$2:$A$9,0)),Current_DTE!S4),"-")</f>
        <v>1093.0107777777775</v>
      </c>
      <c r="T4" s="105">
        <f>IFERROR(IF(ISBLANK(Current_DTE!T4),INDEX(Minutes_by_use_case!$B$2:$B$9,MATCH($B4,Minutes_by_use_case!$A$2:$A$9,0)),Current_DTE!T4),"-")</f>
        <v>1093.0107777777775</v>
      </c>
      <c r="U4" s="105">
        <f>IFERROR(IF(ISBLANK(Current_DTE!U4),INDEX(Minutes_by_use_case!$B$2:$B$9,MATCH($B4,Minutes_by_use_case!$A$2:$A$9,0)),Current_DTE!U4),"-")</f>
        <v>1093.0107777777775</v>
      </c>
      <c r="V4" s="105">
        <f>IFERROR(IF(ISBLANK(Current_DTE!V4),INDEX(Minutes_by_use_case!$B$2:$B$9,MATCH($B4,Minutes_by_use_case!$A$2:$A$9,0)),Current_DTE!V4),"-")</f>
        <v>1093.0107777777775</v>
      </c>
    </row>
    <row r="5" spans="1:22" x14ac:dyDescent="0.3">
      <c r="A5" s="29" t="s">
        <v>50</v>
      </c>
      <c r="B5" s="36" t="s">
        <v>43</v>
      </c>
      <c r="C5" s="105">
        <f>IFERROR(IF(ISBLANK(Current_DTE!C5),INDEX(Minutes_by_use_case!$B$2:$B$9,MATCH($B5,Minutes_by_use_case!$A$2:$A$9,0)),Current_DTE!C5),"-")</f>
        <v>171572.29579277776</v>
      </c>
      <c r="D5" s="105">
        <f>IFERROR(IF(ISBLANK(Current_DTE!D5),INDEX(Minutes_by_use_case!$B$2:$B$9,MATCH($B5,Minutes_by_use_case!$A$2:$A$9,0)),Current_DTE!D5),"-")</f>
        <v>171572.29579277776</v>
      </c>
      <c r="E5" s="105">
        <f>IFERROR(IF(ISBLANK(Current_DTE!E5),INDEX(Minutes_by_use_case!$B$2:$B$9,MATCH($B5,Minutes_by_use_case!$A$2:$A$9,0)),Current_DTE!E5),"-")</f>
        <v>171572.29579277776</v>
      </c>
      <c r="F5" s="105">
        <f>IFERROR(IF(ISBLANK(Current_DTE!F5),INDEX(Minutes_by_use_case!$B$2:$B$9,MATCH($B5,Minutes_by_use_case!$A$2:$A$9,0)),Current_DTE!F5),"-")</f>
        <v>171572.29579277776</v>
      </c>
      <c r="G5" s="105">
        <f>IFERROR(IF(ISBLANK(Current_DTE!G5),INDEX(Minutes_by_use_case!$B$2:$B$9,MATCH($B5,Minutes_by_use_case!$A$2:$A$9,0)),Current_DTE!G5),"-")</f>
        <v>171572.29579277776</v>
      </c>
      <c r="H5" s="105">
        <f>IFERROR(IF(ISBLANK(Current_DTE!H5),INDEX(Minutes_by_use_case!$B$2:$B$9,MATCH($B5,Minutes_by_use_case!$A$2:$A$9,0)),Current_DTE!H5),"-")</f>
        <v>171572.29579277776</v>
      </c>
      <c r="I5" s="105">
        <f>IFERROR(IF(ISBLANK(Current_DTE!I5),INDEX(Minutes_by_use_case!$B$2:$B$9,MATCH($B5,Minutes_by_use_case!$A$2:$A$9,0)),Current_DTE!I5),"-")</f>
        <v>171572.29579277776</v>
      </c>
      <c r="J5" s="105">
        <f>IFERROR(IF(ISBLANK(Current_DTE!J5),INDEX(Minutes_by_use_case!$B$2:$B$9,MATCH($B5,Minutes_by_use_case!$A$2:$A$9,0)),Current_DTE!J5),"-")</f>
        <v>171572.29579277776</v>
      </c>
      <c r="K5" s="105">
        <f>IFERROR(IF(ISBLANK(Current_DTE!K5),INDEX(Minutes_by_use_case!$B$2:$B$9,MATCH($B5,Minutes_by_use_case!$A$2:$A$9,0)),Current_DTE!K5),"-")</f>
        <v>171572.29579277776</v>
      </c>
      <c r="L5" s="105">
        <f>IFERROR(IF(ISBLANK(Current_DTE!L5),INDEX(Minutes_by_use_case!$B$2:$B$9,MATCH($B5,Minutes_by_use_case!$A$2:$A$9,0)),Current_DTE!L5),"-")</f>
        <v>171572.29579277776</v>
      </c>
      <c r="M5" s="105">
        <f>IFERROR(IF(ISBLANK(Current_DTE!M5),INDEX(Minutes_by_use_case!$B$2:$B$9,MATCH($B5,Minutes_by_use_case!$A$2:$A$9,0)),Current_DTE!M5),"-")</f>
        <v>171572.29579277776</v>
      </c>
      <c r="N5" s="105">
        <f>IFERROR(IF(ISBLANK(Current_DTE!N5),INDEX(Minutes_by_use_case!$B$2:$B$9,MATCH($B5,Minutes_by_use_case!$A$2:$A$9,0)),Current_DTE!N5),"-")</f>
        <v>171572.29579277776</v>
      </c>
      <c r="O5" s="105">
        <f>IFERROR(IF(ISBLANK(Current_DTE!O5),INDEX(Minutes_by_use_case!$B$2:$B$9,MATCH($B5,Minutes_by_use_case!$A$2:$A$9,0)),Current_DTE!O5),"-")</f>
        <v>171572.29579277776</v>
      </c>
      <c r="P5" s="105">
        <f>IFERROR(IF(ISBLANK(Current_DTE!P5),INDEX(Minutes_by_use_case!$B$2:$B$9,MATCH($B5,Minutes_by_use_case!$A$2:$A$9,0)),Current_DTE!P5),"-")</f>
        <v>171572.29579277776</v>
      </c>
      <c r="Q5" s="105">
        <f>IFERROR(IF(ISBLANK(Current_DTE!Q5),INDEX(Minutes_by_use_case!$B$2:$B$9,MATCH($B5,Minutes_by_use_case!$A$2:$A$9,0)),Current_DTE!Q5),"-")</f>
        <v>171572.29579277776</v>
      </c>
      <c r="R5" s="105">
        <f>IFERROR(IF(ISBLANK(Current_DTE!R5),INDEX(Minutes_by_use_case!$B$2:$B$9,MATCH($B5,Minutes_by_use_case!$A$2:$A$9,0)),Current_DTE!R5),"-")</f>
        <v>171572.29579277776</v>
      </c>
      <c r="S5" s="105">
        <f>IFERROR(IF(ISBLANK(Current_DTE!S5),INDEX(Minutes_by_use_case!$B$2:$B$9,MATCH($B5,Minutes_by_use_case!$A$2:$A$9,0)),Current_DTE!S5),"-")</f>
        <v>171572.29579277776</v>
      </c>
      <c r="T5" s="105">
        <f>IFERROR(IF(ISBLANK(Current_DTE!T5),INDEX(Minutes_by_use_case!$B$2:$B$9,MATCH($B5,Minutes_by_use_case!$A$2:$A$9,0)),Current_DTE!T5),"-")</f>
        <v>171572.29579277776</v>
      </c>
      <c r="U5" s="105">
        <f>IFERROR(IF(ISBLANK(Current_DTE!U5),INDEX(Minutes_by_use_case!$B$2:$B$9,MATCH($B5,Minutes_by_use_case!$A$2:$A$9,0)),Current_DTE!U5),"-")</f>
        <v>171572.29579277776</v>
      </c>
      <c r="V5" s="105">
        <f>IFERROR(IF(ISBLANK(Current_DTE!V5),INDEX(Minutes_by_use_case!$B$2:$B$9,MATCH($B5,Minutes_by_use_case!$A$2:$A$9,0)),Current_DTE!V5),"-")</f>
        <v>171572.29579277776</v>
      </c>
    </row>
    <row r="6" spans="1:22" x14ac:dyDescent="0.3">
      <c r="A6" s="29" t="s">
        <v>51</v>
      </c>
      <c r="B6" s="37" t="s">
        <v>42</v>
      </c>
      <c r="C6" s="105">
        <f>IFERROR(IF(ISBLANK(Current_DTE!C6),INDEX(Minutes_by_use_case!$B$2:$B$9,MATCH($B6,Minutes_by_use_case!$A$2:$A$9,0)),Current_DTE!C6),"-")</f>
        <v>30.559216666666664</v>
      </c>
      <c r="D6" s="105">
        <f>IFERROR(IF(ISBLANK(Current_DTE!D6),INDEX(Minutes_by_use_case!$B$2:$B$9,MATCH($B6,Minutes_by_use_case!$A$2:$A$9,0)),Current_DTE!D6),"-")</f>
        <v>69.774163888888879</v>
      </c>
      <c r="E6" s="105">
        <f>IFERROR(IF(ISBLANK(Current_DTE!E6),INDEX(Minutes_by_use_case!$B$2:$B$9,MATCH($B6,Minutes_by_use_case!$A$2:$A$9,0)),Current_DTE!E6),"-")</f>
        <v>18.289311111111111</v>
      </c>
      <c r="F6" s="105">
        <f>IFERROR(IF(ISBLANK(Current_DTE!F6),INDEX(Minutes_by_use_case!$B$2:$B$9,MATCH($B6,Minutes_by_use_case!$A$2:$A$9,0)),Current_DTE!F6),"-")</f>
        <v>35.440637222222215</v>
      </c>
      <c r="G6" s="105">
        <f>IFERROR(IF(ISBLANK(Current_DTE!G6),INDEX(Minutes_by_use_case!$B$2:$B$9,MATCH($B6,Minutes_by_use_case!$A$2:$A$9,0)),Current_DTE!G6),"-")</f>
        <v>35.440637222222215</v>
      </c>
      <c r="H6" s="105">
        <f>IFERROR(IF(ISBLANK(Current_DTE!H6),INDEX(Minutes_by_use_case!$B$2:$B$9,MATCH($B6,Minutes_by_use_case!$A$2:$A$9,0)),Current_DTE!H6),"-")</f>
        <v>35.440637222222215</v>
      </c>
      <c r="I6" s="105">
        <f>IFERROR(IF(ISBLANK(Current_DTE!I6),INDEX(Minutes_by_use_case!$B$2:$B$9,MATCH($B6,Minutes_by_use_case!$A$2:$A$9,0)),Current_DTE!I6),"-")</f>
        <v>35.440637222222215</v>
      </c>
      <c r="J6" s="105">
        <f>IFERROR(IF(ISBLANK(Current_DTE!J6),INDEX(Minutes_by_use_case!$B$2:$B$9,MATCH($B6,Minutes_by_use_case!$A$2:$A$9,0)),Current_DTE!J6),"-")</f>
        <v>35.440637222222215</v>
      </c>
      <c r="K6" s="105">
        <f>IFERROR(IF(ISBLANK(Current_DTE!K6),INDEX(Minutes_by_use_case!$B$2:$B$9,MATCH($B6,Minutes_by_use_case!$A$2:$A$9,0)),Current_DTE!K6),"-")</f>
        <v>35.440637222222215</v>
      </c>
      <c r="L6" s="105">
        <f>IFERROR(IF(ISBLANK(Current_DTE!L6),INDEX(Minutes_by_use_case!$B$2:$B$9,MATCH($B6,Minutes_by_use_case!$A$2:$A$9,0)),Current_DTE!L6),"-")</f>
        <v>35.440637222222215</v>
      </c>
      <c r="M6" s="105">
        <f>IFERROR(IF(ISBLANK(Current_DTE!M6),INDEX(Minutes_by_use_case!$B$2:$B$9,MATCH($B6,Minutes_by_use_case!$A$2:$A$9,0)),Current_DTE!M6),"-")</f>
        <v>35.440637222222215</v>
      </c>
      <c r="N6" s="105">
        <f>IFERROR(IF(ISBLANK(Current_DTE!N6),INDEX(Minutes_by_use_case!$B$2:$B$9,MATCH($B6,Minutes_by_use_case!$A$2:$A$9,0)),Current_DTE!N6),"-")</f>
        <v>35.440637222222215</v>
      </c>
      <c r="O6" s="105">
        <f>IFERROR(IF(ISBLANK(Current_DTE!O6),INDEX(Minutes_by_use_case!$B$2:$B$9,MATCH($B6,Minutes_by_use_case!$A$2:$A$9,0)),Current_DTE!O6),"-")</f>
        <v>35.440637222222215</v>
      </c>
      <c r="P6" s="105">
        <f>IFERROR(IF(ISBLANK(Current_DTE!P6),INDEX(Minutes_by_use_case!$B$2:$B$9,MATCH($B6,Minutes_by_use_case!$A$2:$A$9,0)),Current_DTE!P6),"-")</f>
        <v>35.440637222222215</v>
      </c>
      <c r="Q6" s="105">
        <f>IFERROR(IF(ISBLANK(Current_DTE!Q6),INDEX(Minutes_by_use_case!$B$2:$B$9,MATCH($B6,Minutes_by_use_case!$A$2:$A$9,0)),Current_DTE!Q6),"-")</f>
        <v>35.440637222222215</v>
      </c>
      <c r="R6" s="105">
        <f>IFERROR(IF(ISBLANK(Current_DTE!R6),INDEX(Minutes_by_use_case!$B$2:$B$9,MATCH($B6,Minutes_by_use_case!$A$2:$A$9,0)),Current_DTE!R6),"-")</f>
        <v>35.440637222222215</v>
      </c>
      <c r="S6" s="105">
        <f>IFERROR(IF(ISBLANK(Current_DTE!S6),INDEX(Minutes_by_use_case!$B$2:$B$9,MATCH($B6,Minutes_by_use_case!$A$2:$A$9,0)),Current_DTE!S6),"-")</f>
        <v>35.440637222222215</v>
      </c>
      <c r="T6" s="105">
        <f>IFERROR(IF(ISBLANK(Current_DTE!T6),INDEX(Minutes_by_use_case!$B$2:$B$9,MATCH($B6,Minutes_by_use_case!$A$2:$A$9,0)),Current_DTE!T6),"-")</f>
        <v>35.440637222222215</v>
      </c>
      <c r="U6" s="105">
        <f>IFERROR(IF(ISBLANK(Current_DTE!U6),INDEX(Minutes_by_use_case!$B$2:$B$9,MATCH($B6,Minutes_by_use_case!$A$2:$A$9,0)),Current_DTE!U6),"-")</f>
        <v>35.440637222222215</v>
      </c>
      <c r="V6" s="105">
        <f>IFERROR(IF(ISBLANK(Current_DTE!V6),INDEX(Minutes_by_use_case!$B$2:$B$9,MATCH($B6,Minutes_by_use_case!$A$2:$A$9,0)),Current_DTE!V6),"-")</f>
        <v>35.440637222222215</v>
      </c>
    </row>
    <row r="7" spans="1:22" x14ac:dyDescent="0.3">
      <c r="A7" s="29" t="s">
        <v>52</v>
      </c>
      <c r="B7" s="30" t="s">
        <v>41</v>
      </c>
      <c r="C7" s="105">
        <f>IFERROR(IF(ISBLANK(Current_DTE!C7),INDEX(Minutes_by_use_case!$B$2:$B$9,MATCH($B7,Minutes_by_use_case!$A$2:$A$9,0)),Current_DTE!C7),"-")</f>
        <v>667.42555555555555</v>
      </c>
      <c r="D7" s="105">
        <f>IFERROR(IF(ISBLANK(Current_DTE!D7),INDEX(Minutes_by_use_case!$B$2:$B$9,MATCH($B7,Minutes_by_use_case!$A$2:$A$9,0)),Current_DTE!D7),"-")</f>
        <v>707.53916666666669</v>
      </c>
      <c r="E7" s="105">
        <f>IFERROR(IF(ISBLANK(Current_DTE!E7),INDEX(Minutes_by_use_case!$B$2:$B$9,MATCH($B7,Minutes_by_use_case!$A$2:$A$9,0)),Current_DTE!E7),"-")</f>
        <v>608.43833333333339</v>
      </c>
      <c r="F7" s="105">
        <f>IFERROR(IF(ISBLANK(Current_DTE!F7),INDEX(Minutes_by_use_case!$B$2:$B$9,MATCH($B7,Minutes_by_use_case!$A$2:$A$9,0)),Current_DTE!F7),"-")</f>
        <v>671.11811111111115</v>
      </c>
      <c r="G7" s="105">
        <f>IFERROR(IF(ISBLANK(Current_DTE!G7),INDEX(Minutes_by_use_case!$B$2:$B$9,MATCH($B7,Minutes_by_use_case!$A$2:$A$9,0)),Current_DTE!G7),"-")</f>
        <v>671.11811111111115</v>
      </c>
      <c r="H7" s="105">
        <f>IFERROR(IF(ISBLANK(Current_DTE!H7),INDEX(Minutes_by_use_case!$B$2:$B$9,MATCH($B7,Minutes_by_use_case!$A$2:$A$9,0)),Current_DTE!H7),"-")</f>
        <v>671.11811111111115</v>
      </c>
      <c r="I7" s="105">
        <f>IFERROR(IF(ISBLANK(Current_DTE!I7),INDEX(Minutes_by_use_case!$B$2:$B$9,MATCH($B7,Minutes_by_use_case!$A$2:$A$9,0)),Current_DTE!I7),"-")</f>
        <v>671.11811111111115</v>
      </c>
      <c r="J7" s="105">
        <f>IFERROR(IF(ISBLANK(Current_DTE!J7),INDEX(Minutes_by_use_case!$B$2:$B$9,MATCH($B7,Minutes_by_use_case!$A$2:$A$9,0)),Current_DTE!J7),"-")</f>
        <v>671.11811111111115</v>
      </c>
      <c r="K7" s="105">
        <f>IFERROR(IF(ISBLANK(Current_DTE!K7),INDEX(Minutes_by_use_case!$B$2:$B$9,MATCH($B7,Minutes_by_use_case!$A$2:$A$9,0)),Current_DTE!K7),"-")</f>
        <v>671.11811111111115</v>
      </c>
      <c r="L7" s="105">
        <f>IFERROR(IF(ISBLANK(Current_DTE!L7),INDEX(Minutes_by_use_case!$B$2:$B$9,MATCH($B7,Minutes_by_use_case!$A$2:$A$9,0)),Current_DTE!L7),"-")</f>
        <v>671.11811111111115</v>
      </c>
      <c r="M7" s="105">
        <f>IFERROR(IF(ISBLANK(Current_DTE!M7),INDEX(Minutes_by_use_case!$B$2:$B$9,MATCH($B7,Minutes_by_use_case!$A$2:$A$9,0)),Current_DTE!M7),"-")</f>
        <v>671.11811111111115</v>
      </c>
      <c r="N7" s="105">
        <f>IFERROR(IF(ISBLANK(Current_DTE!N7),INDEX(Minutes_by_use_case!$B$2:$B$9,MATCH($B7,Minutes_by_use_case!$A$2:$A$9,0)),Current_DTE!N7),"-")</f>
        <v>671.11811111111115</v>
      </c>
      <c r="O7" s="105">
        <f>IFERROR(IF(ISBLANK(Current_DTE!O7),INDEX(Minutes_by_use_case!$B$2:$B$9,MATCH($B7,Minutes_by_use_case!$A$2:$A$9,0)),Current_DTE!O7),"-")</f>
        <v>671.11811111111115</v>
      </c>
      <c r="P7" s="105">
        <f>IFERROR(IF(ISBLANK(Current_DTE!P7),INDEX(Minutes_by_use_case!$B$2:$B$9,MATCH($B7,Minutes_by_use_case!$A$2:$A$9,0)),Current_DTE!P7),"-")</f>
        <v>671.11811111111115</v>
      </c>
      <c r="Q7" s="105">
        <f>IFERROR(IF(ISBLANK(Current_DTE!Q7),INDEX(Minutes_by_use_case!$B$2:$B$9,MATCH($B7,Minutes_by_use_case!$A$2:$A$9,0)),Current_DTE!Q7),"-")</f>
        <v>671.11811111111115</v>
      </c>
      <c r="R7" s="105">
        <f>IFERROR(IF(ISBLANK(Current_DTE!R7),INDEX(Minutes_by_use_case!$B$2:$B$9,MATCH($B7,Minutes_by_use_case!$A$2:$A$9,0)),Current_DTE!R7),"-")</f>
        <v>671.11811111111115</v>
      </c>
      <c r="S7" s="105">
        <f>IFERROR(IF(ISBLANK(Current_DTE!S7),INDEX(Minutes_by_use_case!$B$2:$B$9,MATCH($B7,Minutes_by_use_case!$A$2:$A$9,0)),Current_DTE!S7),"-")</f>
        <v>671.11811111111115</v>
      </c>
      <c r="T7" s="105">
        <f>IFERROR(IF(ISBLANK(Current_DTE!T7),INDEX(Minutes_by_use_case!$B$2:$B$9,MATCH($B7,Minutes_by_use_case!$A$2:$A$9,0)),Current_DTE!T7),"-")</f>
        <v>671.11811111111115</v>
      </c>
      <c r="U7" s="105">
        <f>IFERROR(IF(ISBLANK(Current_DTE!U7),INDEX(Minutes_by_use_case!$B$2:$B$9,MATCH($B7,Minutes_by_use_case!$A$2:$A$9,0)),Current_DTE!U7),"-")</f>
        <v>671.11811111111115</v>
      </c>
      <c r="V7" s="105">
        <f>IFERROR(IF(ISBLANK(Current_DTE!V7),INDEX(Minutes_by_use_case!$B$2:$B$9,MATCH($B7,Minutes_by_use_case!$A$2:$A$9,0)),Current_DTE!V7),"-")</f>
        <v>671.11811111111115</v>
      </c>
    </row>
    <row r="8" spans="1:22" x14ac:dyDescent="0.3">
      <c r="A8" s="29" t="s">
        <v>18</v>
      </c>
      <c r="B8" s="38" t="s">
        <v>48</v>
      </c>
      <c r="C8" s="105">
        <f>IFERROR(IF(ISBLANK(Current_DTE!C8),INDEX(Minutes_by_use_case!$B$2:$B$9,MATCH($B8,Minutes_by_use_case!$A$2:$A$9,0)),Current_DTE!C8),"-")</f>
        <v>508.14004722222222</v>
      </c>
      <c r="D8" s="105">
        <f>IFERROR(IF(ISBLANK(Current_DTE!D8),INDEX(Minutes_by_use_case!$B$2:$B$9,MATCH($B8,Minutes_by_use_case!$A$2:$A$9,0)),Current_DTE!D8),"-")</f>
        <v>377.5913888888889</v>
      </c>
      <c r="E8" s="105">
        <f>IFERROR(IF(ISBLANK(Current_DTE!E8),INDEX(Minutes_by_use_case!$B$2:$B$9,MATCH($B8,Minutes_by_use_case!$A$2:$A$9,0)),Current_DTE!E8),"-")</f>
        <v>307.24861111111113</v>
      </c>
      <c r="F8" s="105">
        <f>IFERROR(IF(ISBLANK(Current_DTE!F8),INDEX(Minutes_by_use_case!$B$2:$B$9,MATCH($B8,Minutes_by_use_case!$A$2:$A$9,0)),Current_DTE!F8),"-")</f>
        <v>392.20349666666669</v>
      </c>
      <c r="G8" s="105">
        <f>IFERROR(IF(ISBLANK(Current_DTE!G8),INDEX(Minutes_by_use_case!$B$2:$B$9,MATCH($B8,Minutes_by_use_case!$A$2:$A$9,0)),Current_DTE!G8),"-")</f>
        <v>392.20349666666669</v>
      </c>
      <c r="H8" s="105">
        <f>IFERROR(IF(ISBLANK(Current_DTE!H8),INDEX(Minutes_by_use_case!$B$2:$B$9,MATCH($B8,Minutes_by_use_case!$A$2:$A$9,0)),Current_DTE!H8),"-")</f>
        <v>392.20349666666669</v>
      </c>
      <c r="I8" s="105">
        <f>IFERROR(IF(ISBLANK(Current_DTE!I8),INDEX(Minutes_by_use_case!$B$2:$B$9,MATCH($B8,Minutes_by_use_case!$A$2:$A$9,0)),Current_DTE!I8),"-")</f>
        <v>392.20349666666669</v>
      </c>
      <c r="J8" s="105">
        <f>IFERROR(IF(ISBLANK(Current_DTE!J8),INDEX(Minutes_by_use_case!$B$2:$B$9,MATCH($B8,Minutes_by_use_case!$A$2:$A$9,0)),Current_DTE!J8),"-")</f>
        <v>392.20349666666669</v>
      </c>
      <c r="K8" s="105">
        <f>IFERROR(IF(ISBLANK(Current_DTE!K8),INDEX(Minutes_by_use_case!$B$2:$B$9,MATCH($B8,Minutes_by_use_case!$A$2:$A$9,0)),Current_DTE!K8),"-")</f>
        <v>392.20349666666669</v>
      </c>
      <c r="L8" s="105">
        <f>IFERROR(IF(ISBLANK(Current_DTE!L8),INDEX(Minutes_by_use_case!$B$2:$B$9,MATCH($B8,Minutes_by_use_case!$A$2:$A$9,0)),Current_DTE!L8),"-")</f>
        <v>392.20349666666669</v>
      </c>
      <c r="M8" s="105">
        <f>IFERROR(IF(ISBLANK(Current_DTE!M8),INDEX(Minutes_by_use_case!$B$2:$B$9,MATCH($B8,Minutes_by_use_case!$A$2:$A$9,0)),Current_DTE!M8),"-")</f>
        <v>392.20349666666669</v>
      </c>
      <c r="N8" s="105">
        <f>IFERROR(IF(ISBLANK(Current_DTE!N8),INDEX(Minutes_by_use_case!$B$2:$B$9,MATCH($B8,Minutes_by_use_case!$A$2:$A$9,0)),Current_DTE!N8),"-")</f>
        <v>392.20349666666669</v>
      </c>
      <c r="O8" s="105">
        <f>IFERROR(IF(ISBLANK(Current_DTE!O8),INDEX(Minutes_by_use_case!$B$2:$B$9,MATCH($B8,Minutes_by_use_case!$A$2:$A$9,0)),Current_DTE!O8),"-")</f>
        <v>392.20349666666669</v>
      </c>
      <c r="P8" s="105">
        <f>IFERROR(IF(ISBLANK(Current_DTE!P8),INDEX(Minutes_by_use_case!$B$2:$B$9,MATCH($B8,Minutes_by_use_case!$A$2:$A$9,0)),Current_DTE!P8),"-")</f>
        <v>392.20349666666669</v>
      </c>
      <c r="Q8" s="105">
        <f>IFERROR(IF(ISBLANK(Current_DTE!Q8),INDEX(Minutes_by_use_case!$B$2:$B$9,MATCH($B8,Minutes_by_use_case!$A$2:$A$9,0)),Current_DTE!Q8),"-")</f>
        <v>392.20349666666669</v>
      </c>
      <c r="R8" s="105">
        <f>IFERROR(IF(ISBLANK(Current_DTE!R8),INDEX(Minutes_by_use_case!$B$2:$B$9,MATCH($B8,Minutes_by_use_case!$A$2:$A$9,0)),Current_DTE!R8),"-")</f>
        <v>392.20349666666669</v>
      </c>
      <c r="S8" s="105">
        <f>IFERROR(IF(ISBLANK(Current_DTE!S8),INDEX(Minutes_by_use_case!$B$2:$B$9,MATCH($B8,Minutes_by_use_case!$A$2:$A$9,0)),Current_DTE!S8),"-")</f>
        <v>392.20349666666669</v>
      </c>
      <c r="T8" s="105">
        <f>IFERROR(IF(ISBLANK(Current_DTE!T8),INDEX(Minutes_by_use_case!$B$2:$B$9,MATCH($B8,Minutes_by_use_case!$A$2:$A$9,0)),Current_DTE!T8),"-")</f>
        <v>392.20349666666669</v>
      </c>
      <c r="U8" s="105">
        <f>IFERROR(IF(ISBLANK(Current_DTE!U8),INDEX(Minutes_by_use_case!$B$2:$B$9,MATCH($B8,Minutes_by_use_case!$A$2:$A$9,0)),Current_DTE!U8),"-")</f>
        <v>392.20349666666669</v>
      </c>
      <c r="V8" s="105">
        <f>IFERROR(IF(ISBLANK(Current_DTE!V8),INDEX(Minutes_by_use_case!$B$2:$B$9,MATCH($B8,Minutes_by_use_case!$A$2:$A$9,0)),Current_DTE!V8),"-")</f>
        <v>392.20349666666669</v>
      </c>
    </row>
    <row r="9" spans="1:22" x14ac:dyDescent="0.3">
      <c r="A9" s="29" t="s">
        <v>53</v>
      </c>
      <c r="B9" s="30" t="s">
        <v>41</v>
      </c>
      <c r="C9" s="105">
        <f>IFERROR(IF(ISBLANK(Current_DTE!C9),INDEX(Minutes_by_use_case!$B$2:$B$9,MATCH($B9,Minutes_by_use_case!$A$2:$A$9,0)),Current_DTE!C9),"-")</f>
        <v>133409.35004928565</v>
      </c>
      <c r="D9" s="105">
        <f>IFERROR(IF(ISBLANK(Current_DTE!D9),INDEX(Minutes_by_use_case!$B$2:$B$9,MATCH($B9,Minutes_by_use_case!$A$2:$A$9,0)),Current_DTE!D9),"-")</f>
        <v>133409.35004928565</v>
      </c>
      <c r="E9" s="105">
        <f>IFERROR(IF(ISBLANK(Current_DTE!E9),INDEX(Minutes_by_use_case!$B$2:$B$9,MATCH($B9,Minutes_by_use_case!$A$2:$A$9,0)),Current_DTE!E9),"-")</f>
        <v>133409.35004928565</v>
      </c>
      <c r="F9" s="105">
        <f>IFERROR(IF(ISBLANK(Current_DTE!F9),INDEX(Minutes_by_use_case!$B$2:$B$9,MATCH($B9,Minutes_by_use_case!$A$2:$A$9,0)),Current_DTE!F9),"-")</f>
        <v>133409.35004928565</v>
      </c>
      <c r="G9" s="105">
        <f>IFERROR(IF(ISBLANK(Current_DTE!G9),INDEX(Minutes_by_use_case!$B$2:$B$9,MATCH($B9,Minutes_by_use_case!$A$2:$A$9,0)),Current_DTE!G9),"-")</f>
        <v>133409.35004928565</v>
      </c>
      <c r="H9" s="105">
        <f>IFERROR(IF(ISBLANK(Current_DTE!H9),INDEX(Minutes_by_use_case!$B$2:$B$9,MATCH($B9,Minutes_by_use_case!$A$2:$A$9,0)),Current_DTE!H9),"-")</f>
        <v>133409.35004928565</v>
      </c>
      <c r="I9" s="105">
        <f>IFERROR(IF(ISBLANK(Current_DTE!I9),INDEX(Minutes_by_use_case!$B$2:$B$9,MATCH($B9,Minutes_by_use_case!$A$2:$A$9,0)),Current_DTE!I9),"-")</f>
        <v>133409.35004928565</v>
      </c>
      <c r="J9" s="105">
        <f>IFERROR(IF(ISBLANK(Current_DTE!J9),INDEX(Minutes_by_use_case!$B$2:$B$9,MATCH($B9,Minutes_by_use_case!$A$2:$A$9,0)),Current_DTE!J9),"-")</f>
        <v>133409.35004928565</v>
      </c>
      <c r="K9" s="105">
        <f>IFERROR(IF(ISBLANK(Current_DTE!K9),INDEX(Minutes_by_use_case!$B$2:$B$9,MATCH($B9,Minutes_by_use_case!$A$2:$A$9,0)),Current_DTE!K9),"-")</f>
        <v>133409.35004928565</v>
      </c>
      <c r="L9" s="105">
        <f>IFERROR(IF(ISBLANK(Current_DTE!L9),INDEX(Minutes_by_use_case!$B$2:$B$9,MATCH($B9,Minutes_by_use_case!$A$2:$A$9,0)),Current_DTE!L9),"-")</f>
        <v>133409.35004928565</v>
      </c>
      <c r="M9" s="105">
        <f>IFERROR(IF(ISBLANK(Current_DTE!M9),INDEX(Minutes_by_use_case!$B$2:$B$9,MATCH($B9,Minutes_by_use_case!$A$2:$A$9,0)),Current_DTE!M9),"-")</f>
        <v>133409.35004928565</v>
      </c>
      <c r="N9" s="105">
        <f>IFERROR(IF(ISBLANK(Current_DTE!N9),INDEX(Minutes_by_use_case!$B$2:$B$9,MATCH($B9,Minutes_by_use_case!$A$2:$A$9,0)),Current_DTE!N9),"-")</f>
        <v>133409.35004928565</v>
      </c>
      <c r="O9" s="105">
        <f>IFERROR(IF(ISBLANK(Current_DTE!O9),INDEX(Minutes_by_use_case!$B$2:$B$9,MATCH($B9,Minutes_by_use_case!$A$2:$A$9,0)),Current_DTE!O9),"-")</f>
        <v>133409.35004928565</v>
      </c>
      <c r="P9" s="105">
        <f>IFERROR(IF(ISBLANK(Current_DTE!P9),INDEX(Minutes_by_use_case!$B$2:$B$9,MATCH($B9,Minutes_by_use_case!$A$2:$A$9,0)),Current_DTE!P9),"-")</f>
        <v>133409.35004928565</v>
      </c>
      <c r="Q9" s="105">
        <f>IFERROR(IF(ISBLANK(Current_DTE!Q9),INDEX(Minutes_by_use_case!$B$2:$B$9,MATCH($B9,Minutes_by_use_case!$A$2:$A$9,0)),Current_DTE!Q9),"-")</f>
        <v>133409.35004928565</v>
      </c>
      <c r="R9" s="105">
        <f>IFERROR(IF(ISBLANK(Current_DTE!R9),INDEX(Minutes_by_use_case!$B$2:$B$9,MATCH($B9,Minutes_by_use_case!$A$2:$A$9,0)),Current_DTE!R9),"-")</f>
        <v>133409.35004928565</v>
      </c>
      <c r="S9" s="105">
        <f>IFERROR(IF(ISBLANK(Current_DTE!S9),INDEX(Minutes_by_use_case!$B$2:$B$9,MATCH($B9,Minutes_by_use_case!$A$2:$A$9,0)),Current_DTE!S9),"-")</f>
        <v>133409.35004928565</v>
      </c>
      <c r="T9" s="105">
        <f>IFERROR(IF(ISBLANK(Current_DTE!T9),INDEX(Minutes_by_use_case!$B$2:$B$9,MATCH($B9,Minutes_by_use_case!$A$2:$A$9,0)),Current_DTE!T9),"-")</f>
        <v>133409.35004928565</v>
      </c>
      <c r="U9" s="105">
        <f>IFERROR(IF(ISBLANK(Current_DTE!U9),INDEX(Minutes_by_use_case!$B$2:$B$9,MATCH($B9,Minutes_by_use_case!$A$2:$A$9,0)),Current_DTE!U9),"-")</f>
        <v>133409.35004928565</v>
      </c>
      <c r="V9" s="105">
        <f>IFERROR(IF(ISBLANK(Current_DTE!V9),INDEX(Minutes_by_use_case!$B$2:$B$9,MATCH($B9,Minutes_by_use_case!$A$2:$A$9,0)),Current_DTE!V9),"-")</f>
        <v>133409.35004928565</v>
      </c>
    </row>
    <row r="10" spans="1:22" x14ac:dyDescent="0.3">
      <c r="A10" s="29" t="s">
        <v>54</v>
      </c>
      <c r="B10" s="37" t="s">
        <v>43</v>
      </c>
      <c r="C10" s="105">
        <f>IFERROR(IF(ISBLANK(Current_DTE!C10),INDEX(Minutes_by_use_case!$B$2:$B$9,MATCH($B10,Minutes_by_use_case!$A$2:$A$9,0)),Current_DTE!C10),"-")</f>
        <v>1178.5658305555555</v>
      </c>
      <c r="D10" s="105">
        <f>IFERROR(IF(ISBLANK(Current_DTE!D10),INDEX(Minutes_by_use_case!$B$2:$B$9,MATCH($B10,Minutes_by_use_case!$A$2:$A$9,0)),Current_DTE!D10),"-")</f>
        <v>779.39891388888896</v>
      </c>
      <c r="E10" s="105">
        <f>IFERROR(IF(ISBLANK(Current_DTE!E10),INDEX(Minutes_by_use_case!$B$2:$B$9,MATCH($B10,Minutes_by_use_case!$A$2:$A$9,0)),Current_DTE!E10),"-")</f>
        <v>4.2386111111111111</v>
      </c>
      <c r="F10" s="105">
        <f>IFERROR(IF(ISBLANK(Current_DTE!F10),INDEX(Minutes_by_use_case!$B$2:$B$9,MATCH($B10,Minutes_by_use_case!$A$2:$A$9,0)),Current_DTE!F10),"-")</f>
        <v>871.54136999999992</v>
      </c>
      <c r="G10" s="105">
        <f>IFERROR(IF(ISBLANK(Current_DTE!G10),INDEX(Minutes_by_use_case!$B$2:$B$9,MATCH($B10,Minutes_by_use_case!$A$2:$A$9,0)),Current_DTE!G10),"-")</f>
        <v>871.54136999999992</v>
      </c>
      <c r="H10" s="105">
        <f>IFERROR(IF(ISBLANK(Current_DTE!H10),INDEX(Minutes_by_use_case!$B$2:$B$9,MATCH($B10,Minutes_by_use_case!$A$2:$A$9,0)),Current_DTE!H10),"-")</f>
        <v>871.54136999999992</v>
      </c>
      <c r="I10" s="105">
        <f>IFERROR(IF(ISBLANK(Current_DTE!I10),INDEX(Minutes_by_use_case!$B$2:$B$9,MATCH($B10,Minutes_by_use_case!$A$2:$A$9,0)),Current_DTE!I10),"-")</f>
        <v>871.54136999999992</v>
      </c>
      <c r="J10" s="105">
        <f>IFERROR(IF(ISBLANK(Current_DTE!J10),INDEX(Minutes_by_use_case!$B$2:$B$9,MATCH($B10,Minutes_by_use_case!$A$2:$A$9,0)),Current_DTE!J10),"-")</f>
        <v>871.54136999999992</v>
      </c>
      <c r="K10" s="105">
        <f>IFERROR(IF(ISBLANK(Current_DTE!K10),INDEX(Minutes_by_use_case!$B$2:$B$9,MATCH($B10,Minutes_by_use_case!$A$2:$A$9,0)),Current_DTE!K10),"-")</f>
        <v>871.54136999999992</v>
      </c>
      <c r="L10" s="105">
        <f>IFERROR(IF(ISBLANK(Current_DTE!L10),INDEX(Minutes_by_use_case!$B$2:$B$9,MATCH($B10,Minutes_by_use_case!$A$2:$A$9,0)),Current_DTE!L10),"-")</f>
        <v>871.54136999999992</v>
      </c>
      <c r="M10" s="105">
        <f>IFERROR(IF(ISBLANK(Current_DTE!M10),INDEX(Minutes_by_use_case!$B$2:$B$9,MATCH($B10,Minutes_by_use_case!$A$2:$A$9,0)),Current_DTE!M10),"-")</f>
        <v>871.54136999999992</v>
      </c>
      <c r="N10" s="105">
        <f>IFERROR(IF(ISBLANK(Current_DTE!N10),INDEX(Minutes_by_use_case!$B$2:$B$9,MATCH($B10,Minutes_by_use_case!$A$2:$A$9,0)),Current_DTE!N10),"-")</f>
        <v>871.54136999999992</v>
      </c>
      <c r="O10" s="105">
        <f>IFERROR(IF(ISBLANK(Current_DTE!O10),INDEX(Minutes_by_use_case!$B$2:$B$9,MATCH($B10,Minutes_by_use_case!$A$2:$A$9,0)),Current_DTE!O10),"-")</f>
        <v>871.54136999999992</v>
      </c>
      <c r="P10" s="105">
        <f>IFERROR(IF(ISBLANK(Current_DTE!P10),INDEX(Minutes_by_use_case!$B$2:$B$9,MATCH($B10,Minutes_by_use_case!$A$2:$A$9,0)),Current_DTE!P10),"-")</f>
        <v>871.54136999999992</v>
      </c>
      <c r="Q10" s="105">
        <f>IFERROR(IF(ISBLANK(Current_DTE!Q10),INDEX(Minutes_by_use_case!$B$2:$B$9,MATCH($B10,Minutes_by_use_case!$A$2:$A$9,0)),Current_DTE!Q10),"-")</f>
        <v>871.54136999999992</v>
      </c>
      <c r="R10" s="105">
        <f>IFERROR(IF(ISBLANK(Current_DTE!R10),INDEX(Minutes_by_use_case!$B$2:$B$9,MATCH($B10,Minutes_by_use_case!$A$2:$A$9,0)),Current_DTE!R10),"-")</f>
        <v>871.54136999999992</v>
      </c>
      <c r="S10" s="105">
        <f>IFERROR(IF(ISBLANK(Current_DTE!S10),INDEX(Minutes_by_use_case!$B$2:$B$9,MATCH($B10,Minutes_by_use_case!$A$2:$A$9,0)),Current_DTE!S10),"-")</f>
        <v>871.54136999999992</v>
      </c>
      <c r="T10" s="105">
        <f>IFERROR(IF(ISBLANK(Current_DTE!T10),INDEX(Minutes_by_use_case!$B$2:$B$9,MATCH($B10,Minutes_by_use_case!$A$2:$A$9,0)),Current_DTE!T10),"-")</f>
        <v>871.54136999999992</v>
      </c>
      <c r="U10" s="105">
        <f>IFERROR(IF(ISBLANK(Current_DTE!U10),INDEX(Minutes_by_use_case!$B$2:$B$9,MATCH($B10,Minutes_by_use_case!$A$2:$A$9,0)),Current_DTE!U10),"-")</f>
        <v>871.54136999999992</v>
      </c>
      <c r="V10" s="105">
        <f>IFERROR(IF(ISBLANK(Current_DTE!V10),INDEX(Minutes_by_use_case!$B$2:$B$9,MATCH($B10,Minutes_by_use_case!$A$2:$A$9,0)),Current_DTE!V10),"-")</f>
        <v>871.54136999999992</v>
      </c>
    </row>
    <row r="11" spans="1:22" x14ac:dyDescent="0.3">
      <c r="A11" s="29" t="s">
        <v>55</v>
      </c>
      <c r="B11" s="37" t="s">
        <v>42</v>
      </c>
      <c r="C11" s="105">
        <f>IFERROR(IF(ISBLANK(Current_DTE!C11),INDEX(Minutes_by_use_case!$B$2:$B$9,MATCH($B11,Minutes_by_use_case!$A$2:$A$9,0)),Current_DTE!C11),"-")</f>
        <v>721.11352444444435</v>
      </c>
      <c r="D11" s="105">
        <f>IFERROR(IF(ISBLANK(Current_DTE!D11),INDEX(Minutes_by_use_case!$B$2:$B$9,MATCH($B11,Minutes_by_use_case!$A$2:$A$9,0)),Current_DTE!D11),"-")</f>
        <v>721.11352444444435</v>
      </c>
      <c r="E11" s="105">
        <f>IFERROR(IF(ISBLANK(Current_DTE!E11),INDEX(Minutes_by_use_case!$B$2:$B$9,MATCH($B11,Minutes_by_use_case!$A$2:$A$9,0)),Current_DTE!E11),"-")</f>
        <v>721.11352444444435</v>
      </c>
      <c r="F11" s="105">
        <f>IFERROR(IF(ISBLANK(Current_DTE!F11),INDEX(Minutes_by_use_case!$B$2:$B$9,MATCH($B11,Minutes_by_use_case!$A$2:$A$9,0)),Current_DTE!F11),"-")</f>
        <v>721.11352444444435</v>
      </c>
      <c r="G11" s="105">
        <f>IFERROR(IF(ISBLANK(Current_DTE!G11),INDEX(Minutes_by_use_case!$B$2:$B$9,MATCH($B11,Minutes_by_use_case!$A$2:$A$9,0)),Current_DTE!G11),"-")</f>
        <v>721.11352444444435</v>
      </c>
      <c r="H11" s="105">
        <f>IFERROR(IF(ISBLANK(Current_DTE!H11),INDEX(Minutes_by_use_case!$B$2:$B$9,MATCH($B11,Minutes_by_use_case!$A$2:$A$9,0)),Current_DTE!H11),"-")</f>
        <v>721.11352444444435</v>
      </c>
      <c r="I11" s="105">
        <f>IFERROR(IF(ISBLANK(Current_DTE!I11),INDEX(Minutes_by_use_case!$B$2:$B$9,MATCH($B11,Minutes_by_use_case!$A$2:$A$9,0)),Current_DTE!I11),"-")</f>
        <v>721.11352444444435</v>
      </c>
      <c r="J11" s="105">
        <f>IFERROR(IF(ISBLANK(Current_DTE!J11),INDEX(Minutes_by_use_case!$B$2:$B$9,MATCH($B11,Minutes_by_use_case!$A$2:$A$9,0)),Current_DTE!J11),"-")</f>
        <v>721.11352444444435</v>
      </c>
      <c r="K11" s="105">
        <f>IFERROR(IF(ISBLANK(Current_DTE!K11),INDEX(Minutes_by_use_case!$B$2:$B$9,MATCH($B11,Minutes_by_use_case!$A$2:$A$9,0)),Current_DTE!K11),"-")</f>
        <v>721.11352444444435</v>
      </c>
      <c r="L11" s="105">
        <f>IFERROR(IF(ISBLANK(Current_DTE!L11),INDEX(Minutes_by_use_case!$B$2:$B$9,MATCH($B11,Minutes_by_use_case!$A$2:$A$9,0)),Current_DTE!L11),"-")</f>
        <v>721.11352444444435</v>
      </c>
      <c r="M11" s="105">
        <f>IFERROR(IF(ISBLANK(Current_DTE!M11),INDEX(Minutes_by_use_case!$B$2:$B$9,MATCH($B11,Minutes_by_use_case!$A$2:$A$9,0)),Current_DTE!M11),"-")</f>
        <v>721.11352444444435</v>
      </c>
      <c r="N11" s="105">
        <f>IFERROR(IF(ISBLANK(Current_DTE!N11),INDEX(Minutes_by_use_case!$B$2:$B$9,MATCH($B11,Minutes_by_use_case!$A$2:$A$9,0)),Current_DTE!N11),"-")</f>
        <v>721.11352444444435</v>
      </c>
      <c r="O11" s="105">
        <f>IFERROR(IF(ISBLANK(Current_DTE!O11),INDEX(Minutes_by_use_case!$B$2:$B$9,MATCH($B11,Minutes_by_use_case!$A$2:$A$9,0)),Current_DTE!O11),"-")</f>
        <v>721.11352444444435</v>
      </c>
      <c r="P11" s="105">
        <f>IFERROR(IF(ISBLANK(Current_DTE!P11),INDEX(Minutes_by_use_case!$B$2:$B$9,MATCH($B11,Minutes_by_use_case!$A$2:$A$9,0)),Current_DTE!P11),"-")</f>
        <v>721.11352444444435</v>
      </c>
      <c r="Q11" s="105">
        <f>IFERROR(IF(ISBLANK(Current_DTE!Q11),INDEX(Minutes_by_use_case!$B$2:$B$9,MATCH($B11,Minutes_by_use_case!$A$2:$A$9,0)),Current_DTE!Q11),"-")</f>
        <v>721.11352444444435</v>
      </c>
      <c r="R11" s="105">
        <f>IFERROR(IF(ISBLANK(Current_DTE!R11),INDEX(Minutes_by_use_case!$B$2:$B$9,MATCH($B11,Minutes_by_use_case!$A$2:$A$9,0)),Current_DTE!R11),"-")</f>
        <v>721.11352444444435</v>
      </c>
      <c r="S11" s="105">
        <f>IFERROR(IF(ISBLANK(Current_DTE!S11),INDEX(Minutes_by_use_case!$B$2:$B$9,MATCH($B11,Minutes_by_use_case!$A$2:$A$9,0)),Current_DTE!S11),"-")</f>
        <v>721.11352444444435</v>
      </c>
      <c r="T11" s="105">
        <f>IFERROR(IF(ISBLANK(Current_DTE!T11),INDEX(Minutes_by_use_case!$B$2:$B$9,MATCH($B11,Minutes_by_use_case!$A$2:$A$9,0)),Current_DTE!T11),"-")</f>
        <v>721.11352444444435</v>
      </c>
      <c r="U11" s="105">
        <f>IFERROR(IF(ISBLANK(Current_DTE!U11),INDEX(Minutes_by_use_case!$B$2:$B$9,MATCH($B11,Minutes_by_use_case!$A$2:$A$9,0)),Current_DTE!U11),"-")</f>
        <v>721.11352444444435</v>
      </c>
      <c r="V11" s="105">
        <f>IFERROR(IF(ISBLANK(Current_DTE!V11),INDEX(Minutes_by_use_case!$B$2:$B$9,MATCH($B11,Minutes_by_use_case!$A$2:$A$9,0)),Current_DTE!V11),"-")</f>
        <v>721.11352444444435</v>
      </c>
    </row>
    <row r="12" spans="1:22" x14ac:dyDescent="0.3">
      <c r="A12" s="29" t="s">
        <v>56</v>
      </c>
      <c r="B12" s="36" t="s">
        <v>43</v>
      </c>
      <c r="C12" s="105">
        <f>IFERROR(IF(ISBLANK(Current_DTE!C12),INDEX(Minutes_by_use_case!$B$2:$B$9,MATCH($B12,Minutes_by_use_case!$A$2:$A$9,0)),Current_DTE!C12),"-")</f>
        <v>171572.29579277776</v>
      </c>
      <c r="D12" s="105">
        <f>IFERROR(IF(ISBLANK(Current_DTE!D12),INDEX(Minutes_by_use_case!$B$2:$B$9,MATCH($B12,Minutes_by_use_case!$A$2:$A$9,0)),Current_DTE!D12),"-")</f>
        <v>171572.29579277776</v>
      </c>
      <c r="E12" s="105">
        <f>IFERROR(IF(ISBLANK(Current_DTE!E12),INDEX(Minutes_by_use_case!$B$2:$B$9,MATCH($B12,Minutes_by_use_case!$A$2:$A$9,0)),Current_DTE!E12),"-")</f>
        <v>171572.29579277776</v>
      </c>
      <c r="F12" s="105">
        <f>IFERROR(IF(ISBLANK(Current_DTE!F12),INDEX(Minutes_by_use_case!$B$2:$B$9,MATCH($B12,Minutes_by_use_case!$A$2:$A$9,0)),Current_DTE!F12),"-")</f>
        <v>171572.29579277776</v>
      </c>
      <c r="G12" s="105">
        <f>IFERROR(IF(ISBLANK(Current_DTE!G12),INDEX(Minutes_by_use_case!$B$2:$B$9,MATCH($B12,Minutes_by_use_case!$A$2:$A$9,0)),Current_DTE!G12),"-")</f>
        <v>171572.29579277776</v>
      </c>
      <c r="H12" s="105">
        <f>IFERROR(IF(ISBLANK(Current_DTE!H12),INDEX(Minutes_by_use_case!$B$2:$B$9,MATCH($B12,Minutes_by_use_case!$A$2:$A$9,0)),Current_DTE!H12),"-")</f>
        <v>171572.29579277776</v>
      </c>
      <c r="I12" s="105">
        <f>IFERROR(IF(ISBLANK(Current_DTE!I12),INDEX(Minutes_by_use_case!$B$2:$B$9,MATCH($B12,Minutes_by_use_case!$A$2:$A$9,0)),Current_DTE!I12),"-")</f>
        <v>171572.29579277776</v>
      </c>
      <c r="J12" s="105">
        <f>IFERROR(IF(ISBLANK(Current_DTE!J12),INDEX(Minutes_by_use_case!$B$2:$B$9,MATCH($B12,Minutes_by_use_case!$A$2:$A$9,0)),Current_DTE!J12),"-")</f>
        <v>171572.29579277776</v>
      </c>
      <c r="K12" s="105">
        <f>IFERROR(IF(ISBLANK(Current_DTE!K12),INDEX(Minutes_by_use_case!$B$2:$B$9,MATCH($B12,Minutes_by_use_case!$A$2:$A$9,0)),Current_DTE!K12),"-")</f>
        <v>171572.29579277776</v>
      </c>
      <c r="L12" s="105">
        <f>IFERROR(IF(ISBLANK(Current_DTE!L12),INDEX(Minutes_by_use_case!$B$2:$B$9,MATCH($B12,Minutes_by_use_case!$A$2:$A$9,0)),Current_DTE!L12),"-")</f>
        <v>171572.29579277776</v>
      </c>
      <c r="M12" s="105">
        <f>IFERROR(IF(ISBLANK(Current_DTE!M12),INDEX(Minutes_by_use_case!$B$2:$B$9,MATCH($B12,Minutes_by_use_case!$A$2:$A$9,0)),Current_DTE!M12),"-")</f>
        <v>171572.29579277776</v>
      </c>
      <c r="N12" s="105">
        <f>IFERROR(IF(ISBLANK(Current_DTE!N12),INDEX(Minutes_by_use_case!$B$2:$B$9,MATCH($B12,Minutes_by_use_case!$A$2:$A$9,0)),Current_DTE!N12),"-")</f>
        <v>171572.29579277776</v>
      </c>
      <c r="O12" s="105">
        <f>IFERROR(IF(ISBLANK(Current_DTE!O12),INDEX(Minutes_by_use_case!$B$2:$B$9,MATCH($B12,Minutes_by_use_case!$A$2:$A$9,0)),Current_DTE!O12),"-")</f>
        <v>171572.29579277776</v>
      </c>
      <c r="P12" s="105">
        <f>IFERROR(IF(ISBLANK(Current_DTE!P12),INDEX(Minutes_by_use_case!$B$2:$B$9,MATCH($B12,Minutes_by_use_case!$A$2:$A$9,0)),Current_DTE!P12),"-")</f>
        <v>171572.29579277776</v>
      </c>
      <c r="Q12" s="105">
        <f>IFERROR(IF(ISBLANK(Current_DTE!Q12),INDEX(Minutes_by_use_case!$B$2:$B$9,MATCH($B12,Minutes_by_use_case!$A$2:$A$9,0)),Current_DTE!Q12),"-")</f>
        <v>171572.29579277776</v>
      </c>
      <c r="R12" s="105">
        <f>IFERROR(IF(ISBLANK(Current_DTE!R12),INDEX(Minutes_by_use_case!$B$2:$B$9,MATCH($B12,Minutes_by_use_case!$A$2:$A$9,0)),Current_DTE!R12),"-")</f>
        <v>171572.29579277776</v>
      </c>
      <c r="S12" s="105">
        <f>IFERROR(IF(ISBLANK(Current_DTE!S12),INDEX(Minutes_by_use_case!$B$2:$B$9,MATCH($B12,Minutes_by_use_case!$A$2:$A$9,0)),Current_DTE!S12),"-")</f>
        <v>171572.29579277776</v>
      </c>
      <c r="T12" s="105">
        <f>IFERROR(IF(ISBLANK(Current_DTE!T12),INDEX(Minutes_by_use_case!$B$2:$B$9,MATCH($B12,Minutes_by_use_case!$A$2:$A$9,0)),Current_DTE!T12),"-")</f>
        <v>171572.29579277776</v>
      </c>
      <c r="U12" s="105">
        <f>IFERROR(IF(ISBLANK(Current_DTE!U12),INDEX(Minutes_by_use_case!$B$2:$B$9,MATCH($B12,Minutes_by_use_case!$A$2:$A$9,0)),Current_DTE!U12),"-")</f>
        <v>171572.29579277776</v>
      </c>
      <c r="V12" s="105">
        <f>IFERROR(IF(ISBLANK(Current_DTE!V12),INDEX(Minutes_by_use_case!$B$2:$B$9,MATCH($B12,Minutes_by_use_case!$A$2:$A$9,0)),Current_DTE!V12),"-")</f>
        <v>171572.29579277776</v>
      </c>
    </row>
    <row r="13" spans="1:22" x14ac:dyDescent="0.3">
      <c r="A13" s="29" t="s">
        <v>66</v>
      </c>
      <c r="B13" s="38" t="s">
        <v>48</v>
      </c>
      <c r="C13" s="105" t="str">
        <f>IFERROR(IF(ISBLANK(Current_DTE!C13),INDEX(Minutes_by_use_case!$B$2:$B$9,MATCH($B13,Minutes_by_use_case!$A$2:$A$9,0)),Current_DTE!C13),"-")</f>
        <v>-</v>
      </c>
      <c r="D13" s="105" t="str">
        <f>IFERROR(IF(ISBLANK(Current_DTE!D13),INDEX(Minutes_by_use_case!$B$2:$B$9,MATCH($B13,Minutes_by_use_case!$A$2:$A$9,0)),Current_DTE!D13),"-")</f>
        <v>-</v>
      </c>
      <c r="E13" s="105" t="str">
        <f>IFERROR(IF(ISBLANK(Current_DTE!E13),INDEX(Minutes_by_use_case!$B$2:$B$9,MATCH($B13,Minutes_by_use_case!$A$2:$A$9,0)),Current_DTE!E13),"-")</f>
        <v>-</v>
      </c>
      <c r="F13" s="105" t="str">
        <f>IFERROR(IF(ISBLANK(Current_DTE!F13),INDEX(Minutes_by_use_case!$B$2:$B$9,MATCH($B13,Minutes_by_use_case!$A$2:$A$9,0)),Current_DTE!F13),"-")</f>
        <v>-</v>
      </c>
      <c r="G13" s="105" t="str">
        <f>IFERROR(IF(ISBLANK(Current_DTE!G13),INDEX(Minutes_by_use_case!$B$2:$B$9,MATCH($B13,Minutes_by_use_case!$A$2:$A$9,0)),Current_DTE!G13),"-")</f>
        <v>-</v>
      </c>
      <c r="H13" s="105" t="str">
        <f>IFERROR(IF(ISBLANK(Current_DTE!H13),INDEX(Minutes_by_use_case!$B$2:$B$9,MATCH($B13,Minutes_by_use_case!$A$2:$A$9,0)),Current_DTE!H13),"-")</f>
        <v>-</v>
      </c>
      <c r="I13" s="105" t="str">
        <f>IFERROR(IF(ISBLANK(Current_DTE!I13),INDEX(Minutes_by_use_case!$B$2:$B$9,MATCH($B13,Minutes_by_use_case!$A$2:$A$9,0)),Current_DTE!I13),"-")</f>
        <v>-</v>
      </c>
      <c r="J13" s="105" t="str">
        <f>IFERROR(IF(ISBLANK(Current_DTE!J13),INDEX(Minutes_by_use_case!$B$2:$B$9,MATCH($B13,Minutes_by_use_case!$A$2:$A$9,0)),Current_DTE!J13),"-")</f>
        <v>-</v>
      </c>
      <c r="K13" s="105" t="str">
        <f>IFERROR(IF(ISBLANK(Current_DTE!K13),INDEX(Minutes_by_use_case!$B$2:$B$9,MATCH($B13,Minutes_by_use_case!$A$2:$A$9,0)),Current_DTE!K13),"-")</f>
        <v>-</v>
      </c>
      <c r="L13" s="105" t="str">
        <f>IFERROR(IF(ISBLANK(Current_DTE!L13),INDEX(Minutes_by_use_case!$B$2:$B$9,MATCH($B13,Minutes_by_use_case!$A$2:$A$9,0)),Current_DTE!L13),"-")</f>
        <v>-</v>
      </c>
      <c r="M13" s="105" t="str">
        <f>IFERROR(IF(ISBLANK(Current_DTE!M13),INDEX(Minutes_by_use_case!$B$2:$B$9,MATCH($B13,Minutes_by_use_case!$A$2:$A$9,0)),Current_DTE!M13),"-")</f>
        <v>-</v>
      </c>
      <c r="N13" s="105" t="str">
        <f>IFERROR(IF(ISBLANK(Current_DTE!N13),INDEX(Minutes_by_use_case!$B$2:$B$9,MATCH($B13,Minutes_by_use_case!$A$2:$A$9,0)),Current_DTE!N13),"-")</f>
        <v>-</v>
      </c>
      <c r="O13" s="105" t="str">
        <f>IFERROR(IF(ISBLANK(Current_DTE!O13),INDEX(Minutes_by_use_case!$B$2:$B$9,MATCH($B13,Minutes_by_use_case!$A$2:$A$9,0)),Current_DTE!O13),"-")</f>
        <v>-</v>
      </c>
      <c r="P13" s="105" t="str">
        <f>IFERROR(IF(ISBLANK(Current_DTE!P13),INDEX(Minutes_by_use_case!$B$2:$B$9,MATCH($B13,Minutes_by_use_case!$A$2:$A$9,0)),Current_DTE!P13),"-")</f>
        <v>-</v>
      </c>
      <c r="Q13" s="105" t="str">
        <f>IFERROR(IF(ISBLANK(Current_DTE!Q13),INDEX(Minutes_by_use_case!$B$2:$B$9,MATCH($B13,Minutes_by_use_case!$A$2:$A$9,0)),Current_DTE!Q13),"-")</f>
        <v>-</v>
      </c>
      <c r="R13" s="105" t="str">
        <f>IFERROR(IF(ISBLANK(Current_DTE!R13),INDEX(Minutes_by_use_case!$B$2:$B$9,MATCH($B13,Minutes_by_use_case!$A$2:$A$9,0)),Current_DTE!R13),"-")</f>
        <v>-</v>
      </c>
      <c r="S13" s="105" t="str">
        <f>IFERROR(IF(ISBLANK(Current_DTE!S13),INDEX(Minutes_by_use_case!$B$2:$B$9,MATCH($B13,Minutes_by_use_case!$A$2:$A$9,0)),Current_DTE!S13),"-")</f>
        <v>-</v>
      </c>
      <c r="T13" s="105" t="str">
        <f>IFERROR(IF(ISBLANK(Current_DTE!T13),INDEX(Minutes_by_use_case!$B$2:$B$9,MATCH($B13,Minutes_by_use_case!$A$2:$A$9,0)),Current_DTE!T13),"-")</f>
        <v>-</v>
      </c>
      <c r="U13" s="105" t="str">
        <f>IFERROR(IF(ISBLANK(Current_DTE!U13),INDEX(Minutes_by_use_case!$B$2:$B$9,MATCH($B13,Minutes_by_use_case!$A$2:$A$9,0)),Current_DTE!U13),"-")</f>
        <v>-</v>
      </c>
      <c r="V13" s="105" t="str">
        <f>IFERROR(IF(ISBLANK(Current_DTE!V13),INDEX(Minutes_by_use_case!$B$2:$B$9,MATCH($B13,Minutes_by_use_case!$A$2:$A$9,0)),Current_DTE!V13),"-")</f>
        <v>-</v>
      </c>
    </row>
    <row r="14" spans="1:22" x14ac:dyDescent="0.3">
      <c r="A14" s="29" t="s">
        <v>19</v>
      </c>
      <c r="B14" s="30" t="s">
        <v>41</v>
      </c>
      <c r="C14" s="105">
        <f>IFERROR(IF(ISBLANK(Current_DTE!C14),INDEX(Minutes_by_use_case!$B$2:$B$9,MATCH($B14,Minutes_by_use_case!$A$2:$A$9,0)),Current_DTE!C14),"-")</f>
        <v>851.36055555555549</v>
      </c>
      <c r="D14" s="105">
        <f>IFERROR(IF(ISBLANK(Current_DTE!D14),INDEX(Minutes_by_use_case!$B$2:$B$9,MATCH($B14,Minutes_by_use_case!$A$2:$A$9,0)),Current_DTE!D14),"-")</f>
        <v>921.41561944444436</v>
      </c>
      <c r="E14" s="105">
        <f>IFERROR(IF(ISBLANK(Current_DTE!E14),INDEX(Minutes_by_use_case!$B$2:$B$9,MATCH($B14,Minutes_by_use_case!$A$2:$A$9,0)),Current_DTE!E14),"-")</f>
        <v>793.34499999999991</v>
      </c>
      <c r="F14" s="105">
        <f>IFERROR(IF(ISBLANK(Current_DTE!F14),INDEX(Minutes_by_use_case!$B$2:$B$9,MATCH($B14,Minutes_by_use_case!$A$2:$A$9,0)),Current_DTE!F14),"-")</f>
        <v>796.60534611111109</v>
      </c>
      <c r="G14" s="105">
        <f>IFERROR(IF(ISBLANK(Current_DTE!G14),INDEX(Minutes_by_use_case!$B$2:$B$9,MATCH($B14,Minutes_by_use_case!$A$2:$A$9,0)),Current_DTE!G14),"-")</f>
        <v>796.60534611111109</v>
      </c>
      <c r="H14" s="105">
        <f>IFERROR(IF(ISBLANK(Current_DTE!H14),INDEX(Minutes_by_use_case!$B$2:$B$9,MATCH($B14,Minutes_by_use_case!$A$2:$A$9,0)),Current_DTE!H14),"-")</f>
        <v>796.60534611111109</v>
      </c>
      <c r="I14" s="105">
        <f>IFERROR(IF(ISBLANK(Current_DTE!I14),INDEX(Minutes_by_use_case!$B$2:$B$9,MATCH($B14,Minutes_by_use_case!$A$2:$A$9,0)),Current_DTE!I14),"-")</f>
        <v>796.60534611111109</v>
      </c>
      <c r="J14" s="105">
        <f>IFERROR(IF(ISBLANK(Current_DTE!J14),INDEX(Minutes_by_use_case!$B$2:$B$9,MATCH($B14,Minutes_by_use_case!$A$2:$A$9,0)),Current_DTE!J14),"-")</f>
        <v>796.60534611111109</v>
      </c>
      <c r="K14" s="105">
        <f>IFERROR(IF(ISBLANK(Current_DTE!K14),INDEX(Minutes_by_use_case!$B$2:$B$9,MATCH($B14,Minutes_by_use_case!$A$2:$A$9,0)),Current_DTE!K14),"-")</f>
        <v>796.60534611111109</v>
      </c>
      <c r="L14" s="105">
        <f>IFERROR(IF(ISBLANK(Current_DTE!L14),INDEX(Minutes_by_use_case!$B$2:$B$9,MATCH($B14,Minutes_by_use_case!$A$2:$A$9,0)),Current_DTE!L14),"-")</f>
        <v>796.60534611111109</v>
      </c>
      <c r="M14" s="105">
        <f>IFERROR(IF(ISBLANK(Current_DTE!M14),INDEX(Minutes_by_use_case!$B$2:$B$9,MATCH($B14,Minutes_by_use_case!$A$2:$A$9,0)),Current_DTE!M14),"-")</f>
        <v>796.60534611111109</v>
      </c>
      <c r="N14" s="105">
        <f>IFERROR(IF(ISBLANK(Current_DTE!N14),INDEX(Minutes_by_use_case!$B$2:$B$9,MATCH($B14,Minutes_by_use_case!$A$2:$A$9,0)),Current_DTE!N14),"-")</f>
        <v>796.60534611111109</v>
      </c>
      <c r="O14" s="105">
        <f>IFERROR(IF(ISBLANK(Current_DTE!O14),INDEX(Minutes_by_use_case!$B$2:$B$9,MATCH($B14,Minutes_by_use_case!$A$2:$A$9,0)),Current_DTE!O14),"-")</f>
        <v>796.60534611111109</v>
      </c>
      <c r="P14" s="105">
        <f>IFERROR(IF(ISBLANK(Current_DTE!P14),INDEX(Minutes_by_use_case!$B$2:$B$9,MATCH($B14,Minutes_by_use_case!$A$2:$A$9,0)),Current_DTE!P14),"-")</f>
        <v>796.60534611111109</v>
      </c>
      <c r="Q14" s="105">
        <f>IFERROR(IF(ISBLANK(Current_DTE!Q14),INDEX(Minutes_by_use_case!$B$2:$B$9,MATCH($B14,Minutes_by_use_case!$A$2:$A$9,0)),Current_DTE!Q14),"-")</f>
        <v>796.60534611111109</v>
      </c>
      <c r="R14" s="105">
        <f>IFERROR(IF(ISBLANK(Current_DTE!R14),INDEX(Minutes_by_use_case!$B$2:$B$9,MATCH($B14,Minutes_by_use_case!$A$2:$A$9,0)),Current_DTE!R14),"-")</f>
        <v>796.60534611111109</v>
      </c>
      <c r="S14" s="105">
        <f>IFERROR(IF(ISBLANK(Current_DTE!S14),INDEX(Minutes_by_use_case!$B$2:$B$9,MATCH($B14,Minutes_by_use_case!$A$2:$A$9,0)),Current_DTE!S14),"-")</f>
        <v>796.60534611111109</v>
      </c>
      <c r="T14" s="105">
        <f>IFERROR(IF(ISBLANK(Current_DTE!T14),INDEX(Minutes_by_use_case!$B$2:$B$9,MATCH($B14,Minutes_by_use_case!$A$2:$A$9,0)),Current_DTE!T14),"-")</f>
        <v>796.60534611111109</v>
      </c>
      <c r="U14" s="105">
        <f>IFERROR(IF(ISBLANK(Current_DTE!U14),INDEX(Minutes_by_use_case!$B$2:$B$9,MATCH($B14,Minutes_by_use_case!$A$2:$A$9,0)),Current_DTE!U14),"-")</f>
        <v>796.60534611111109</v>
      </c>
      <c r="V14" s="105">
        <f>IFERROR(IF(ISBLANK(Current_DTE!V14),INDEX(Minutes_by_use_case!$B$2:$B$9,MATCH($B14,Minutes_by_use_case!$A$2:$A$9,0)),Current_DTE!V14),"-")</f>
        <v>796.60534611111109</v>
      </c>
    </row>
    <row r="15" spans="1:22" x14ac:dyDescent="0.3">
      <c r="A15" s="41" t="s">
        <v>67</v>
      </c>
      <c r="B15" s="30" t="s">
        <v>40</v>
      </c>
      <c r="C15" s="105">
        <f>IFERROR(IF(ISBLANK(Current_DTE!C15),INDEX(Minutes_by_use_case!$B$2:$B$9,MATCH($B15,Minutes_by_use_case!$A$2:$A$9,0)),Current_DTE!C15),"-")</f>
        <v>2140.4341038095235</v>
      </c>
      <c r="D15" s="105">
        <f>IFERROR(IF(ISBLANK(Current_DTE!D15),INDEX(Minutes_by_use_case!$B$2:$B$9,MATCH($B15,Minutes_by_use_case!$A$2:$A$9,0)),Current_DTE!D15),"-")</f>
        <v>2140.4341038095235</v>
      </c>
      <c r="E15" s="105">
        <f>IFERROR(IF(ISBLANK(Current_DTE!E15),INDEX(Minutes_by_use_case!$B$2:$B$9,MATCH($B15,Minutes_by_use_case!$A$2:$A$9,0)),Current_DTE!E15),"-")</f>
        <v>2140.4341038095235</v>
      </c>
      <c r="F15" s="105">
        <f>IFERROR(IF(ISBLANK(Current_DTE!F15),INDEX(Minutes_by_use_case!$B$2:$B$9,MATCH($B15,Minutes_by_use_case!$A$2:$A$9,0)),Current_DTE!F15),"-")</f>
        <v>2140.4341038095235</v>
      </c>
      <c r="G15" s="105">
        <f>IFERROR(IF(ISBLANK(Current_DTE!G15),INDEX(Minutes_by_use_case!$B$2:$B$9,MATCH($B15,Minutes_by_use_case!$A$2:$A$9,0)),Current_DTE!G15),"-")</f>
        <v>2140.4341038095235</v>
      </c>
      <c r="H15" s="105">
        <f>IFERROR(IF(ISBLANK(Current_DTE!H15),INDEX(Minutes_by_use_case!$B$2:$B$9,MATCH($B15,Minutes_by_use_case!$A$2:$A$9,0)),Current_DTE!H15),"-")</f>
        <v>2140.4341038095235</v>
      </c>
      <c r="I15" s="105">
        <f>IFERROR(IF(ISBLANK(Current_DTE!I15),INDEX(Minutes_by_use_case!$B$2:$B$9,MATCH($B15,Minutes_by_use_case!$A$2:$A$9,0)),Current_DTE!I15),"-")</f>
        <v>2140.4341038095235</v>
      </c>
      <c r="J15" s="105">
        <f>IFERROR(IF(ISBLANK(Current_DTE!J15),INDEX(Minutes_by_use_case!$B$2:$B$9,MATCH($B15,Minutes_by_use_case!$A$2:$A$9,0)),Current_DTE!J15),"-")</f>
        <v>2140.4341038095235</v>
      </c>
      <c r="K15" s="105">
        <f>IFERROR(IF(ISBLANK(Current_DTE!K15),INDEX(Minutes_by_use_case!$B$2:$B$9,MATCH($B15,Minutes_by_use_case!$A$2:$A$9,0)),Current_DTE!K15),"-")</f>
        <v>2140.4341038095235</v>
      </c>
      <c r="L15" s="105">
        <f>IFERROR(IF(ISBLANK(Current_DTE!L15),INDEX(Minutes_by_use_case!$B$2:$B$9,MATCH($B15,Minutes_by_use_case!$A$2:$A$9,0)),Current_DTE!L15),"-")</f>
        <v>2140.4341038095235</v>
      </c>
      <c r="M15" s="105">
        <f>IFERROR(IF(ISBLANK(Current_DTE!M15),INDEX(Minutes_by_use_case!$B$2:$B$9,MATCH($B15,Minutes_by_use_case!$A$2:$A$9,0)),Current_DTE!M15),"-")</f>
        <v>2140.4341038095235</v>
      </c>
      <c r="N15" s="105">
        <f>IFERROR(IF(ISBLANK(Current_DTE!N15),INDEX(Minutes_by_use_case!$B$2:$B$9,MATCH($B15,Minutes_by_use_case!$A$2:$A$9,0)),Current_DTE!N15),"-")</f>
        <v>2140.4341038095235</v>
      </c>
      <c r="O15" s="105">
        <f>IFERROR(IF(ISBLANK(Current_DTE!O15),INDEX(Minutes_by_use_case!$B$2:$B$9,MATCH($B15,Minutes_by_use_case!$A$2:$A$9,0)),Current_DTE!O15),"-")</f>
        <v>2140.4341038095235</v>
      </c>
      <c r="P15" s="105">
        <f>IFERROR(IF(ISBLANK(Current_DTE!P15),INDEX(Minutes_by_use_case!$B$2:$B$9,MATCH($B15,Minutes_by_use_case!$A$2:$A$9,0)),Current_DTE!P15),"-")</f>
        <v>2140.4341038095235</v>
      </c>
      <c r="Q15" s="105">
        <f>IFERROR(IF(ISBLANK(Current_DTE!Q15),INDEX(Minutes_by_use_case!$B$2:$B$9,MATCH($B15,Minutes_by_use_case!$A$2:$A$9,0)),Current_DTE!Q15),"-")</f>
        <v>2140.4341038095235</v>
      </c>
      <c r="R15" s="105">
        <f>IFERROR(IF(ISBLANK(Current_DTE!R15),INDEX(Minutes_by_use_case!$B$2:$B$9,MATCH($B15,Minutes_by_use_case!$A$2:$A$9,0)),Current_DTE!R15),"-")</f>
        <v>2140.4341038095235</v>
      </c>
      <c r="S15" s="105">
        <f>IFERROR(IF(ISBLANK(Current_DTE!S15),INDEX(Minutes_by_use_case!$B$2:$B$9,MATCH($B15,Minutes_by_use_case!$A$2:$A$9,0)),Current_DTE!S15),"-")</f>
        <v>2140.4341038095235</v>
      </c>
      <c r="T15" s="105">
        <f>IFERROR(IF(ISBLANK(Current_DTE!T15),INDEX(Minutes_by_use_case!$B$2:$B$9,MATCH($B15,Minutes_by_use_case!$A$2:$A$9,0)),Current_DTE!T15),"-")</f>
        <v>2140.4341038095235</v>
      </c>
      <c r="U15" s="105">
        <f>IFERROR(IF(ISBLANK(Current_DTE!U15),INDEX(Minutes_by_use_case!$B$2:$B$9,MATCH($B15,Minutes_by_use_case!$A$2:$A$9,0)),Current_DTE!U15),"-")</f>
        <v>2140.4341038095235</v>
      </c>
      <c r="V15" s="105">
        <f>IFERROR(IF(ISBLANK(Current_DTE!V15),INDEX(Minutes_by_use_case!$B$2:$B$9,MATCH($B15,Minutes_by_use_case!$A$2:$A$9,0)),Current_DTE!V15),"-")</f>
        <v>2140.4341038095235</v>
      </c>
    </row>
    <row r="16" spans="1:22" x14ac:dyDescent="0.3">
      <c r="A16" s="41" t="s">
        <v>68</v>
      </c>
      <c r="B16" s="30" t="s">
        <v>40</v>
      </c>
      <c r="C16" s="105">
        <f>IFERROR(IF(ISBLANK(Current_DTE!C16),INDEX(Minutes_by_use_case!$B$2:$B$9,MATCH($B16,Minutes_by_use_case!$A$2:$A$9,0)),Current_DTE!C16),"-")</f>
        <v>2140.4341038095235</v>
      </c>
      <c r="D16" s="105">
        <f>IFERROR(IF(ISBLANK(Current_DTE!D16),INDEX(Minutes_by_use_case!$B$2:$B$9,MATCH($B16,Minutes_by_use_case!$A$2:$A$9,0)),Current_DTE!D16),"-")</f>
        <v>2140.4341038095235</v>
      </c>
      <c r="E16" s="105">
        <f>IFERROR(IF(ISBLANK(Current_DTE!E16),INDEX(Minutes_by_use_case!$B$2:$B$9,MATCH($B16,Minutes_by_use_case!$A$2:$A$9,0)),Current_DTE!E16),"-")</f>
        <v>2140.4341038095235</v>
      </c>
      <c r="F16" s="105">
        <f>IFERROR(IF(ISBLANK(Current_DTE!F16),INDEX(Minutes_by_use_case!$B$2:$B$9,MATCH($B16,Minutes_by_use_case!$A$2:$A$9,0)),Current_DTE!F16),"-")</f>
        <v>2140.4341038095235</v>
      </c>
      <c r="G16" s="105">
        <f>IFERROR(IF(ISBLANK(Current_DTE!G16),INDEX(Minutes_by_use_case!$B$2:$B$9,MATCH($B16,Minutes_by_use_case!$A$2:$A$9,0)),Current_DTE!G16),"-")</f>
        <v>2140.4341038095235</v>
      </c>
      <c r="H16" s="105">
        <f>IFERROR(IF(ISBLANK(Current_DTE!H16),INDEX(Minutes_by_use_case!$B$2:$B$9,MATCH($B16,Minutes_by_use_case!$A$2:$A$9,0)),Current_DTE!H16),"-")</f>
        <v>2140.4341038095235</v>
      </c>
      <c r="I16" s="105">
        <f>IFERROR(IF(ISBLANK(Current_DTE!I16),INDEX(Minutes_by_use_case!$B$2:$B$9,MATCH($B16,Minutes_by_use_case!$A$2:$A$9,0)),Current_DTE!I16),"-")</f>
        <v>2140.4341038095235</v>
      </c>
      <c r="J16" s="105">
        <f>IFERROR(IF(ISBLANK(Current_DTE!J16),INDEX(Minutes_by_use_case!$B$2:$B$9,MATCH($B16,Minutes_by_use_case!$A$2:$A$9,0)),Current_DTE!J16),"-")</f>
        <v>2140.4341038095235</v>
      </c>
      <c r="K16" s="105">
        <f>IFERROR(IF(ISBLANK(Current_DTE!K16),INDEX(Minutes_by_use_case!$B$2:$B$9,MATCH($B16,Minutes_by_use_case!$A$2:$A$9,0)),Current_DTE!K16),"-")</f>
        <v>2140.4341038095235</v>
      </c>
      <c r="L16" s="105">
        <f>IFERROR(IF(ISBLANK(Current_DTE!L16),INDEX(Minutes_by_use_case!$B$2:$B$9,MATCH($B16,Minutes_by_use_case!$A$2:$A$9,0)),Current_DTE!L16),"-")</f>
        <v>2140.4341038095235</v>
      </c>
      <c r="M16" s="105">
        <f>IFERROR(IF(ISBLANK(Current_DTE!M16),INDEX(Minutes_by_use_case!$B$2:$B$9,MATCH($B16,Minutes_by_use_case!$A$2:$A$9,0)),Current_DTE!M16),"-")</f>
        <v>2140.4341038095235</v>
      </c>
      <c r="N16" s="105">
        <f>IFERROR(IF(ISBLANK(Current_DTE!N16),INDEX(Minutes_by_use_case!$B$2:$B$9,MATCH($B16,Minutes_by_use_case!$A$2:$A$9,0)),Current_DTE!N16),"-")</f>
        <v>2140.4341038095235</v>
      </c>
      <c r="O16" s="105">
        <f>IFERROR(IF(ISBLANK(Current_DTE!O16),INDEX(Minutes_by_use_case!$B$2:$B$9,MATCH($B16,Minutes_by_use_case!$A$2:$A$9,0)),Current_DTE!O16),"-")</f>
        <v>2140.4341038095235</v>
      </c>
      <c r="P16" s="105">
        <f>IFERROR(IF(ISBLANK(Current_DTE!P16),INDEX(Minutes_by_use_case!$B$2:$B$9,MATCH($B16,Minutes_by_use_case!$A$2:$A$9,0)),Current_DTE!P16),"-")</f>
        <v>2140.4341038095235</v>
      </c>
      <c r="Q16" s="105">
        <f>IFERROR(IF(ISBLANK(Current_DTE!Q16),INDEX(Minutes_by_use_case!$B$2:$B$9,MATCH($B16,Minutes_by_use_case!$A$2:$A$9,0)),Current_DTE!Q16),"-")</f>
        <v>2140.4341038095235</v>
      </c>
      <c r="R16" s="105">
        <f>IFERROR(IF(ISBLANK(Current_DTE!R16),INDEX(Minutes_by_use_case!$B$2:$B$9,MATCH($B16,Minutes_by_use_case!$A$2:$A$9,0)),Current_DTE!R16),"-")</f>
        <v>2140.4341038095235</v>
      </c>
      <c r="S16" s="105">
        <f>IFERROR(IF(ISBLANK(Current_DTE!S16),INDEX(Minutes_by_use_case!$B$2:$B$9,MATCH($B16,Minutes_by_use_case!$A$2:$A$9,0)),Current_DTE!S16),"-")</f>
        <v>2140.4341038095235</v>
      </c>
      <c r="T16" s="105">
        <f>IFERROR(IF(ISBLANK(Current_DTE!T16),INDEX(Minutes_by_use_case!$B$2:$B$9,MATCH($B16,Minutes_by_use_case!$A$2:$A$9,0)),Current_DTE!T16),"-")</f>
        <v>2140.4341038095235</v>
      </c>
      <c r="U16" s="105">
        <f>IFERROR(IF(ISBLANK(Current_DTE!U16),INDEX(Minutes_by_use_case!$B$2:$B$9,MATCH($B16,Minutes_by_use_case!$A$2:$A$9,0)),Current_DTE!U16),"-")</f>
        <v>2140.4341038095235</v>
      </c>
      <c r="V16" s="105">
        <f>IFERROR(IF(ISBLANK(Current_DTE!V16),INDEX(Minutes_by_use_case!$B$2:$B$9,MATCH($B16,Minutes_by_use_case!$A$2:$A$9,0)),Current_DTE!V16),"-")</f>
        <v>2140.4341038095235</v>
      </c>
    </row>
    <row r="17" spans="1:22" x14ac:dyDescent="0.3">
      <c r="A17" s="41" t="s">
        <v>69</v>
      </c>
      <c r="B17" s="30" t="s">
        <v>40</v>
      </c>
      <c r="C17" s="105">
        <f>IFERROR(IF(ISBLANK(Current_DTE!C17),INDEX(Minutes_by_use_case!$B$2:$B$9,MATCH($B17,Minutes_by_use_case!$A$2:$A$9,0)),Current_DTE!C17),"-")</f>
        <v>2140.4341038095235</v>
      </c>
      <c r="D17" s="105">
        <f>IFERROR(IF(ISBLANK(Current_DTE!D17),INDEX(Minutes_by_use_case!$B$2:$B$9,MATCH($B17,Minutes_by_use_case!$A$2:$A$9,0)),Current_DTE!D17),"-")</f>
        <v>2140.4341038095235</v>
      </c>
      <c r="E17" s="105">
        <f>IFERROR(IF(ISBLANK(Current_DTE!E17),INDEX(Minutes_by_use_case!$B$2:$B$9,MATCH($B17,Minutes_by_use_case!$A$2:$A$9,0)),Current_DTE!E17),"-")</f>
        <v>2140.4341038095235</v>
      </c>
      <c r="F17" s="105">
        <f>IFERROR(IF(ISBLANK(Current_DTE!F17),INDEX(Minutes_by_use_case!$B$2:$B$9,MATCH($B17,Minutes_by_use_case!$A$2:$A$9,0)),Current_DTE!F17),"-")</f>
        <v>2140.4341038095235</v>
      </c>
      <c r="G17" s="105">
        <f>IFERROR(IF(ISBLANK(Current_DTE!G17),INDEX(Minutes_by_use_case!$B$2:$B$9,MATCH($B17,Minutes_by_use_case!$A$2:$A$9,0)),Current_DTE!G17),"-")</f>
        <v>2140.4341038095235</v>
      </c>
      <c r="H17" s="105">
        <f>IFERROR(IF(ISBLANK(Current_DTE!H17),INDEX(Minutes_by_use_case!$B$2:$B$9,MATCH($B17,Minutes_by_use_case!$A$2:$A$9,0)),Current_DTE!H17),"-")</f>
        <v>2140.4341038095235</v>
      </c>
      <c r="I17" s="105">
        <f>IFERROR(IF(ISBLANK(Current_DTE!I17),INDEX(Minutes_by_use_case!$B$2:$B$9,MATCH($B17,Minutes_by_use_case!$A$2:$A$9,0)),Current_DTE!I17),"-")</f>
        <v>2140.4341038095235</v>
      </c>
      <c r="J17" s="105">
        <f>IFERROR(IF(ISBLANK(Current_DTE!J17),INDEX(Minutes_by_use_case!$B$2:$B$9,MATCH($B17,Minutes_by_use_case!$A$2:$A$9,0)),Current_DTE!J17),"-")</f>
        <v>2140.4341038095235</v>
      </c>
      <c r="K17" s="105">
        <f>IFERROR(IF(ISBLANK(Current_DTE!K17),INDEX(Minutes_by_use_case!$B$2:$B$9,MATCH($B17,Minutes_by_use_case!$A$2:$A$9,0)),Current_DTE!K17),"-")</f>
        <v>2140.4341038095235</v>
      </c>
      <c r="L17" s="105">
        <f>IFERROR(IF(ISBLANK(Current_DTE!L17),INDEX(Minutes_by_use_case!$B$2:$B$9,MATCH($B17,Minutes_by_use_case!$A$2:$A$9,0)),Current_DTE!L17),"-")</f>
        <v>2140.4341038095235</v>
      </c>
      <c r="M17" s="105">
        <f>IFERROR(IF(ISBLANK(Current_DTE!M17),INDEX(Minutes_by_use_case!$B$2:$B$9,MATCH($B17,Minutes_by_use_case!$A$2:$A$9,0)),Current_DTE!M17),"-")</f>
        <v>2140.4341038095235</v>
      </c>
      <c r="N17" s="105">
        <f>IFERROR(IF(ISBLANK(Current_DTE!N17),INDEX(Minutes_by_use_case!$B$2:$B$9,MATCH($B17,Minutes_by_use_case!$A$2:$A$9,0)),Current_DTE!N17),"-")</f>
        <v>2140.4341038095235</v>
      </c>
      <c r="O17" s="105">
        <f>IFERROR(IF(ISBLANK(Current_DTE!O17),INDEX(Minutes_by_use_case!$B$2:$B$9,MATCH($B17,Minutes_by_use_case!$A$2:$A$9,0)),Current_DTE!O17),"-")</f>
        <v>2140.4341038095235</v>
      </c>
      <c r="P17" s="105">
        <f>IFERROR(IF(ISBLANK(Current_DTE!P17),INDEX(Minutes_by_use_case!$B$2:$B$9,MATCH($B17,Minutes_by_use_case!$A$2:$A$9,0)),Current_DTE!P17),"-")</f>
        <v>2140.4341038095235</v>
      </c>
      <c r="Q17" s="105">
        <f>IFERROR(IF(ISBLANK(Current_DTE!Q17),INDEX(Minutes_by_use_case!$B$2:$B$9,MATCH($B17,Minutes_by_use_case!$A$2:$A$9,0)),Current_DTE!Q17),"-")</f>
        <v>2140.4341038095235</v>
      </c>
      <c r="R17" s="105">
        <f>IFERROR(IF(ISBLANK(Current_DTE!R17),INDEX(Minutes_by_use_case!$B$2:$B$9,MATCH($B17,Minutes_by_use_case!$A$2:$A$9,0)),Current_DTE!R17),"-")</f>
        <v>2140.4341038095235</v>
      </c>
      <c r="S17" s="105">
        <f>IFERROR(IF(ISBLANK(Current_DTE!S17),INDEX(Minutes_by_use_case!$B$2:$B$9,MATCH($B17,Minutes_by_use_case!$A$2:$A$9,0)),Current_DTE!S17),"-")</f>
        <v>2140.4341038095235</v>
      </c>
      <c r="T17" s="105">
        <f>IFERROR(IF(ISBLANK(Current_DTE!T17),INDEX(Minutes_by_use_case!$B$2:$B$9,MATCH($B17,Minutes_by_use_case!$A$2:$A$9,0)),Current_DTE!T17),"-")</f>
        <v>2140.4341038095235</v>
      </c>
      <c r="U17" s="105">
        <f>IFERROR(IF(ISBLANK(Current_DTE!U17),INDEX(Minutes_by_use_case!$B$2:$B$9,MATCH($B17,Minutes_by_use_case!$A$2:$A$9,0)),Current_DTE!U17),"-")</f>
        <v>2140.4341038095235</v>
      </c>
      <c r="V17" s="105">
        <f>IFERROR(IF(ISBLANK(Current_DTE!V17),INDEX(Minutes_by_use_case!$B$2:$B$9,MATCH($B17,Minutes_by_use_case!$A$2:$A$9,0)),Current_DTE!V17),"-")</f>
        <v>2140.4341038095235</v>
      </c>
    </row>
    <row r="18" spans="1:22" x14ac:dyDescent="0.3">
      <c r="A18" s="41" t="s">
        <v>70</v>
      </c>
      <c r="B18" s="30" t="s">
        <v>40</v>
      </c>
      <c r="C18" s="105">
        <f>IFERROR(IF(ISBLANK(Current_DTE!C18),INDEX(Minutes_by_use_case!$B$2:$B$9,MATCH($B18,Minutes_by_use_case!$A$2:$A$9,0)),Current_DTE!C18),"-")</f>
        <v>2140.4341038095235</v>
      </c>
      <c r="D18" s="105">
        <f>IFERROR(IF(ISBLANK(Current_DTE!D18),INDEX(Minutes_by_use_case!$B$2:$B$9,MATCH($B18,Minutes_by_use_case!$A$2:$A$9,0)),Current_DTE!D18),"-")</f>
        <v>2140.4341038095235</v>
      </c>
      <c r="E18" s="105">
        <f>IFERROR(IF(ISBLANK(Current_DTE!E18),INDEX(Minutes_by_use_case!$B$2:$B$9,MATCH($B18,Minutes_by_use_case!$A$2:$A$9,0)),Current_DTE!E18),"-")</f>
        <v>2140.4341038095235</v>
      </c>
      <c r="F18" s="105">
        <f>IFERROR(IF(ISBLANK(Current_DTE!F18),INDEX(Minutes_by_use_case!$B$2:$B$9,MATCH($B18,Minutes_by_use_case!$A$2:$A$9,0)),Current_DTE!F18),"-")</f>
        <v>2140.4341038095235</v>
      </c>
      <c r="G18" s="105">
        <f>IFERROR(IF(ISBLANK(Current_DTE!G18),INDEX(Minutes_by_use_case!$B$2:$B$9,MATCH($B18,Minutes_by_use_case!$A$2:$A$9,0)),Current_DTE!G18),"-")</f>
        <v>2140.4341038095235</v>
      </c>
      <c r="H18" s="105">
        <f>IFERROR(IF(ISBLANK(Current_DTE!H18),INDEX(Minutes_by_use_case!$B$2:$B$9,MATCH($B18,Minutes_by_use_case!$A$2:$A$9,0)),Current_DTE!H18),"-")</f>
        <v>2140.4341038095235</v>
      </c>
      <c r="I18" s="105">
        <f>IFERROR(IF(ISBLANK(Current_DTE!I18),INDEX(Minutes_by_use_case!$B$2:$B$9,MATCH($B18,Minutes_by_use_case!$A$2:$A$9,0)),Current_DTE!I18),"-")</f>
        <v>2140.4341038095235</v>
      </c>
      <c r="J18" s="105">
        <f>IFERROR(IF(ISBLANK(Current_DTE!J18),INDEX(Minutes_by_use_case!$B$2:$B$9,MATCH($B18,Minutes_by_use_case!$A$2:$A$9,0)),Current_DTE!J18),"-")</f>
        <v>2140.4341038095235</v>
      </c>
      <c r="K18" s="105">
        <f>IFERROR(IF(ISBLANK(Current_DTE!K18),INDEX(Minutes_by_use_case!$B$2:$B$9,MATCH($B18,Minutes_by_use_case!$A$2:$A$9,0)),Current_DTE!K18),"-")</f>
        <v>2140.4341038095235</v>
      </c>
      <c r="L18" s="105">
        <f>IFERROR(IF(ISBLANK(Current_DTE!L18),INDEX(Minutes_by_use_case!$B$2:$B$9,MATCH($B18,Minutes_by_use_case!$A$2:$A$9,0)),Current_DTE!L18),"-")</f>
        <v>2140.4341038095235</v>
      </c>
      <c r="M18" s="105">
        <f>IFERROR(IF(ISBLANK(Current_DTE!M18),INDEX(Minutes_by_use_case!$B$2:$B$9,MATCH($B18,Minutes_by_use_case!$A$2:$A$9,0)),Current_DTE!M18),"-")</f>
        <v>2140.4341038095235</v>
      </c>
      <c r="N18" s="105">
        <f>IFERROR(IF(ISBLANK(Current_DTE!N18),INDEX(Minutes_by_use_case!$B$2:$B$9,MATCH($B18,Minutes_by_use_case!$A$2:$A$9,0)),Current_DTE!N18),"-")</f>
        <v>2140.4341038095235</v>
      </c>
      <c r="O18" s="105">
        <f>IFERROR(IF(ISBLANK(Current_DTE!O18),INDEX(Minutes_by_use_case!$B$2:$B$9,MATCH($B18,Minutes_by_use_case!$A$2:$A$9,0)),Current_DTE!O18),"-")</f>
        <v>2140.4341038095235</v>
      </c>
      <c r="P18" s="105">
        <f>IFERROR(IF(ISBLANK(Current_DTE!P18),INDEX(Minutes_by_use_case!$B$2:$B$9,MATCH($B18,Minutes_by_use_case!$A$2:$A$9,0)),Current_DTE!P18),"-")</f>
        <v>2140.4341038095235</v>
      </c>
      <c r="Q18" s="105">
        <f>IFERROR(IF(ISBLANK(Current_DTE!Q18),INDEX(Minutes_by_use_case!$B$2:$B$9,MATCH($B18,Minutes_by_use_case!$A$2:$A$9,0)),Current_DTE!Q18),"-")</f>
        <v>2140.4341038095235</v>
      </c>
      <c r="R18" s="105">
        <f>IFERROR(IF(ISBLANK(Current_DTE!R18),INDEX(Minutes_by_use_case!$B$2:$B$9,MATCH($B18,Minutes_by_use_case!$A$2:$A$9,0)),Current_DTE!R18),"-")</f>
        <v>2140.4341038095235</v>
      </c>
      <c r="S18" s="105">
        <f>IFERROR(IF(ISBLANK(Current_DTE!S18),INDEX(Minutes_by_use_case!$B$2:$B$9,MATCH($B18,Minutes_by_use_case!$A$2:$A$9,0)),Current_DTE!S18),"-")</f>
        <v>2140.4341038095235</v>
      </c>
      <c r="T18" s="105">
        <f>IFERROR(IF(ISBLANK(Current_DTE!T18),INDEX(Minutes_by_use_case!$B$2:$B$9,MATCH($B18,Minutes_by_use_case!$A$2:$A$9,0)),Current_DTE!T18),"-")</f>
        <v>2140.4341038095235</v>
      </c>
      <c r="U18" s="105">
        <f>IFERROR(IF(ISBLANK(Current_DTE!U18),INDEX(Minutes_by_use_case!$B$2:$B$9,MATCH($B18,Minutes_by_use_case!$A$2:$A$9,0)),Current_DTE!U18),"-")</f>
        <v>2140.4341038095235</v>
      </c>
      <c r="V18" s="105">
        <f>IFERROR(IF(ISBLANK(Current_DTE!V18),INDEX(Minutes_by_use_case!$B$2:$B$9,MATCH($B18,Minutes_by_use_case!$A$2:$A$9,0)),Current_DTE!V18),"-")</f>
        <v>2140.4341038095235</v>
      </c>
    </row>
    <row r="19" spans="1:22" x14ac:dyDescent="0.3">
      <c r="A19" s="29" t="s">
        <v>20</v>
      </c>
      <c r="B19" s="30" t="s">
        <v>41</v>
      </c>
      <c r="C19" s="105">
        <f>IFERROR(IF(ISBLANK(Current_DTE!C19),INDEX(Minutes_by_use_case!$B$2:$B$9,MATCH($B19,Minutes_by_use_case!$A$2:$A$9,0)),Current_DTE!C19),"-")</f>
        <v>3121.1464916666664</v>
      </c>
      <c r="D19" s="105">
        <f>IFERROR(IF(ISBLANK(Current_DTE!D19),INDEX(Minutes_by_use_case!$B$2:$B$9,MATCH($B19,Minutes_by_use_case!$A$2:$A$9,0)),Current_DTE!D19),"-")</f>
        <v>3157.8943527777778</v>
      </c>
      <c r="E19" s="105">
        <f>IFERROR(IF(ISBLANK(Current_DTE!E19),INDEX(Minutes_by_use_case!$B$2:$B$9,MATCH($B19,Minutes_by_use_case!$A$2:$A$9,0)),Current_DTE!E19),"-")</f>
        <v>2937.5030555555554</v>
      </c>
      <c r="F19" s="105">
        <f>IFERROR(IF(ISBLANK(Current_DTE!F19),INDEX(Minutes_by_use_case!$B$2:$B$9,MATCH($B19,Minutes_by_use_case!$A$2:$A$9,0)),Current_DTE!F19),"-")</f>
        <v>3137.9728877777775</v>
      </c>
      <c r="G19" s="105">
        <f>IFERROR(IF(ISBLANK(Current_DTE!G19),INDEX(Minutes_by_use_case!$B$2:$B$9,MATCH($B19,Minutes_by_use_case!$A$2:$A$9,0)),Current_DTE!G19),"-")</f>
        <v>3137.9728877777775</v>
      </c>
      <c r="H19" s="105">
        <f>IFERROR(IF(ISBLANK(Current_DTE!H19),INDEX(Minutes_by_use_case!$B$2:$B$9,MATCH($B19,Minutes_by_use_case!$A$2:$A$9,0)),Current_DTE!H19),"-")</f>
        <v>3137.9728877777775</v>
      </c>
      <c r="I19" s="105">
        <f>IFERROR(IF(ISBLANK(Current_DTE!I19),INDEX(Minutes_by_use_case!$B$2:$B$9,MATCH($B19,Minutes_by_use_case!$A$2:$A$9,0)),Current_DTE!I19),"-")</f>
        <v>3137.9728877777775</v>
      </c>
      <c r="J19" s="105">
        <f>IFERROR(IF(ISBLANK(Current_DTE!J19),INDEX(Minutes_by_use_case!$B$2:$B$9,MATCH($B19,Minutes_by_use_case!$A$2:$A$9,0)),Current_DTE!J19),"-")</f>
        <v>3137.9728877777775</v>
      </c>
      <c r="K19" s="105">
        <f>IFERROR(IF(ISBLANK(Current_DTE!K19),INDEX(Minutes_by_use_case!$B$2:$B$9,MATCH($B19,Minutes_by_use_case!$A$2:$A$9,0)),Current_DTE!K19),"-")</f>
        <v>3137.9728877777775</v>
      </c>
      <c r="L19" s="105">
        <f>IFERROR(IF(ISBLANK(Current_DTE!L19),INDEX(Minutes_by_use_case!$B$2:$B$9,MATCH($B19,Minutes_by_use_case!$A$2:$A$9,0)),Current_DTE!L19),"-")</f>
        <v>3137.9728877777775</v>
      </c>
      <c r="M19" s="105">
        <f>IFERROR(IF(ISBLANK(Current_DTE!M19),INDEX(Minutes_by_use_case!$B$2:$B$9,MATCH($B19,Minutes_by_use_case!$A$2:$A$9,0)),Current_DTE!M19),"-")</f>
        <v>3137.9728877777775</v>
      </c>
      <c r="N19" s="105">
        <f>IFERROR(IF(ISBLANK(Current_DTE!N19),INDEX(Minutes_by_use_case!$B$2:$B$9,MATCH($B19,Minutes_by_use_case!$A$2:$A$9,0)),Current_DTE!N19),"-")</f>
        <v>3137.9728877777775</v>
      </c>
      <c r="O19" s="105">
        <f>IFERROR(IF(ISBLANK(Current_DTE!O19),INDEX(Minutes_by_use_case!$B$2:$B$9,MATCH($B19,Minutes_by_use_case!$A$2:$A$9,0)),Current_DTE!O19),"-")</f>
        <v>3137.9728877777775</v>
      </c>
      <c r="P19" s="105">
        <f>IFERROR(IF(ISBLANK(Current_DTE!P19),INDEX(Minutes_by_use_case!$B$2:$B$9,MATCH($B19,Minutes_by_use_case!$A$2:$A$9,0)),Current_DTE!P19),"-")</f>
        <v>3137.9728877777775</v>
      </c>
      <c r="Q19" s="105">
        <f>IFERROR(IF(ISBLANK(Current_DTE!Q19),INDEX(Minutes_by_use_case!$B$2:$B$9,MATCH($B19,Minutes_by_use_case!$A$2:$A$9,0)),Current_DTE!Q19),"-")</f>
        <v>3137.9728877777775</v>
      </c>
      <c r="R19" s="105">
        <f>IFERROR(IF(ISBLANK(Current_DTE!R19),INDEX(Minutes_by_use_case!$B$2:$B$9,MATCH($B19,Minutes_by_use_case!$A$2:$A$9,0)),Current_DTE!R19),"-")</f>
        <v>3137.9728877777775</v>
      </c>
      <c r="S19" s="105">
        <f>IFERROR(IF(ISBLANK(Current_DTE!S19),INDEX(Minutes_by_use_case!$B$2:$B$9,MATCH($B19,Minutes_by_use_case!$A$2:$A$9,0)),Current_DTE!S19),"-")</f>
        <v>3137.9728877777775</v>
      </c>
      <c r="T19" s="105">
        <f>IFERROR(IF(ISBLANK(Current_DTE!T19),INDEX(Minutes_by_use_case!$B$2:$B$9,MATCH($B19,Minutes_by_use_case!$A$2:$A$9,0)),Current_DTE!T19),"-")</f>
        <v>3137.9728877777775</v>
      </c>
      <c r="U19" s="105">
        <f>IFERROR(IF(ISBLANK(Current_DTE!U19),INDEX(Minutes_by_use_case!$B$2:$B$9,MATCH($B19,Minutes_by_use_case!$A$2:$A$9,0)),Current_DTE!U19),"-")</f>
        <v>3137.9728877777775</v>
      </c>
      <c r="V19" s="105">
        <f>IFERROR(IF(ISBLANK(Current_DTE!V19),INDEX(Minutes_by_use_case!$B$2:$B$9,MATCH($B19,Minutes_by_use_case!$A$2:$A$9,0)),Current_DTE!V19),"-")</f>
        <v>3137.9728877777775</v>
      </c>
    </row>
    <row r="20" spans="1:22" x14ac:dyDescent="0.3">
      <c r="A20" s="29" t="s">
        <v>21</v>
      </c>
      <c r="B20" s="30" t="s">
        <v>41</v>
      </c>
      <c r="C20" s="105">
        <f>IFERROR(IF(ISBLANK(Current_DTE!C20),INDEX(Minutes_by_use_case!$B$2:$B$9,MATCH($B20,Minutes_by_use_case!$A$2:$A$9,0)),Current_DTE!C20),"-")</f>
        <v>3653.0924999999997</v>
      </c>
      <c r="D20" s="105">
        <f>IFERROR(IF(ISBLANK(Current_DTE!D20),INDEX(Minutes_by_use_case!$B$2:$B$9,MATCH($B20,Minutes_by_use_case!$A$2:$A$9,0)),Current_DTE!D20),"-")</f>
        <v>3468.0533333333337</v>
      </c>
      <c r="E20" s="105">
        <f>IFERROR(IF(ISBLANK(Current_DTE!E20),INDEX(Minutes_by_use_case!$B$2:$B$9,MATCH($B20,Minutes_by_use_case!$A$2:$A$9,0)),Current_DTE!E20),"-")</f>
        <v>3224.0014777777778</v>
      </c>
      <c r="F20" s="105">
        <f>IFERROR(IF(ISBLANK(Current_DTE!F20),INDEX(Minutes_by_use_case!$B$2:$B$9,MATCH($B20,Minutes_by_use_case!$A$2:$A$9,0)),Current_DTE!F20),"-")</f>
        <v>3454.7784394444448</v>
      </c>
      <c r="G20" s="105">
        <f>IFERROR(IF(ISBLANK(Current_DTE!G20),INDEX(Minutes_by_use_case!$B$2:$B$9,MATCH($B20,Minutes_by_use_case!$A$2:$A$9,0)),Current_DTE!G20),"-")</f>
        <v>3454.7784394444448</v>
      </c>
      <c r="H20" s="105">
        <f>IFERROR(IF(ISBLANK(Current_DTE!H20),INDEX(Minutes_by_use_case!$B$2:$B$9,MATCH($B20,Minutes_by_use_case!$A$2:$A$9,0)),Current_DTE!H20),"-")</f>
        <v>3454.7784394444448</v>
      </c>
      <c r="I20" s="105">
        <f>IFERROR(IF(ISBLANK(Current_DTE!I20),INDEX(Minutes_by_use_case!$B$2:$B$9,MATCH($B20,Minutes_by_use_case!$A$2:$A$9,0)),Current_DTE!I20),"-")</f>
        <v>3454.7784394444448</v>
      </c>
      <c r="J20" s="105">
        <f>IFERROR(IF(ISBLANK(Current_DTE!J20),INDEX(Minutes_by_use_case!$B$2:$B$9,MATCH($B20,Minutes_by_use_case!$A$2:$A$9,0)),Current_DTE!J20),"-")</f>
        <v>3454.7784394444448</v>
      </c>
      <c r="K20" s="105">
        <f>IFERROR(IF(ISBLANK(Current_DTE!K20),INDEX(Minutes_by_use_case!$B$2:$B$9,MATCH($B20,Minutes_by_use_case!$A$2:$A$9,0)),Current_DTE!K20),"-")</f>
        <v>3454.7784394444448</v>
      </c>
      <c r="L20" s="105">
        <f>IFERROR(IF(ISBLANK(Current_DTE!L20),INDEX(Minutes_by_use_case!$B$2:$B$9,MATCH($B20,Minutes_by_use_case!$A$2:$A$9,0)),Current_DTE!L20),"-")</f>
        <v>3454.7784394444448</v>
      </c>
      <c r="M20" s="105">
        <f>IFERROR(IF(ISBLANK(Current_DTE!M20),INDEX(Minutes_by_use_case!$B$2:$B$9,MATCH($B20,Minutes_by_use_case!$A$2:$A$9,0)),Current_DTE!M20),"-")</f>
        <v>3454.7784394444448</v>
      </c>
      <c r="N20" s="105">
        <f>IFERROR(IF(ISBLANK(Current_DTE!N20),INDEX(Minutes_by_use_case!$B$2:$B$9,MATCH($B20,Minutes_by_use_case!$A$2:$A$9,0)),Current_DTE!N20),"-")</f>
        <v>3454.7784394444448</v>
      </c>
      <c r="O20" s="105">
        <f>IFERROR(IF(ISBLANK(Current_DTE!O20),INDEX(Minutes_by_use_case!$B$2:$B$9,MATCH($B20,Minutes_by_use_case!$A$2:$A$9,0)),Current_DTE!O20),"-")</f>
        <v>3454.7784394444448</v>
      </c>
      <c r="P20" s="105">
        <f>IFERROR(IF(ISBLANK(Current_DTE!P20),INDEX(Minutes_by_use_case!$B$2:$B$9,MATCH($B20,Minutes_by_use_case!$A$2:$A$9,0)),Current_DTE!P20),"-")</f>
        <v>3454.7784394444448</v>
      </c>
      <c r="Q20" s="105">
        <f>IFERROR(IF(ISBLANK(Current_DTE!Q20),INDEX(Minutes_by_use_case!$B$2:$B$9,MATCH($B20,Minutes_by_use_case!$A$2:$A$9,0)),Current_DTE!Q20),"-")</f>
        <v>3454.7784394444448</v>
      </c>
      <c r="R20" s="105">
        <f>IFERROR(IF(ISBLANK(Current_DTE!R20),INDEX(Minutes_by_use_case!$B$2:$B$9,MATCH($B20,Minutes_by_use_case!$A$2:$A$9,0)),Current_DTE!R20),"-")</f>
        <v>3454.7784394444448</v>
      </c>
      <c r="S20" s="105">
        <f>IFERROR(IF(ISBLANK(Current_DTE!S20),INDEX(Minutes_by_use_case!$B$2:$B$9,MATCH($B20,Minutes_by_use_case!$A$2:$A$9,0)),Current_DTE!S20),"-")</f>
        <v>3454.7784394444448</v>
      </c>
      <c r="T20" s="105">
        <f>IFERROR(IF(ISBLANK(Current_DTE!T20),INDEX(Minutes_by_use_case!$B$2:$B$9,MATCH($B20,Minutes_by_use_case!$A$2:$A$9,0)),Current_DTE!T20),"-")</f>
        <v>3454.7784394444448</v>
      </c>
      <c r="U20" s="105">
        <f>IFERROR(IF(ISBLANK(Current_DTE!U20),INDEX(Minutes_by_use_case!$B$2:$B$9,MATCH($B20,Minutes_by_use_case!$A$2:$A$9,0)),Current_DTE!U20),"-")</f>
        <v>3454.7784394444448</v>
      </c>
      <c r="V20" s="105">
        <f>IFERROR(IF(ISBLANK(Current_DTE!V20),INDEX(Minutes_by_use_case!$B$2:$B$9,MATCH($B20,Minutes_by_use_case!$A$2:$A$9,0)),Current_DTE!V20),"-")</f>
        <v>3454.7784394444448</v>
      </c>
    </row>
    <row r="21" spans="1:22" x14ac:dyDescent="0.3">
      <c r="A21" s="29" t="s">
        <v>24</v>
      </c>
      <c r="B21" s="42" t="s">
        <v>42</v>
      </c>
      <c r="C21" s="105">
        <f>IFERROR(IF(ISBLANK(Current_DTE!C21),INDEX(Minutes_by_use_case!$B$2:$B$9,MATCH($B21,Minutes_by_use_case!$A$2:$A$9,0)),Current_DTE!C21),"-")</f>
        <v>721.11352444444435</v>
      </c>
      <c r="D21" s="105">
        <f>IFERROR(IF(ISBLANK(Current_DTE!D21),INDEX(Minutes_by_use_case!$B$2:$B$9,MATCH($B21,Minutes_by_use_case!$A$2:$A$9,0)),Current_DTE!D21),"-")</f>
        <v>721.11352444444435</v>
      </c>
      <c r="E21" s="105">
        <f>IFERROR(IF(ISBLANK(Current_DTE!E21),INDEX(Minutes_by_use_case!$B$2:$B$9,MATCH($B21,Minutes_by_use_case!$A$2:$A$9,0)),Current_DTE!E21),"-")</f>
        <v>721.11352444444435</v>
      </c>
      <c r="F21" s="105">
        <f>IFERROR(IF(ISBLANK(Current_DTE!F21),INDEX(Minutes_by_use_case!$B$2:$B$9,MATCH($B21,Minutes_by_use_case!$A$2:$A$9,0)),Current_DTE!F21),"-")</f>
        <v>721.11352444444435</v>
      </c>
      <c r="G21" s="105">
        <f>IFERROR(IF(ISBLANK(Current_DTE!G21),INDEX(Minutes_by_use_case!$B$2:$B$9,MATCH($B21,Minutes_by_use_case!$A$2:$A$9,0)),Current_DTE!G21),"-")</f>
        <v>721.11352444444435</v>
      </c>
      <c r="H21" s="105">
        <f>IFERROR(IF(ISBLANK(Current_DTE!H21),INDEX(Minutes_by_use_case!$B$2:$B$9,MATCH($B21,Minutes_by_use_case!$A$2:$A$9,0)),Current_DTE!H21),"-")</f>
        <v>721.11352444444435</v>
      </c>
      <c r="I21" s="105">
        <f>IFERROR(IF(ISBLANK(Current_DTE!I21),INDEX(Minutes_by_use_case!$B$2:$B$9,MATCH($B21,Minutes_by_use_case!$A$2:$A$9,0)),Current_DTE!I21),"-")</f>
        <v>721.11352444444435</v>
      </c>
      <c r="J21" s="105">
        <f>IFERROR(IF(ISBLANK(Current_DTE!J21),INDEX(Minutes_by_use_case!$B$2:$B$9,MATCH($B21,Minutes_by_use_case!$A$2:$A$9,0)),Current_DTE!J21),"-")</f>
        <v>721.11352444444435</v>
      </c>
      <c r="K21" s="105">
        <f>IFERROR(IF(ISBLANK(Current_DTE!K21),INDEX(Minutes_by_use_case!$B$2:$B$9,MATCH($B21,Minutes_by_use_case!$A$2:$A$9,0)),Current_DTE!K21),"-")</f>
        <v>721.11352444444435</v>
      </c>
      <c r="L21" s="105">
        <f>IFERROR(IF(ISBLANK(Current_DTE!L21),INDEX(Minutes_by_use_case!$B$2:$B$9,MATCH($B21,Minutes_by_use_case!$A$2:$A$9,0)),Current_DTE!L21),"-")</f>
        <v>721.11352444444435</v>
      </c>
      <c r="M21" s="105">
        <f>IFERROR(IF(ISBLANK(Current_DTE!M21),INDEX(Minutes_by_use_case!$B$2:$B$9,MATCH($B21,Minutes_by_use_case!$A$2:$A$9,0)),Current_DTE!M21),"-")</f>
        <v>721.11352444444435</v>
      </c>
      <c r="N21" s="105">
        <f>IFERROR(IF(ISBLANK(Current_DTE!N21),INDEX(Minutes_by_use_case!$B$2:$B$9,MATCH($B21,Minutes_by_use_case!$A$2:$A$9,0)),Current_DTE!N21),"-")</f>
        <v>721.11352444444435</v>
      </c>
      <c r="O21" s="105">
        <f>IFERROR(IF(ISBLANK(Current_DTE!O21),INDEX(Minutes_by_use_case!$B$2:$B$9,MATCH($B21,Minutes_by_use_case!$A$2:$A$9,0)),Current_DTE!O21),"-")</f>
        <v>721.11352444444435</v>
      </c>
      <c r="P21" s="105">
        <f>IFERROR(IF(ISBLANK(Current_DTE!P21),INDEX(Minutes_by_use_case!$B$2:$B$9,MATCH($B21,Minutes_by_use_case!$A$2:$A$9,0)),Current_DTE!P21),"-")</f>
        <v>721.11352444444435</v>
      </c>
      <c r="Q21" s="105">
        <f>IFERROR(IF(ISBLANK(Current_DTE!Q21),INDEX(Minutes_by_use_case!$B$2:$B$9,MATCH($B21,Minutes_by_use_case!$A$2:$A$9,0)),Current_DTE!Q21),"-")</f>
        <v>721.11352444444435</v>
      </c>
      <c r="R21" s="105">
        <f>IFERROR(IF(ISBLANK(Current_DTE!R21),INDEX(Minutes_by_use_case!$B$2:$B$9,MATCH($B21,Minutes_by_use_case!$A$2:$A$9,0)),Current_DTE!R21),"-")</f>
        <v>721.11352444444435</v>
      </c>
      <c r="S21" s="105">
        <f>IFERROR(IF(ISBLANK(Current_DTE!S21),INDEX(Minutes_by_use_case!$B$2:$B$9,MATCH($B21,Minutes_by_use_case!$A$2:$A$9,0)),Current_DTE!S21),"-")</f>
        <v>721.11352444444435</v>
      </c>
      <c r="T21" s="105">
        <f>IFERROR(IF(ISBLANK(Current_DTE!T21),INDEX(Minutes_by_use_case!$B$2:$B$9,MATCH($B21,Minutes_by_use_case!$A$2:$A$9,0)),Current_DTE!T21),"-")</f>
        <v>721.11352444444435</v>
      </c>
      <c r="U21" s="105">
        <f>IFERROR(IF(ISBLANK(Current_DTE!U21),INDEX(Minutes_by_use_case!$B$2:$B$9,MATCH($B21,Minutes_by_use_case!$A$2:$A$9,0)),Current_DTE!U21),"-")</f>
        <v>721.11352444444435</v>
      </c>
      <c r="V21" s="105">
        <f>IFERROR(IF(ISBLANK(Current_DTE!V21),INDEX(Minutes_by_use_case!$B$2:$B$9,MATCH($B21,Minutes_by_use_case!$A$2:$A$9,0)),Current_DTE!V21),"-")</f>
        <v>721.11352444444435</v>
      </c>
    </row>
    <row r="22" spans="1:22" x14ac:dyDescent="0.3">
      <c r="A22" s="29" t="s">
        <v>57</v>
      </c>
      <c r="B22" s="30" t="s">
        <v>41</v>
      </c>
      <c r="C22" s="105">
        <f>IFERROR(IF(ISBLANK(Current_DTE!C22),INDEX(Minutes_by_use_case!$B$2:$B$9,MATCH($B22,Minutes_by_use_case!$A$2:$A$9,0)),Current_DTE!C22),"-")</f>
        <v>133409.35004928565</v>
      </c>
      <c r="D22" s="105">
        <f>IFERROR(IF(ISBLANK(Current_DTE!D22),INDEX(Minutes_by_use_case!$B$2:$B$9,MATCH($B22,Minutes_by_use_case!$A$2:$A$9,0)),Current_DTE!D22),"-")</f>
        <v>133409.35004928565</v>
      </c>
      <c r="E22" s="105">
        <f>IFERROR(IF(ISBLANK(Current_DTE!E22),INDEX(Minutes_by_use_case!$B$2:$B$9,MATCH($B22,Minutes_by_use_case!$A$2:$A$9,0)),Current_DTE!E22),"-")</f>
        <v>133409.35004928565</v>
      </c>
      <c r="F22" s="105">
        <f>IFERROR(IF(ISBLANK(Current_DTE!F22),INDEX(Minutes_by_use_case!$B$2:$B$9,MATCH($B22,Minutes_by_use_case!$A$2:$A$9,0)),Current_DTE!F22),"-")</f>
        <v>133409.35004928565</v>
      </c>
      <c r="G22" s="105">
        <f>IFERROR(IF(ISBLANK(Current_DTE!G22),INDEX(Minutes_by_use_case!$B$2:$B$9,MATCH($B22,Minutes_by_use_case!$A$2:$A$9,0)),Current_DTE!G22),"-")</f>
        <v>133409.35004928565</v>
      </c>
      <c r="H22" s="105">
        <f>IFERROR(IF(ISBLANK(Current_DTE!H22),INDEX(Minutes_by_use_case!$B$2:$B$9,MATCH($B22,Minutes_by_use_case!$A$2:$A$9,0)),Current_DTE!H22),"-")</f>
        <v>133409.35004928565</v>
      </c>
      <c r="I22" s="105">
        <f>IFERROR(IF(ISBLANK(Current_DTE!I22),INDEX(Minutes_by_use_case!$B$2:$B$9,MATCH($B22,Minutes_by_use_case!$A$2:$A$9,0)),Current_DTE!I22),"-")</f>
        <v>133409.35004928565</v>
      </c>
      <c r="J22" s="105">
        <f>IFERROR(IF(ISBLANK(Current_DTE!J22),INDEX(Minutes_by_use_case!$B$2:$B$9,MATCH($B22,Minutes_by_use_case!$A$2:$A$9,0)),Current_DTE!J22),"-")</f>
        <v>133409.35004928565</v>
      </c>
      <c r="K22" s="105">
        <f>IFERROR(IF(ISBLANK(Current_DTE!K22),INDEX(Minutes_by_use_case!$B$2:$B$9,MATCH($B22,Minutes_by_use_case!$A$2:$A$9,0)),Current_DTE!K22),"-")</f>
        <v>133409.35004928565</v>
      </c>
      <c r="L22" s="105">
        <f>IFERROR(IF(ISBLANK(Current_DTE!L22),INDEX(Minutes_by_use_case!$B$2:$B$9,MATCH($B22,Minutes_by_use_case!$A$2:$A$9,0)),Current_DTE!L22),"-")</f>
        <v>133409.35004928565</v>
      </c>
      <c r="M22" s="105">
        <f>IFERROR(IF(ISBLANK(Current_DTE!M22),INDEX(Minutes_by_use_case!$B$2:$B$9,MATCH($B22,Minutes_by_use_case!$A$2:$A$9,0)),Current_DTE!M22),"-")</f>
        <v>133409.35004928565</v>
      </c>
      <c r="N22" s="105">
        <f>IFERROR(IF(ISBLANK(Current_DTE!N22),INDEX(Minutes_by_use_case!$B$2:$B$9,MATCH($B22,Minutes_by_use_case!$A$2:$A$9,0)),Current_DTE!N22),"-")</f>
        <v>133409.35004928565</v>
      </c>
      <c r="O22" s="105">
        <f>IFERROR(IF(ISBLANK(Current_DTE!O22),INDEX(Minutes_by_use_case!$B$2:$B$9,MATCH($B22,Minutes_by_use_case!$A$2:$A$9,0)),Current_DTE!O22),"-")</f>
        <v>133409.35004928565</v>
      </c>
      <c r="P22" s="105">
        <f>IFERROR(IF(ISBLANK(Current_DTE!P22),INDEX(Minutes_by_use_case!$B$2:$B$9,MATCH($B22,Minutes_by_use_case!$A$2:$A$9,0)),Current_DTE!P22),"-")</f>
        <v>133409.35004928565</v>
      </c>
      <c r="Q22" s="105">
        <f>IFERROR(IF(ISBLANK(Current_DTE!Q22),INDEX(Minutes_by_use_case!$B$2:$B$9,MATCH($B22,Minutes_by_use_case!$A$2:$A$9,0)),Current_DTE!Q22),"-")</f>
        <v>133409.35004928565</v>
      </c>
      <c r="R22" s="105">
        <f>IFERROR(IF(ISBLANK(Current_DTE!R22),INDEX(Minutes_by_use_case!$B$2:$B$9,MATCH($B22,Minutes_by_use_case!$A$2:$A$9,0)),Current_DTE!R22),"-")</f>
        <v>133409.35004928565</v>
      </c>
      <c r="S22" s="105">
        <f>IFERROR(IF(ISBLANK(Current_DTE!S22),INDEX(Minutes_by_use_case!$B$2:$B$9,MATCH($B22,Minutes_by_use_case!$A$2:$A$9,0)),Current_DTE!S22),"-")</f>
        <v>133409.35004928565</v>
      </c>
      <c r="T22" s="105">
        <f>IFERROR(IF(ISBLANK(Current_DTE!T22),INDEX(Minutes_by_use_case!$B$2:$B$9,MATCH($B22,Minutes_by_use_case!$A$2:$A$9,0)),Current_DTE!T22),"-")</f>
        <v>133409.35004928565</v>
      </c>
      <c r="U22" s="105">
        <f>IFERROR(IF(ISBLANK(Current_DTE!U22),INDEX(Minutes_by_use_case!$B$2:$B$9,MATCH($B22,Minutes_by_use_case!$A$2:$A$9,0)),Current_DTE!U22),"-")</f>
        <v>133409.35004928565</v>
      </c>
      <c r="V22" s="105">
        <f>IFERROR(IF(ISBLANK(Current_DTE!V22),INDEX(Minutes_by_use_case!$B$2:$B$9,MATCH($B22,Minutes_by_use_case!$A$2:$A$9,0)),Current_DTE!V22),"-")</f>
        <v>133409.35004928565</v>
      </c>
    </row>
    <row r="23" spans="1:22" x14ac:dyDescent="0.3">
      <c r="A23" s="29" t="s">
        <v>22</v>
      </c>
      <c r="B23" s="30" t="s">
        <v>41</v>
      </c>
      <c r="C23" s="105">
        <f>IFERROR(IF(ISBLANK(Current_DTE!C23),INDEX(Minutes_by_use_case!$B$2:$B$9,MATCH($B23,Minutes_by_use_case!$A$2:$A$9,0)),Current_DTE!C23),"-")</f>
        <v>21.986611111111113</v>
      </c>
      <c r="D23" s="105">
        <f>IFERROR(IF(ISBLANK(Current_DTE!D23),INDEX(Minutes_by_use_case!$B$2:$B$9,MATCH($B23,Minutes_by_use_case!$A$2:$A$9,0)),Current_DTE!D23),"-")</f>
        <v>1.1333333333333333</v>
      </c>
      <c r="E23" s="105">
        <f>IFERROR(IF(ISBLANK(Current_DTE!E23),INDEX(Minutes_by_use_case!$B$2:$B$9,MATCH($B23,Minutes_by_use_case!$A$2:$A$9,0)),Current_DTE!E23),"-")</f>
        <v>3.7333333333333334</v>
      </c>
      <c r="F23" s="105">
        <f>IFERROR(IF(ISBLANK(Current_DTE!F23),INDEX(Minutes_by_use_case!$B$2:$B$9,MATCH($B23,Minutes_by_use_case!$A$2:$A$9,0)),Current_DTE!F23),"-")</f>
        <v>23.303841111111115</v>
      </c>
      <c r="G23" s="105">
        <f>IFERROR(IF(ISBLANK(Current_DTE!G23),INDEX(Minutes_by_use_case!$B$2:$B$9,MATCH($B23,Minutes_by_use_case!$A$2:$A$9,0)),Current_DTE!G23),"-")</f>
        <v>23.303841111111115</v>
      </c>
      <c r="H23" s="105">
        <f>IFERROR(IF(ISBLANK(Current_DTE!H23),INDEX(Minutes_by_use_case!$B$2:$B$9,MATCH($B23,Minutes_by_use_case!$A$2:$A$9,0)),Current_DTE!H23),"-")</f>
        <v>23.303841111111115</v>
      </c>
      <c r="I23" s="105">
        <f>IFERROR(IF(ISBLANK(Current_DTE!I23),INDEX(Minutes_by_use_case!$B$2:$B$9,MATCH($B23,Minutes_by_use_case!$A$2:$A$9,0)),Current_DTE!I23),"-")</f>
        <v>23.303841111111115</v>
      </c>
      <c r="J23" s="105">
        <f>IFERROR(IF(ISBLANK(Current_DTE!J23),INDEX(Minutes_by_use_case!$B$2:$B$9,MATCH($B23,Minutes_by_use_case!$A$2:$A$9,0)),Current_DTE!J23),"-")</f>
        <v>23.303841111111115</v>
      </c>
      <c r="K23" s="105">
        <f>IFERROR(IF(ISBLANK(Current_DTE!K23),INDEX(Minutes_by_use_case!$B$2:$B$9,MATCH($B23,Minutes_by_use_case!$A$2:$A$9,0)),Current_DTE!K23),"-")</f>
        <v>23.303841111111115</v>
      </c>
      <c r="L23" s="105">
        <f>IFERROR(IF(ISBLANK(Current_DTE!L23),INDEX(Minutes_by_use_case!$B$2:$B$9,MATCH($B23,Minutes_by_use_case!$A$2:$A$9,0)),Current_DTE!L23),"-")</f>
        <v>23.303841111111115</v>
      </c>
      <c r="M23" s="105">
        <f>IFERROR(IF(ISBLANK(Current_DTE!M23),INDEX(Minutes_by_use_case!$B$2:$B$9,MATCH($B23,Minutes_by_use_case!$A$2:$A$9,0)),Current_DTE!M23),"-")</f>
        <v>23.303841111111115</v>
      </c>
      <c r="N23" s="105">
        <f>IFERROR(IF(ISBLANK(Current_DTE!N23),INDEX(Minutes_by_use_case!$B$2:$B$9,MATCH($B23,Minutes_by_use_case!$A$2:$A$9,0)),Current_DTE!N23),"-")</f>
        <v>23.303841111111115</v>
      </c>
      <c r="O23" s="105">
        <f>IFERROR(IF(ISBLANK(Current_DTE!O23),INDEX(Minutes_by_use_case!$B$2:$B$9,MATCH($B23,Minutes_by_use_case!$A$2:$A$9,0)),Current_DTE!O23),"-")</f>
        <v>23.303841111111115</v>
      </c>
      <c r="P23" s="105">
        <f>IFERROR(IF(ISBLANK(Current_DTE!P23),INDEX(Minutes_by_use_case!$B$2:$B$9,MATCH($B23,Minutes_by_use_case!$A$2:$A$9,0)),Current_DTE!P23),"-")</f>
        <v>23.303841111111115</v>
      </c>
      <c r="Q23" s="105">
        <f>IFERROR(IF(ISBLANK(Current_DTE!Q23),INDEX(Minutes_by_use_case!$B$2:$B$9,MATCH($B23,Minutes_by_use_case!$A$2:$A$9,0)),Current_DTE!Q23),"-")</f>
        <v>23.303841111111115</v>
      </c>
      <c r="R23" s="105">
        <f>IFERROR(IF(ISBLANK(Current_DTE!R23),INDEX(Minutes_by_use_case!$B$2:$B$9,MATCH($B23,Minutes_by_use_case!$A$2:$A$9,0)),Current_DTE!R23),"-")</f>
        <v>23.303841111111115</v>
      </c>
      <c r="S23" s="105">
        <f>IFERROR(IF(ISBLANK(Current_DTE!S23),INDEX(Minutes_by_use_case!$B$2:$B$9,MATCH($B23,Minutes_by_use_case!$A$2:$A$9,0)),Current_DTE!S23),"-")</f>
        <v>23.303841111111115</v>
      </c>
      <c r="T23" s="105">
        <f>IFERROR(IF(ISBLANK(Current_DTE!T23),INDEX(Minutes_by_use_case!$B$2:$B$9,MATCH($B23,Minutes_by_use_case!$A$2:$A$9,0)),Current_DTE!T23),"-")</f>
        <v>23.303841111111115</v>
      </c>
      <c r="U23" s="105">
        <f>IFERROR(IF(ISBLANK(Current_DTE!U23),INDEX(Minutes_by_use_case!$B$2:$B$9,MATCH($B23,Minutes_by_use_case!$A$2:$A$9,0)),Current_DTE!U23),"-")</f>
        <v>23.303841111111115</v>
      </c>
      <c r="V23" s="105">
        <f>IFERROR(IF(ISBLANK(Current_DTE!V23),INDEX(Minutes_by_use_case!$B$2:$B$9,MATCH($B23,Minutes_by_use_case!$A$2:$A$9,0)),Current_DTE!V23),"-")</f>
        <v>23.303841111111115</v>
      </c>
    </row>
    <row r="24" spans="1:22" s="86" customFormat="1" x14ac:dyDescent="0.3">
      <c r="A24" s="100" t="s">
        <v>23</v>
      </c>
      <c r="B24" s="101" t="s">
        <v>43</v>
      </c>
      <c r="C24" s="105">
        <f>IFERROR(IF(ISBLANK(Current_DTE!C24),INDEX(Minutes_by_use_case!$B$2:$B$9,MATCH($B24,Minutes_by_use_case!$A$2:$A$9,0)),Current_DTE!C24),"-")</f>
        <v>7757.52</v>
      </c>
      <c r="D24" s="105">
        <f>IFERROR(IF(ISBLANK(Current_DTE!D24),INDEX(Minutes_by_use_case!$B$2:$B$9,MATCH($B24,Minutes_by_use_case!$A$2:$A$9,0)),Current_DTE!D24),"-")</f>
        <v>7884.0724999999993</v>
      </c>
      <c r="E24" s="105">
        <f>IFERROR(IF(ISBLANK(Current_DTE!E24),INDEX(Minutes_by_use_case!$B$2:$B$9,MATCH($B24,Minutes_by_use_case!$A$2:$A$9,0)),Current_DTE!E24),"-")</f>
        <v>7411.0455555555554</v>
      </c>
      <c r="F24" s="105">
        <f>IFERROR(IF(ISBLANK(Current_DTE!F24),INDEX(Minutes_by_use_case!$B$2:$B$9,MATCH($B24,Minutes_by_use_case!$A$2:$A$9,0)),Current_DTE!F24),"-")</f>
        <v>7749.4853583333334</v>
      </c>
      <c r="G24" s="105">
        <f>IFERROR(IF(ISBLANK(Current_DTE!G24),INDEX(Minutes_by_use_case!$B$2:$B$9,MATCH($B24,Minutes_by_use_case!$A$2:$A$9,0)),Current_DTE!G24),"-")</f>
        <v>7749.4853583333334</v>
      </c>
      <c r="H24" s="105">
        <f>IFERROR(IF(ISBLANK(Current_DTE!H24),INDEX(Minutes_by_use_case!$B$2:$B$9,MATCH($B24,Minutes_by_use_case!$A$2:$A$9,0)),Current_DTE!H24),"-")</f>
        <v>7749.4853583333334</v>
      </c>
      <c r="I24" s="105">
        <f>IFERROR(IF(ISBLANK(Current_DTE!I24),INDEX(Minutes_by_use_case!$B$2:$B$9,MATCH($B24,Minutes_by_use_case!$A$2:$A$9,0)),Current_DTE!I24),"-")</f>
        <v>7749.4853583333334</v>
      </c>
      <c r="J24" s="105">
        <f>IFERROR(IF(ISBLANK(Current_DTE!J24),INDEX(Minutes_by_use_case!$B$2:$B$9,MATCH($B24,Minutes_by_use_case!$A$2:$A$9,0)),Current_DTE!J24),"-")</f>
        <v>7749.4853583333334</v>
      </c>
      <c r="K24" s="105">
        <f>IFERROR(IF(ISBLANK(Current_DTE!K24),INDEX(Minutes_by_use_case!$B$2:$B$9,MATCH($B24,Minutes_by_use_case!$A$2:$A$9,0)),Current_DTE!K24),"-")</f>
        <v>7749.4853583333334</v>
      </c>
      <c r="L24" s="105">
        <f>IFERROR(IF(ISBLANK(Current_DTE!L24),INDEX(Minutes_by_use_case!$B$2:$B$9,MATCH($B24,Minutes_by_use_case!$A$2:$A$9,0)),Current_DTE!L24),"-")</f>
        <v>7749.4853583333334</v>
      </c>
      <c r="M24" s="105">
        <f>IFERROR(IF(ISBLANK(Current_DTE!M24),INDEX(Minutes_by_use_case!$B$2:$B$9,MATCH($B24,Minutes_by_use_case!$A$2:$A$9,0)),Current_DTE!M24),"-")</f>
        <v>7749.4853583333334</v>
      </c>
      <c r="N24" s="105">
        <f>IFERROR(IF(ISBLANK(Current_DTE!N24),INDEX(Minutes_by_use_case!$B$2:$B$9,MATCH($B24,Minutes_by_use_case!$A$2:$A$9,0)),Current_DTE!N24),"-")</f>
        <v>7749.4853583333334</v>
      </c>
      <c r="O24" s="105">
        <f>IFERROR(IF(ISBLANK(Current_DTE!O24),INDEX(Minutes_by_use_case!$B$2:$B$9,MATCH($B24,Minutes_by_use_case!$A$2:$A$9,0)),Current_DTE!O24),"-")</f>
        <v>7749.4853583333334</v>
      </c>
      <c r="P24" s="105">
        <f>IFERROR(IF(ISBLANK(Current_DTE!P24),INDEX(Minutes_by_use_case!$B$2:$B$9,MATCH($B24,Minutes_by_use_case!$A$2:$A$9,0)),Current_DTE!P24),"-")</f>
        <v>7749.4853583333334</v>
      </c>
      <c r="Q24" s="105">
        <f>IFERROR(IF(ISBLANK(Current_DTE!Q24),INDEX(Minutes_by_use_case!$B$2:$B$9,MATCH($B24,Minutes_by_use_case!$A$2:$A$9,0)),Current_DTE!Q24),"-")</f>
        <v>7749.4853583333334</v>
      </c>
      <c r="R24" s="105">
        <f>IFERROR(IF(ISBLANK(Current_DTE!R24),INDEX(Minutes_by_use_case!$B$2:$B$9,MATCH($B24,Minutes_by_use_case!$A$2:$A$9,0)),Current_DTE!R24),"-")</f>
        <v>7749.4853583333334</v>
      </c>
      <c r="S24" s="105">
        <f>IFERROR(IF(ISBLANK(Current_DTE!S24),INDEX(Minutes_by_use_case!$B$2:$B$9,MATCH($B24,Minutes_by_use_case!$A$2:$A$9,0)),Current_DTE!S24),"-")</f>
        <v>7749.4853583333334</v>
      </c>
      <c r="T24" s="105">
        <f>IFERROR(IF(ISBLANK(Current_DTE!T24),INDEX(Minutes_by_use_case!$B$2:$B$9,MATCH($B24,Minutes_by_use_case!$A$2:$A$9,0)),Current_DTE!T24),"-")</f>
        <v>7749.4853583333334</v>
      </c>
      <c r="U24" s="105">
        <f>IFERROR(IF(ISBLANK(Current_DTE!U24),INDEX(Minutes_by_use_case!$B$2:$B$9,MATCH($B24,Minutes_by_use_case!$A$2:$A$9,0)),Current_DTE!U24),"-")</f>
        <v>7749.4853583333334</v>
      </c>
      <c r="V24" s="105">
        <f>IFERROR(IF(ISBLANK(Current_DTE!V24),INDEX(Minutes_by_use_case!$B$2:$B$9,MATCH($B24,Minutes_by_use_case!$A$2:$A$9,0)),Current_DTE!V24),"-")</f>
        <v>7749.4853583333334</v>
      </c>
    </row>
    <row r="25" spans="1:22" x14ac:dyDescent="0.3">
      <c r="A25" s="29" t="s">
        <v>25</v>
      </c>
      <c r="B25" s="30" t="s">
        <v>44</v>
      </c>
      <c r="C25" s="105">
        <f>IFERROR(IF(ISBLANK(Current_DTE!C25),INDEX(Minutes_by_use_case!$B$2:$B$9,MATCH($B25,Minutes_by_use_case!$A$2:$A$9,0)),Current_DTE!C25),"-")</f>
        <v>0</v>
      </c>
      <c r="D25" s="105">
        <f>IFERROR(IF(ISBLANK(Current_DTE!D25),INDEX(Minutes_by_use_case!$B$2:$B$9,MATCH($B25,Minutes_by_use_case!$A$2:$A$9,0)),Current_DTE!D25),"-")</f>
        <v>0</v>
      </c>
      <c r="E25" s="105">
        <f>IFERROR(IF(ISBLANK(Current_DTE!E25),INDEX(Minutes_by_use_case!$B$2:$B$9,MATCH($B25,Minutes_by_use_case!$A$2:$A$9,0)),Current_DTE!E25),"-")</f>
        <v>0</v>
      </c>
      <c r="F25" s="105">
        <f>IFERROR(IF(ISBLANK(Current_DTE!F25),INDEX(Minutes_by_use_case!$B$2:$B$9,MATCH($B25,Minutes_by_use_case!$A$2:$A$9,0)),Current_DTE!F25),"-")</f>
        <v>0</v>
      </c>
      <c r="G25" s="105">
        <f>IFERROR(IF(ISBLANK(Current_DTE!G25),INDEX(Minutes_by_use_case!$B$2:$B$9,MATCH($B25,Minutes_by_use_case!$A$2:$A$9,0)),Current_DTE!G25),"-")</f>
        <v>0</v>
      </c>
      <c r="H25" s="105">
        <f>IFERROR(IF(ISBLANK(Current_DTE!H25),INDEX(Minutes_by_use_case!$B$2:$B$9,MATCH($B25,Minutes_by_use_case!$A$2:$A$9,0)),Current_DTE!H25),"-")</f>
        <v>0</v>
      </c>
      <c r="I25" s="105">
        <f>IFERROR(IF(ISBLANK(Current_DTE!I25),INDEX(Minutes_by_use_case!$B$2:$B$9,MATCH($B25,Minutes_by_use_case!$A$2:$A$9,0)),Current_DTE!I25),"-")</f>
        <v>0</v>
      </c>
      <c r="J25" s="105">
        <f>IFERROR(IF(ISBLANK(Current_DTE!J25),INDEX(Minutes_by_use_case!$B$2:$B$9,MATCH($B25,Minutes_by_use_case!$A$2:$A$9,0)),Current_DTE!J25),"-")</f>
        <v>0</v>
      </c>
      <c r="K25" s="105">
        <f>IFERROR(IF(ISBLANK(Current_DTE!K25),INDEX(Minutes_by_use_case!$B$2:$B$9,MATCH($B25,Minutes_by_use_case!$A$2:$A$9,0)),Current_DTE!K25),"-")</f>
        <v>0</v>
      </c>
      <c r="L25" s="105">
        <f>IFERROR(IF(ISBLANK(Current_DTE!L25),INDEX(Minutes_by_use_case!$B$2:$B$9,MATCH($B25,Minutes_by_use_case!$A$2:$A$9,0)),Current_DTE!L25),"-")</f>
        <v>0</v>
      </c>
      <c r="M25" s="105">
        <f>IFERROR(IF(ISBLANK(Current_DTE!M25),INDEX(Minutes_by_use_case!$B$2:$B$9,MATCH($B25,Minutes_by_use_case!$A$2:$A$9,0)),Current_DTE!M25),"-")</f>
        <v>0</v>
      </c>
      <c r="N25" s="105">
        <f>IFERROR(IF(ISBLANK(Current_DTE!N25),INDEX(Minutes_by_use_case!$B$2:$B$9,MATCH($B25,Minutes_by_use_case!$A$2:$A$9,0)),Current_DTE!N25),"-")</f>
        <v>0</v>
      </c>
      <c r="O25" s="105">
        <f>IFERROR(IF(ISBLANK(Current_DTE!O25),INDEX(Minutes_by_use_case!$B$2:$B$9,MATCH($B25,Minutes_by_use_case!$A$2:$A$9,0)),Current_DTE!O25),"-")</f>
        <v>0</v>
      </c>
      <c r="P25" s="105">
        <f>IFERROR(IF(ISBLANK(Current_DTE!P25),INDEX(Minutes_by_use_case!$B$2:$B$9,MATCH($B25,Minutes_by_use_case!$A$2:$A$9,0)),Current_DTE!P25),"-")</f>
        <v>0</v>
      </c>
      <c r="Q25" s="105">
        <f>IFERROR(IF(ISBLANK(Current_DTE!Q25),INDEX(Minutes_by_use_case!$B$2:$B$9,MATCH($B25,Minutes_by_use_case!$A$2:$A$9,0)),Current_DTE!Q25),"-")</f>
        <v>0</v>
      </c>
      <c r="R25" s="105">
        <f>IFERROR(IF(ISBLANK(Current_DTE!R25),INDEX(Minutes_by_use_case!$B$2:$B$9,MATCH($B25,Minutes_by_use_case!$A$2:$A$9,0)),Current_DTE!R25),"-")</f>
        <v>0</v>
      </c>
      <c r="S25" s="105">
        <f>IFERROR(IF(ISBLANK(Current_DTE!S25),INDEX(Minutes_by_use_case!$B$2:$B$9,MATCH($B25,Minutes_by_use_case!$A$2:$A$9,0)),Current_DTE!S25),"-")</f>
        <v>0</v>
      </c>
      <c r="T25" s="105">
        <f>IFERROR(IF(ISBLANK(Current_DTE!T25),INDEX(Minutes_by_use_case!$B$2:$B$9,MATCH($B25,Minutes_by_use_case!$A$2:$A$9,0)),Current_DTE!T25),"-")</f>
        <v>0</v>
      </c>
      <c r="U25" s="105">
        <f>IFERROR(IF(ISBLANK(Current_DTE!U25),INDEX(Minutes_by_use_case!$B$2:$B$9,MATCH($B25,Minutes_by_use_case!$A$2:$A$9,0)),Current_DTE!U25),"-")</f>
        <v>0</v>
      </c>
      <c r="V25" s="105">
        <f>IFERROR(IF(ISBLANK(Current_DTE!V25),INDEX(Minutes_by_use_case!$B$2:$B$9,MATCH($B25,Minutes_by_use_case!$A$2:$A$9,0)),Current_DTE!V25),"-")</f>
        <v>0</v>
      </c>
    </row>
    <row r="26" spans="1:22" x14ac:dyDescent="0.3">
      <c r="A26" s="29" t="s">
        <v>58</v>
      </c>
      <c r="B26" s="30" t="s">
        <v>41</v>
      </c>
      <c r="C26" s="105">
        <f>IFERROR(IF(ISBLANK(Current_DTE!C26),INDEX(Minutes_by_use_case!$B$2:$B$9,MATCH($B26,Minutes_by_use_case!$A$2:$A$9,0)),Current_DTE!C26),"-")</f>
        <v>133409.35004928565</v>
      </c>
      <c r="D26" s="105">
        <f>IFERROR(IF(ISBLANK(Current_DTE!D26),INDEX(Minutes_by_use_case!$B$2:$B$9,MATCH($B26,Minutes_by_use_case!$A$2:$A$9,0)),Current_DTE!D26),"-")</f>
        <v>133409.35004928565</v>
      </c>
      <c r="E26" s="105">
        <f>IFERROR(IF(ISBLANK(Current_DTE!E26),INDEX(Minutes_by_use_case!$B$2:$B$9,MATCH($B26,Minutes_by_use_case!$A$2:$A$9,0)),Current_DTE!E26),"-")</f>
        <v>133409.35004928565</v>
      </c>
      <c r="F26" s="105">
        <f>IFERROR(IF(ISBLANK(Current_DTE!F26),INDEX(Minutes_by_use_case!$B$2:$B$9,MATCH($B26,Minutes_by_use_case!$A$2:$A$9,0)),Current_DTE!F26),"-")</f>
        <v>133409.35004928565</v>
      </c>
      <c r="G26" s="105">
        <f>IFERROR(IF(ISBLANK(Current_DTE!G26),INDEX(Minutes_by_use_case!$B$2:$B$9,MATCH($B26,Minutes_by_use_case!$A$2:$A$9,0)),Current_DTE!G26),"-")</f>
        <v>133409.35004928565</v>
      </c>
      <c r="H26" s="105">
        <f>IFERROR(IF(ISBLANK(Current_DTE!H26),INDEX(Minutes_by_use_case!$B$2:$B$9,MATCH($B26,Minutes_by_use_case!$A$2:$A$9,0)),Current_DTE!H26),"-")</f>
        <v>133409.35004928565</v>
      </c>
      <c r="I26" s="105">
        <f>IFERROR(IF(ISBLANK(Current_DTE!I26),INDEX(Minutes_by_use_case!$B$2:$B$9,MATCH($B26,Minutes_by_use_case!$A$2:$A$9,0)),Current_DTE!I26),"-")</f>
        <v>133409.35004928565</v>
      </c>
      <c r="J26" s="105">
        <f>IFERROR(IF(ISBLANK(Current_DTE!J26),INDEX(Minutes_by_use_case!$B$2:$B$9,MATCH($B26,Minutes_by_use_case!$A$2:$A$9,0)),Current_DTE!J26),"-")</f>
        <v>133409.35004928565</v>
      </c>
      <c r="K26" s="105">
        <f>IFERROR(IF(ISBLANK(Current_DTE!K26),INDEX(Minutes_by_use_case!$B$2:$B$9,MATCH($B26,Minutes_by_use_case!$A$2:$A$9,0)),Current_DTE!K26),"-")</f>
        <v>133409.35004928565</v>
      </c>
      <c r="L26" s="105">
        <f>IFERROR(IF(ISBLANK(Current_DTE!L26),INDEX(Minutes_by_use_case!$B$2:$B$9,MATCH($B26,Minutes_by_use_case!$A$2:$A$9,0)),Current_DTE!L26),"-")</f>
        <v>133409.35004928565</v>
      </c>
      <c r="M26" s="105">
        <f>IFERROR(IF(ISBLANK(Current_DTE!M26),INDEX(Minutes_by_use_case!$B$2:$B$9,MATCH($B26,Minutes_by_use_case!$A$2:$A$9,0)),Current_DTE!M26),"-")</f>
        <v>133409.35004928565</v>
      </c>
      <c r="N26" s="105">
        <f>IFERROR(IF(ISBLANK(Current_DTE!N26),INDEX(Minutes_by_use_case!$B$2:$B$9,MATCH($B26,Minutes_by_use_case!$A$2:$A$9,0)),Current_DTE!N26),"-")</f>
        <v>133409.35004928565</v>
      </c>
      <c r="O26" s="105">
        <f>IFERROR(IF(ISBLANK(Current_DTE!O26),INDEX(Minutes_by_use_case!$B$2:$B$9,MATCH($B26,Minutes_by_use_case!$A$2:$A$9,0)),Current_DTE!O26),"-")</f>
        <v>133409.35004928565</v>
      </c>
      <c r="P26" s="105">
        <f>IFERROR(IF(ISBLANK(Current_DTE!P26),INDEX(Minutes_by_use_case!$B$2:$B$9,MATCH($B26,Minutes_by_use_case!$A$2:$A$9,0)),Current_DTE!P26),"-")</f>
        <v>133409.35004928565</v>
      </c>
      <c r="Q26" s="105">
        <f>IFERROR(IF(ISBLANK(Current_DTE!Q26),INDEX(Minutes_by_use_case!$B$2:$B$9,MATCH($B26,Minutes_by_use_case!$A$2:$A$9,0)),Current_DTE!Q26),"-")</f>
        <v>133409.35004928565</v>
      </c>
      <c r="R26" s="105">
        <f>IFERROR(IF(ISBLANK(Current_DTE!R26),INDEX(Minutes_by_use_case!$B$2:$B$9,MATCH($B26,Minutes_by_use_case!$A$2:$A$9,0)),Current_DTE!R26),"-")</f>
        <v>133409.35004928565</v>
      </c>
      <c r="S26" s="105">
        <f>IFERROR(IF(ISBLANK(Current_DTE!S26),INDEX(Minutes_by_use_case!$B$2:$B$9,MATCH($B26,Minutes_by_use_case!$A$2:$A$9,0)),Current_DTE!S26),"-")</f>
        <v>133409.35004928565</v>
      </c>
      <c r="T26" s="105">
        <f>IFERROR(IF(ISBLANK(Current_DTE!T26),INDEX(Minutes_by_use_case!$B$2:$B$9,MATCH($B26,Minutes_by_use_case!$A$2:$A$9,0)),Current_DTE!T26),"-")</f>
        <v>133409.35004928565</v>
      </c>
      <c r="U26" s="105">
        <f>IFERROR(IF(ISBLANK(Current_DTE!U26),INDEX(Minutes_by_use_case!$B$2:$B$9,MATCH($B26,Minutes_by_use_case!$A$2:$A$9,0)),Current_DTE!U26),"-")</f>
        <v>133409.35004928565</v>
      </c>
      <c r="V26" s="105">
        <f>IFERROR(IF(ISBLANK(Current_DTE!V26),INDEX(Minutes_by_use_case!$B$2:$B$9,MATCH($B26,Minutes_by_use_case!$A$2:$A$9,0)),Current_DTE!V26),"-")</f>
        <v>133409.35004928565</v>
      </c>
    </row>
    <row r="27" spans="1:22" x14ac:dyDescent="0.3">
      <c r="A27" s="29" t="s">
        <v>59</v>
      </c>
      <c r="B27" s="30" t="s">
        <v>41</v>
      </c>
      <c r="C27" s="105">
        <f>IFERROR(IF(ISBLANK(Current_DTE!C27),INDEX(Minutes_by_use_case!$B$2:$B$9,MATCH($B27,Minutes_by_use_case!$A$2:$A$9,0)),Current_DTE!C27),"-")</f>
        <v>133409.35004928565</v>
      </c>
      <c r="D27" s="105">
        <f>IFERROR(IF(ISBLANK(Current_DTE!D27),INDEX(Minutes_by_use_case!$B$2:$B$9,MATCH($B27,Minutes_by_use_case!$A$2:$A$9,0)),Current_DTE!D27),"-")</f>
        <v>133409.35004928565</v>
      </c>
      <c r="E27" s="105">
        <f>IFERROR(IF(ISBLANK(Current_DTE!E27),INDEX(Minutes_by_use_case!$B$2:$B$9,MATCH($B27,Minutes_by_use_case!$A$2:$A$9,0)),Current_DTE!E27),"-")</f>
        <v>133409.35004928565</v>
      </c>
      <c r="F27" s="105">
        <f>IFERROR(IF(ISBLANK(Current_DTE!F27),INDEX(Minutes_by_use_case!$B$2:$B$9,MATCH($B27,Minutes_by_use_case!$A$2:$A$9,0)),Current_DTE!F27),"-")</f>
        <v>133409.35004928565</v>
      </c>
      <c r="G27" s="105">
        <f>IFERROR(IF(ISBLANK(Current_DTE!G27),INDEX(Minutes_by_use_case!$B$2:$B$9,MATCH($B27,Minutes_by_use_case!$A$2:$A$9,0)),Current_DTE!G27),"-")</f>
        <v>133409.35004928565</v>
      </c>
      <c r="H27" s="105">
        <f>IFERROR(IF(ISBLANK(Current_DTE!H27),INDEX(Minutes_by_use_case!$B$2:$B$9,MATCH($B27,Minutes_by_use_case!$A$2:$A$9,0)),Current_DTE!H27),"-")</f>
        <v>133409.35004928565</v>
      </c>
      <c r="I27" s="105">
        <f>IFERROR(IF(ISBLANK(Current_DTE!I27),INDEX(Minutes_by_use_case!$B$2:$B$9,MATCH($B27,Minutes_by_use_case!$A$2:$A$9,0)),Current_DTE!I27),"-")</f>
        <v>133409.35004928565</v>
      </c>
      <c r="J27" s="105">
        <f>IFERROR(IF(ISBLANK(Current_DTE!J27),INDEX(Minutes_by_use_case!$B$2:$B$9,MATCH($B27,Minutes_by_use_case!$A$2:$A$9,0)),Current_DTE!J27),"-")</f>
        <v>133409.35004928565</v>
      </c>
      <c r="K27" s="105">
        <f>IFERROR(IF(ISBLANK(Current_DTE!K27),INDEX(Minutes_by_use_case!$B$2:$B$9,MATCH($B27,Minutes_by_use_case!$A$2:$A$9,0)),Current_DTE!K27),"-")</f>
        <v>133409.35004928565</v>
      </c>
      <c r="L27" s="105">
        <f>IFERROR(IF(ISBLANK(Current_DTE!L27),INDEX(Minutes_by_use_case!$B$2:$B$9,MATCH($B27,Minutes_by_use_case!$A$2:$A$9,0)),Current_DTE!L27),"-")</f>
        <v>133409.35004928565</v>
      </c>
      <c r="M27" s="105">
        <f>IFERROR(IF(ISBLANK(Current_DTE!M27),INDEX(Minutes_by_use_case!$B$2:$B$9,MATCH($B27,Minutes_by_use_case!$A$2:$A$9,0)),Current_DTE!M27),"-")</f>
        <v>133409.35004928565</v>
      </c>
      <c r="N27" s="105">
        <f>IFERROR(IF(ISBLANK(Current_DTE!N27),INDEX(Minutes_by_use_case!$B$2:$B$9,MATCH($B27,Minutes_by_use_case!$A$2:$A$9,0)),Current_DTE!N27),"-")</f>
        <v>133409.35004928565</v>
      </c>
      <c r="O27" s="105">
        <f>IFERROR(IF(ISBLANK(Current_DTE!O27),INDEX(Minutes_by_use_case!$B$2:$B$9,MATCH($B27,Minutes_by_use_case!$A$2:$A$9,0)),Current_DTE!O27),"-")</f>
        <v>133409.35004928565</v>
      </c>
      <c r="P27" s="105">
        <f>IFERROR(IF(ISBLANK(Current_DTE!P27),INDEX(Minutes_by_use_case!$B$2:$B$9,MATCH($B27,Minutes_by_use_case!$A$2:$A$9,0)),Current_DTE!P27),"-")</f>
        <v>133409.35004928565</v>
      </c>
      <c r="Q27" s="105">
        <f>IFERROR(IF(ISBLANK(Current_DTE!Q27),INDEX(Minutes_by_use_case!$B$2:$B$9,MATCH($B27,Minutes_by_use_case!$A$2:$A$9,0)),Current_DTE!Q27),"-")</f>
        <v>133409.35004928565</v>
      </c>
      <c r="R27" s="105">
        <f>IFERROR(IF(ISBLANK(Current_DTE!R27),INDEX(Minutes_by_use_case!$B$2:$B$9,MATCH($B27,Minutes_by_use_case!$A$2:$A$9,0)),Current_DTE!R27),"-")</f>
        <v>133409.35004928565</v>
      </c>
      <c r="S27" s="105">
        <f>IFERROR(IF(ISBLANK(Current_DTE!S27),INDEX(Minutes_by_use_case!$B$2:$B$9,MATCH($B27,Minutes_by_use_case!$A$2:$A$9,0)),Current_DTE!S27),"-")</f>
        <v>133409.35004928565</v>
      </c>
      <c r="T27" s="105">
        <f>IFERROR(IF(ISBLANK(Current_DTE!T27),INDEX(Minutes_by_use_case!$B$2:$B$9,MATCH($B27,Minutes_by_use_case!$A$2:$A$9,0)),Current_DTE!T27),"-")</f>
        <v>133409.35004928565</v>
      </c>
      <c r="U27" s="105">
        <f>IFERROR(IF(ISBLANK(Current_DTE!U27),INDEX(Minutes_by_use_case!$B$2:$B$9,MATCH($B27,Minutes_by_use_case!$A$2:$A$9,0)),Current_DTE!U27),"-")</f>
        <v>133409.35004928565</v>
      </c>
      <c r="V27" s="105">
        <f>IFERROR(IF(ISBLANK(Current_DTE!V27),INDEX(Minutes_by_use_case!$B$2:$B$9,MATCH($B27,Minutes_by_use_case!$A$2:$A$9,0)),Current_DTE!V27),"-")</f>
        <v>133409.35004928565</v>
      </c>
    </row>
    <row r="28" spans="1:22" x14ac:dyDescent="0.3">
      <c r="A28" s="29" t="s">
        <v>60</v>
      </c>
      <c r="B28" s="30" t="s">
        <v>41</v>
      </c>
      <c r="C28" s="105">
        <f>IFERROR(IF(ISBLANK(Current_DTE!C28),INDEX(Minutes_by_use_case!$B$2:$B$9,MATCH($B28,Minutes_by_use_case!$A$2:$A$9,0)),Current_DTE!C28),"-")</f>
        <v>133409.35004928565</v>
      </c>
      <c r="D28" s="105">
        <f>IFERROR(IF(ISBLANK(Current_DTE!D28),INDEX(Minutes_by_use_case!$B$2:$B$9,MATCH($B28,Minutes_by_use_case!$A$2:$A$9,0)),Current_DTE!D28),"-")</f>
        <v>133409.35004928565</v>
      </c>
      <c r="E28" s="105">
        <f>IFERROR(IF(ISBLANK(Current_DTE!E28),INDEX(Minutes_by_use_case!$B$2:$B$9,MATCH($B28,Minutes_by_use_case!$A$2:$A$9,0)),Current_DTE!E28),"-")</f>
        <v>133409.35004928565</v>
      </c>
      <c r="F28" s="105">
        <f>IFERROR(IF(ISBLANK(Current_DTE!F28),INDEX(Minutes_by_use_case!$B$2:$B$9,MATCH($B28,Minutes_by_use_case!$A$2:$A$9,0)),Current_DTE!F28),"-")</f>
        <v>133409.35004928565</v>
      </c>
      <c r="G28" s="105">
        <f>IFERROR(IF(ISBLANK(Current_DTE!G28),INDEX(Minutes_by_use_case!$B$2:$B$9,MATCH($B28,Minutes_by_use_case!$A$2:$A$9,0)),Current_DTE!G28),"-")</f>
        <v>133409.35004928565</v>
      </c>
      <c r="H28" s="105">
        <f>IFERROR(IF(ISBLANK(Current_DTE!H28),INDEX(Minutes_by_use_case!$B$2:$B$9,MATCH($B28,Minutes_by_use_case!$A$2:$A$9,0)),Current_DTE!H28),"-")</f>
        <v>133409.35004928565</v>
      </c>
      <c r="I28" s="105">
        <f>IFERROR(IF(ISBLANK(Current_DTE!I28),INDEX(Minutes_by_use_case!$B$2:$B$9,MATCH($B28,Minutes_by_use_case!$A$2:$A$9,0)),Current_DTE!I28),"-")</f>
        <v>133409.35004928565</v>
      </c>
      <c r="J28" s="105">
        <f>IFERROR(IF(ISBLANK(Current_DTE!J28),INDEX(Minutes_by_use_case!$B$2:$B$9,MATCH($B28,Minutes_by_use_case!$A$2:$A$9,0)),Current_DTE!J28),"-")</f>
        <v>133409.35004928565</v>
      </c>
      <c r="K28" s="105">
        <f>IFERROR(IF(ISBLANK(Current_DTE!K28),INDEX(Minutes_by_use_case!$B$2:$B$9,MATCH($B28,Minutes_by_use_case!$A$2:$A$9,0)),Current_DTE!K28),"-")</f>
        <v>133409.35004928565</v>
      </c>
      <c r="L28" s="105">
        <f>IFERROR(IF(ISBLANK(Current_DTE!L28),INDEX(Minutes_by_use_case!$B$2:$B$9,MATCH($B28,Minutes_by_use_case!$A$2:$A$9,0)),Current_DTE!L28),"-")</f>
        <v>133409.35004928565</v>
      </c>
      <c r="M28" s="105">
        <f>IFERROR(IF(ISBLANK(Current_DTE!M28),INDEX(Minutes_by_use_case!$B$2:$B$9,MATCH($B28,Minutes_by_use_case!$A$2:$A$9,0)),Current_DTE!M28),"-")</f>
        <v>133409.35004928565</v>
      </c>
      <c r="N28" s="105">
        <f>IFERROR(IF(ISBLANK(Current_DTE!N28),INDEX(Minutes_by_use_case!$B$2:$B$9,MATCH($B28,Minutes_by_use_case!$A$2:$A$9,0)),Current_DTE!N28),"-")</f>
        <v>133409.35004928565</v>
      </c>
      <c r="O28" s="105">
        <f>IFERROR(IF(ISBLANK(Current_DTE!O28),INDEX(Minutes_by_use_case!$B$2:$B$9,MATCH($B28,Minutes_by_use_case!$A$2:$A$9,0)),Current_DTE!O28),"-")</f>
        <v>133409.35004928565</v>
      </c>
      <c r="P28" s="105">
        <f>IFERROR(IF(ISBLANK(Current_DTE!P28),INDEX(Minutes_by_use_case!$B$2:$B$9,MATCH($B28,Minutes_by_use_case!$A$2:$A$9,0)),Current_DTE!P28),"-")</f>
        <v>133409.35004928565</v>
      </c>
      <c r="Q28" s="105">
        <f>IFERROR(IF(ISBLANK(Current_DTE!Q28),INDEX(Minutes_by_use_case!$B$2:$B$9,MATCH($B28,Minutes_by_use_case!$A$2:$A$9,0)),Current_DTE!Q28),"-")</f>
        <v>133409.35004928565</v>
      </c>
      <c r="R28" s="105">
        <f>IFERROR(IF(ISBLANK(Current_DTE!R28),INDEX(Minutes_by_use_case!$B$2:$B$9,MATCH($B28,Minutes_by_use_case!$A$2:$A$9,0)),Current_DTE!R28),"-")</f>
        <v>133409.35004928565</v>
      </c>
      <c r="S28" s="105">
        <f>IFERROR(IF(ISBLANK(Current_DTE!S28),INDEX(Minutes_by_use_case!$B$2:$B$9,MATCH($B28,Minutes_by_use_case!$A$2:$A$9,0)),Current_DTE!S28),"-")</f>
        <v>133409.35004928565</v>
      </c>
      <c r="T28" s="105">
        <f>IFERROR(IF(ISBLANK(Current_DTE!T28),INDEX(Minutes_by_use_case!$B$2:$B$9,MATCH($B28,Minutes_by_use_case!$A$2:$A$9,0)),Current_DTE!T28),"-")</f>
        <v>133409.35004928565</v>
      </c>
      <c r="U28" s="105">
        <f>IFERROR(IF(ISBLANK(Current_DTE!U28),INDEX(Minutes_by_use_case!$B$2:$B$9,MATCH($B28,Minutes_by_use_case!$A$2:$A$9,0)),Current_DTE!U28),"-")</f>
        <v>133409.35004928565</v>
      </c>
      <c r="V28" s="105">
        <f>IFERROR(IF(ISBLANK(Current_DTE!V28),INDEX(Minutes_by_use_case!$B$2:$B$9,MATCH($B28,Minutes_by_use_case!$A$2:$A$9,0)),Current_DTE!V28),"-")</f>
        <v>133409.35004928565</v>
      </c>
    </row>
    <row r="29" spans="1:22" x14ac:dyDescent="0.3">
      <c r="A29" s="29" t="s">
        <v>26</v>
      </c>
      <c r="B29" s="37" t="s">
        <v>45</v>
      </c>
      <c r="C29" s="105">
        <f>IFERROR(IF(ISBLANK(Current_DTE!C29),INDEX(Minutes_by_use_case!$B$2:$B$9,MATCH($B29,Minutes_by_use_case!$A$2:$A$9,0)),Current_DTE!C29),"-")</f>
        <v>89453.837836666688</v>
      </c>
      <c r="D29" s="105">
        <f>IFERROR(IF(ISBLANK(Current_DTE!D29),INDEX(Minutes_by_use_case!$B$2:$B$9,MATCH($B29,Minutes_by_use_case!$A$2:$A$9,0)),Current_DTE!D29),"-")</f>
        <v>89453.837836666688</v>
      </c>
      <c r="E29" s="105">
        <f>IFERROR(IF(ISBLANK(Current_DTE!E29),INDEX(Minutes_by_use_case!$B$2:$B$9,MATCH($B29,Minutes_by_use_case!$A$2:$A$9,0)),Current_DTE!E29),"-")</f>
        <v>89453.837836666688</v>
      </c>
      <c r="F29" s="105">
        <f>IFERROR(IF(ISBLANK(Current_DTE!F29),INDEX(Minutes_by_use_case!$B$2:$B$9,MATCH($B29,Minutes_by_use_case!$A$2:$A$9,0)),Current_DTE!F29),"-")</f>
        <v>89453.837836666688</v>
      </c>
      <c r="G29" s="105">
        <f>IFERROR(IF(ISBLANK(Current_DTE!G29),INDEX(Minutes_by_use_case!$B$2:$B$9,MATCH($B29,Minutes_by_use_case!$A$2:$A$9,0)),Current_DTE!G29),"-")</f>
        <v>89453.837836666688</v>
      </c>
      <c r="H29" s="105">
        <f>IFERROR(IF(ISBLANK(Current_DTE!H29),INDEX(Minutes_by_use_case!$B$2:$B$9,MATCH($B29,Minutes_by_use_case!$A$2:$A$9,0)),Current_DTE!H29),"-")</f>
        <v>89453.837836666688</v>
      </c>
      <c r="I29" s="105">
        <f>IFERROR(IF(ISBLANK(Current_DTE!I29),INDEX(Minutes_by_use_case!$B$2:$B$9,MATCH($B29,Minutes_by_use_case!$A$2:$A$9,0)),Current_DTE!I29),"-")</f>
        <v>89453.837836666688</v>
      </c>
      <c r="J29" s="105">
        <f>IFERROR(IF(ISBLANK(Current_DTE!J29),INDEX(Minutes_by_use_case!$B$2:$B$9,MATCH($B29,Minutes_by_use_case!$A$2:$A$9,0)),Current_DTE!J29),"-")</f>
        <v>89453.837836666688</v>
      </c>
      <c r="K29" s="105">
        <f>IFERROR(IF(ISBLANK(Current_DTE!K29),INDEX(Minutes_by_use_case!$B$2:$B$9,MATCH($B29,Minutes_by_use_case!$A$2:$A$9,0)),Current_DTE!K29),"-")</f>
        <v>89453.837836666688</v>
      </c>
      <c r="L29" s="105">
        <f>IFERROR(IF(ISBLANK(Current_DTE!L29),INDEX(Minutes_by_use_case!$B$2:$B$9,MATCH($B29,Minutes_by_use_case!$A$2:$A$9,0)),Current_DTE!L29),"-")</f>
        <v>89453.837836666688</v>
      </c>
      <c r="M29" s="105">
        <f>IFERROR(IF(ISBLANK(Current_DTE!M29),INDEX(Minutes_by_use_case!$B$2:$B$9,MATCH($B29,Minutes_by_use_case!$A$2:$A$9,0)),Current_DTE!M29),"-")</f>
        <v>89453.837836666688</v>
      </c>
      <c r="N29" s="105">
        <f>IFERROR(IF(ISBLANK(Current_DTE!N29),INDEX(Minutes_by_use_case!$B$2:$B$9,MATCH($B29,Minutes_by_use_case!$A$2:$A$9,0)),Current_DTE!N29),"-")</f>
        <v>89453.837836666688</v>
      </c>
      <c r="O29" s="105">
        <f>IFERROR(IF(ISBLANK(Current_DTE!O29),INDEX(Minutes_by_use_case!$B$2:$B$9,MATCH($B29,Minutes_by_use_case!$A$2:$A$9,0)),Current_DTE!O29),"-")</f>
        <v>89453.837836666688</v>
      </c>
      <c r="P29" s="105">
        <f>IFERROR(IF(ISBLANK(Current_DTE!P29),INDEX(Minutes_by_use_case!$B$2:$B$9,MATCH($B29,Minutes_by_use_case!$A$2:$A$9,0)),Current_DTE!P29),"-")</f>
        <v>89453.837836666688</v>
      </c>
      <c r="Q29" s="105">
        <f>IFERROR(IF(ISBLANK(Current_DTE!Q29),INDEX(Minutes_by_use_case!$B$2:$B$9,MATCH($B29,Minutes_by_use_case!$A$2:$A$9,0)),Current_DTE!Q29),"-")</f>
        <v>89453.837836666688</v>
      </c>
      <c r="R29" s="105">
        <f>IFERROR(IF(ISBLANK(Current_DTE!R29),INDEX(Minutes_by_use_case!$B$2:$B$9,MATCH($B29,Minutes_by_use_case!$A$2:$A$9,0)),Current_DTE!R29),"-")</f>
        <v>89453.837836666688</v>
      </c>
      <c r="S29" s="105">
        <f>IFERROR(IF(ISBLANK(Current_DTE!S29),INDEX(Minutes_by_use_case!$B$2:$B$9,MATCH($B29,Minutes_by_use_case!$A$2:$A$9,0)),Current_DTE!S29),"-")</f>
        <v>89453.837836666688</v>
      </c>
      <c r="T29" s="105">
        <f>IFERROR(IF(ISBLANK(Current_DTE!T29),INDEX(Minutes_by_use_case!$B$2:$B$9,MATCH($B29,Minutes_by_use_case!$A$2:$A$9,0)),Current_DTE!T29),"-")</f>
        <v>89453.837836666688</v>
      </c>
      <c r="U29" s="105">
        <f>IFERROR(IF(ISBLANK(Current_DTE!U29),INDEX(Minutes_by_use_case!$B$2:$B$9,MATCH($B29,Minutes_by_use_case!$A$2:$A$9,0)),Current_DTE!U29),"-")</f>
        <v>89453.837836666688</v>
      </c>
      <c r="V29" s="105">
        <f>IFERROR(IF(ISBLANK(Current_DTE!V29),INDEX(Minutes_by_use_case!$B$2:$B$9,MATCH($B29,Minutes_by_use_case!$A$2:$A$9,0)),Current_DTE!V29),"-")</f>
        <v>89453.837836666688</v>
      </c>
    </row>
    <row r="30" spans="1:22" x14ac:dyDescent="0.3">
      <c r="A30" s="29" t="s">
        <v>61</v>
      </c>
      <c r="B30" s="37" t="s">
        <v>42</v>
      </c>
      <c r="C30" s="105">
        <f>IFERROR(IF(ISBLANK(Current_DTE!C30),INDEX(Minutes_by_use_case!$B$2:$B$9,MATCH($B30,Minutes_by_use_case!$A$2:$A$9,0)),Current_DTE!C30),"-")</f>
        <v>721.11352444444435</v>
      </c>
      <c r="D30" s="105">
        <f>IFERROR(IF(ISBLANK(Current_DTE!D30),INDEX(Minutes_by_use_case!$B$2:$B$9,MATCH($B30,Minutes_by_use_case!$A$2:$A$9,0)),Current_DTE!D30),"-")</f>
        <v>721.11352444444435</v>
      </c>
      <c r="E30" s="105">
        <f>IFERROR(IF(ISBLANK(Current_DTE!E30),INDEX(Minutes_by_use_case!$B$2:$B$9,MATCH($B30,Minutes_by_use_case!$A$2:$A$9,0)),Current_DTE!E30),"-")</f>
        <v>721.11352444444435</v>
      </c>
      <c r="F30" s="105">
        <f>IFERROR(IF(ISBLANK(Current_DTE!F30),INDEX(Minutes_by_use_case!$B$2:$B$9,MATCH($B30,Minutes_by_use_case!$A$2:$A$9,0)),Current_DTE!F30),"-")</f>
        <v>721.11352444444435</v>
      </c>
      <c r="G30" s="105">
        <f>IFERROR(IF(ISBLANK(Current_DTE!G30),INDEX(Minutes_by_use_case!$B$2:$B$9,MATCH($B30,Minutes_by_use_case!$A$2:$A$9,0)),Current_DTE!G30),"-")</f>
        <v>721.11352444444435</v>
      </c>
      <c r="H30" s="105">
        <f>IFERROR(IF(ISBLANK(Current_DTE!H30),INDEX(Minutes_by_use_case!$B$2:$B$9,MATCH($B30,Minutes_by_use_case!$A$2:$A$9,0)),Current_DTE!H30),"-")</f>
        <v>721.11352444444435</v>
      </c>
      <c r="I30" s="105">
        <f>IFERROR(IF(ISBLANK(Current_DTE!I30),INDEX(Minutes_by_use_case!$B$2:$B$9,MATCH($B30,Minutes_by_use_case!$A$2:$A$9,0)),Current_DTE!I30),"-")</f>
        <v>721.11352444444435</v>
      </c>
      <c r="J30" s="105">
        <f>IFERROR(IF(ISBLANK(Current_DTE!J30),INDEX(Minutes_by_use_case!$B$2:$B$9,MATCH($B30,Minutes_by_use_case!$A$2:$A$9,0)),Current_DTE!J30),"-")</f>
        <v>721.11352444444435</v>
      </c>
      <c r="K30" s="105">
        <f>IFERROR(IF(ISBLANK(Current_DTE!K30),INDEX(Minutes_by_use_case!$B$2:$B$9,MATCH($B30,Minutes_by_use_case!$A$2:$A$9,0)),Current_DTE!K30),"-")</f>
        <v>721.11352444444435</v>
      </c>
      <c r="L30" s="105">
        <f>IFERROR(IF(ISBLANK(Current_DTE!L30),INDEX(Minutes_by_use_case!$B$2:$B$9,MATCH($B30,Minutes_by_use_case!$A$2:$A$9,0)),Current_DTE!L30),"-")</f>
        <v>721.11352444444435</v>
      </c>
      <c r="M30" s="105">
        <f>IFERROR(IF(ISBLANK(Current_DTE!M30),INDEX(Minutes_by_use_case!$B$2:$B$9,MATCH($B30,Minutes_by_use_case!$A$2:$A$9,0)),Current_DTE!M30),"-")</f>
        <v>721.11352444444435</v>
      </c>
      <c r="N30" s="105">
        <f>IFERROR(IF(ISBLANK(Current_DTE!N30),INDEX(Minutes_by_use_case!$B$2:$B$9,MATCH($B30,Minutes_by_use_case!$A$2:$A$9,0)),Current_DTE!N30),"-")</f>
        <v>721.11352444444435</v>
      </c>
      <c r="O30" s="105">
        <f>IFERROR(IF(ISBLANK(Current_DTE!O30),INDEX(Minutes_by_use_case!$B$2:$B$9,MATCH($B30,Minutes_by_use_case!$A$2:$A$9,0)),Current_DTE!O30),"-")</f>
        <v>721.11352444444435</v>
      </c>
      <c r="P30" s="105">
        <f>IFERROR(IF(ISBLANK(Current_DTE!P30),INDEX(Minutes_by_use_case!$B$2:$B$9,MATCH($B30,Minutes_by_use_case!$A$2:$A$9,0)),Current_DTE!P30),"-")</f>
        <v>721.11352444444435</v>
      </c>
      <c r="Q30" s="105">
        <f>IFERROR(IF(ISBLANK(Current_DTE!Q30),INDEX(Minutes_by_use_case!$B$2:$B$9,MATCH($B30,Minutes_by_use_case!$A$2:$A$9,0)),Current_DTE!Q30),"-")</f>
        <v>721.11352444444435</v>
      </c>
      <c r="R30" s="105">
        <f>IFERROR(IF(ISBLANK(Current_DTE!R30),INDEX(Minutes_by_use_case!$B$2:$B$9,MATCH($B30,Minutes_by_use_case!$A$2:$A$9,0)),Current_DTE!R30),"-")</f>
        <v>721.11352444444435</v>
      </c>
      <c r="S30" s="105">
        <f>IFERROR(IF(ISBLANK(Current_DTE!S30),INDEX(Minutes_by_use_case!$B$2:$B$9,MATCH($B30,Minutes_by_use_case!$A$2:$A$9,0)),Current_DTE!S30),"-")</f>
        <v>721.11352444444435</v>
      </c>
      <c r="T30" s="105">
        <f>IFERROR(IF(ISBLANK(Current_DTE!T30),INDEX(Minutes_by_use_case!$B$2:$B$9,MATCH($B30,Minutes_by_use_case!$A$2:$A$9,0)),Current_DTE!T30),"-")</f>
        <v>721.11352444444435</v>
      </c>
      <c r="U30" s="105">
        <f>IFERROR(IF(ISBLANK(Current_DTE!U30),INDEX(Minutes_by_use_case!$B$2:$B$9,MATCH($B30,Minutes_by_use_case!$A$2:$A$9,0)),Current_DTE!U30),"-")</f>
        <v>721.11352444444435</v>
      </c>
      <c r="V30" s="105">
        <f>IFERROR(IF(ISBLANK(Current_DTE!V30),INDEX(Minutes_by_use_case!$B$2:$B$9,MATCH($B30,Minutes_by_use_case!$A$2:$A$9,0)),Current_DTE!V30),"-")</f>
        <v>721.11352444444435</v>
      </c>
    </row>
    <row r="31" spans="1:22" x14ac:dyDescent="0.3">
      <c r="A31" s="29" t="s">
        <v>71</v>
      </c>
      <c r="B31" s="30" t="s">
        <v>40</v>
      </c>
      <c r="C31" s="105">
        <f>IFERROR(IF(ISBLANK(Current_DTE!C31),INDEX(Minutes_by_use_case!$B$2:$B$9,MATCH($B31,Minutes_by_use_case!$A$2:$A$9,0)),Current_DTE!C31),"-")</f>
        <v>221.29177222222222</v>
      </c>
      <c r="D31" s="105">
        <f>IFERROR(IF(ISBLANK(Current_DTE!D31),INDEX(Minutes_by_use_case!$B$2:$B$9,MATCH($B31,Minutes_by_use_case!$A$2:$A$9,0)),Current_DTE!D31),"-")</f>
        <v>244.03194444444446</v>
      </c>
      <c r="E31" s="105">
        <f>IFERROR(IF(ISBLANK(Current_DTE!E31),INDEX(Minutes_by_use_case!$B$2:$B$9,MATCH($B31,Minutes_by_use_case!$A$2:$A$9,0)),Current_DTE!E31),"-")</f>
        <v>248.09916666666669</v>
      </c>
      <c r="F31" s="105">
        <f>IFERROR(IF(ISBLANK(Current_DTE!F31),INDEX(Minutes_by_use_case!$B$2:$B$9,MATCH($B31,Minutes_by_use_case!$A$2:$A$9,0)),Current_DTE!F31),"-")</f>
        <v>251.81902111111111</v>
      </c>
      <c r="G31" s="105">
        <f>IFERROR(IF(ISBLANK(Current_DTE!G31),INDEX(Minutes_by_use_case!$B$2:$B$9,MATCH($B31,Minutes_by_use_case!$A$2:$A$9,0)),Current_DTE!G31),"-")</f>
        <v>251.81902111111111</v>
      </c>
      <c r="H31" s="105">
        <f>IFERROR(IF(ISBLANK(Current_DTE!H31),INDEX(Minutes_by_use_case!$B$2:$B$9,MATCH($B31,Minutes_by_use_case!$A$2:$A$9,0)),Current_DTE!H31),"-")</f>
        <v>251.81902111111111</v>
      </c>
      <c r="I31" s="105">
        <f>IFERROR(IF(ISBLANK(Current_DTE!I31),INDEX(Minutes_by_use_case!$B$2:$B$9,MATCH($B31,Minutes_by_use_case!$A$2:$A$9,0)),Current_DTE!I31),"-")</f>
        <v>251.81902111111111</v>
      </c>
      <c r="J31" s="105">
        <f>IFERROR(IF(ISBLANK(Current_DTE!J31),INDEX(Minutes_by_use_case!$B$2:$B$9,MATCH($B31,Minutes_by_use_case!$A$2:$A$9,0)),Current_DTE!J31),"-")</f>
        <v>251.81902111111111</v>
      </c>
      <c r="K31" s="105">
        <f>IFERROR(IF(ISBLANK(Current_DTE!K31),INDEX(Minutes_by_use_case!$B$2:$B$9,MATCH($B31,Minutes_by_use_case!$A$2:$A$9,0)),Current_DTE!K31),"-")</f>
        <v>251.81902111111111</v>
      </c>
      <c r="L31" s="105">
        <f>IFERROR(IF(ISBLANK(Current_DTE!L31),INDEX(Minutes_by_use_case!$B$2:$B$9,MATCH($B31,Minutes_by_use_case!$A$2:$A$9,0)),Current_DTE!L31),"-")</f>
        <v>251.81902111111111</v>
      </c>
      <c r="M31" s="105">
        <f>IFERROR(IF(ISBLANK(Current_DTE!M31),INDEX(Minutes_by_use_case!$B$2:$B$9,MATCH($B31,Minutes_by_use_case!$A$2:$A$9,0)),Current_DTE!M31),"-")</f>
        <v>251.81902111111111</v>
      </c>
      <c r="N31" s="105">
        <f>IFERROR(IF(ISBLANK(Current_DTE!N31),INDEX(Minutes_by_use_case!$B$2:$B$9,MATCH($B31,Minutes_by_use_case!$A$2:$A$9,0)),Current_DTE!N31),"-")</f>
        <v>251.81902111111111</v>
      </c>
      <c r="O31" s="105">
        <f>IFERROR(IF(ISBLANK(Current_DTE!O31),INDEX(Minutes_by_use_case!$B$2:$B$9,MATCH($B31,Minutes_by_use_case!$A$2:$A$9,0)),Current_DTE!O31),"-")</f>
        <v>251.81902111111111</v>
      </c>
      <c r="P31" s="105">
        <f>IFERROR(IF(ISBLANK(Current_DTE!P31),INDEX(Minutes_by_use_case!$B$2:$B$9,MATCH($B31,Minutes_by_use_case!$A$2:$A$9,0)),Current_DTE!P31),"-")</f>
        <v>251.81902111111111</v>
      </c>
      <c r="Q31" s="105">
        <f>IFERROR(IF(ISBLANK(Current_DTE!Q31),INDEX(Minutes_by_use_case!$B$2:$B$9,MATCH($B31,Minutes_by_use_case!$A$2:$A$9,0)),Current_DTE!Q31),"-")</f>
        <v>251.81902111111111</v>
      </c>
      <c r="R31" s="105">
        <f>IFERROR(IF(ISBLANK(Current_DTE!R31),INDEX(Minutes_by_use_case!$B$2:$B$9,MATCH($B31,Minutes_by_use_case!$A$2:$A$9,0)),Current_DTE!R31),"-")</f>
        <v>251.81902111111111</v>
      </c>
      <c r="S31" s="105">
        <f>IFERROR(IF(ISBLANK(Current_DTE!S31),INDEX(Minutes_by_use_case!$B$2:$B$9,MATCH($B31,Minutes_by_use_case!$A$2:$A$9,0)),Current_DTE!S31),"-")</f>
        <v>251.81902111111111</v>
      </c>
      <c r="T31" s="105">
        <f>IFERROR(IF(ISBLANK(Current_DTE!T31),INDEX(Minutes_by_use_case!$B$2:$B$9,MATCH($B31,Minutes_by_use_case!$A$2:$A$9,0)),Current_DTE!T31),"-")</f>
        <v>251.81902111111111</v>
      </c>
      <c r="U31" s="105">
        <f>IFERROR(IF(ISBLANK(Current_DTE!U31),INDEX(Minutes_by_use_case!$B$2:$B$9,MATCH($B31,Minutes_by_use_case!$A$2:$A$9,0)),Current_DTE!U31),"-")</f>
        <v>251.81902111111111</v>
      </c>
      <c r="V31" s="105">
        <f>IFERROR(IF(ISBLANK(Current_DTE!V31),INDEX(Minutes_by_use_case!$B$2:$B$9,MATCH($B31,Minutes_by_use_case!$A$2:$A$9,0)),Current_DTE!V31),"-")</f>
        <v>251.81902111111111</v>
      </c>
    </row>
    <row r="32" spans="1:22" x14ac:dyDescent="0.3">
      <c r="A32" s="29" t="s">
        <v>27</v>
      </c>
      <c r="B32" s="37" t="s">
        <v>45</v>
      </c>
      <c r="C32" s="105">
        <f>IFERROR(IF(ISBLANK(Current_DTE!C32),INDEX(Minutes_by_use_case!$B$2:$B$9,MATCH($B32,Minutes_by_use_case!$A$2:$A$9,0)),Current_DTE!C32),"-")</f>
        <v>64.996111111111119</v>
      </c>
      <c r="D32" s="105">
        <f>IFERROR(IF(ISBLANK(Current_DTE!D32),INDEX(Minutes_by_use_case!$B$2:$B$9,MATCH($B32,Minutes_by_use_case!$A$2:$A$9,0)),Current_DTE!D32),"-")</f>
        <v>0</v>
      </c>
      <c r="E32" s="105">
        <f>IFERROR(IF(ISBLANK(Current_DTE!E32),INDEX(Minutes_by_use_case!$B$2:$B$9,MATCH($B32,Minutes_by_use_case!$A$2:$A$9,0)),Current_DTE!E32),"-")</f>
        <v>0</v>
      </c>
      <c r="F32" s="105">
        <f>IFERROR(IF(ISBLANK(Current_DTE!F32),INDEX(Minutes_by_use_case!$B$2:$B$9,MATCH($B32,Minutes_by_use_case!$A$2:$A$9,0)),Current_DTE!F32),"-")</f>
        <v>111.85489222222222</v>
      </c>
      <c r="G32" s="105">
        <f>IFERROR(IF(ISBLANK(Current_DTE!G32),INDEX(Minutes_by_use_case!$B$2:$B$9,MATCH($B32,Minutes_by_use_case!$A$2:$A$9,0)),Current_DTE!G32),"-")</f>
        <v>111.85489222222222</v>
      </c>
      <c r="H32" s="105">
        <f>IFERROR(IF(ISBLANK(Current_DTE!H32),INDEX(Minutes_by_use_case!$B$2:$B$9,MATCH($B32,Minutes_by_use_case!$A$2:$A$9,0)),Current_DTE!H32),"-")</f>
        <v>111.85489222222222</v>
      </c>
      <c r="I32" s="105">
        <f>IFERROR(IF(ISBLANK(Current_DTE!I32),INDEX(Minutes_by_use_case!$B$2:$B$9,MATCH($B32,Minutes_by_use_case!$A$2:$A$9,0)),Current_DTE!I32),"-")</f>
        <v>111.85489222222222</v>
      </c>
      <c r="J32" s="105">
        <f>IFERROR(IF(ISBLANK(Current_DTE!J32),INDEX(Minutes_by_use_case!$B$2:$B$9,MATCH($B32,Minutes_by_use_case!$A$2:$A$9,0)),Current_DTE!J32),"-")</f>
        <v>111.85489222222222</v>
      </c>
      <c r="K32" s="105">
        <f>IFERROR(IF(ISBLANK(Current_DTE!K32),INDEX(Minutes_by_use_case!$B$2:$B$9,MATCH($B32,Minutes_by_use_case!$A$2:$A$9,0)),Current_DTE!K32),"-")</f>
        <v>111.85489222222222</v>
      </c>
      <c r="L32" s="105">
        <f>IFERROR(IF(ISBLANK(Current_DTE!L32),INDEX(Minutes_by_use_case!$B$2:$B$9,MATCH($B32,Minutes_by_use_case!$A$2:$A$9,0)),Current_DTE!L32),"-")</f>
        <v>111.85489222222222</v>
      </c>
      <c r="M32" s="105">
        <f>IFERROR(IF(ISBLANK(Current_DTE!M32),INDEX(Minutes_by_use_case!$B$2:$B$9,MATCH($B32,Minutes_by_use_case!$A$2:$A$9,0)),Current_DTE!M32),"-")</f>
        <v>111.85489222222222</v>
      </c>
      <c r="N32" s="105">
        <f>IFERROR(IF(ISBLANK(Current_DTE!N32),INDEX(Minutes_by_use_case!$B$2:$B$9,MATCH($B32,Minutes_by_use_case!$A$2:$A$9,0)),Current_DTE!N32),"-")</f>
        <v>111.85489222222222</v>
      </c>
      <c r="O32" s="105">
        <f>IFERROR(IF(ISBLANK(Current_DTE!O32),INDEX(Minutes_by_use_case!$B$2:$B$9,MATCH($B32,Minutes_by_use_case!$A$2:$A$9,0)),Current_DTE!O32),"-")</f>
        <v>111.85489222222222</v>
      </c>
      <c r="P32" s="105">
        <f>IFERROR(IF(ISBLANK(Current_DTE!P32),INDEX(Minutes_by_use_case!$B$2:$B$9,MATCH($B32,Minutes_by_use_case!$A$2:$A$9,0)),Current_DTE!P32),"-")</f>
        <v>111.85489222222222</v>
      </c>
      <c r="Q32" s="105">
        <f>IFERROR(IF(ISBLANK(Current_DTE!Q32),INDEX(Minutes_by_use_case!$B$2:$B$9,MATCH($B32,Minutes_by_use_case!$A$2:$A$9,0)),Current_DTE!Q32),"-")</f>
        <v>111.85489222222222</v>
      </c>
      <c r="R32" s="105">
        <f>IFERROR(IF(ISBLANK(Current_DTE!R32),INDEX(Minutes_by_use_case!$B$2:$B$9,MATCH($B32,Minutes_by_use_case!$A$2:$A$9,0)),Current_DTE!R32),"-")</f>
        <v>111.85489222222222</v>
      </c>
      <c r="S32" s="105">
        <f>IFERROR(IF(ISBLANK(Current_DTE!S32),INDEX(Minutes_by_use_case!$B$2:$B$9,MATCH($B32,Minutes_by_use_case!$A$2:$A$9,0)),Current_DTE!S32),"-")</f>
        <v>111.85489222222222</v>
      </c>
      <c r="T32" s="105">
        <f>IFERROR(IF(ISBLANK(Current_DTE!T32),INDEX(Minutes_by_use_case!$B$2:$B$9,MATCH($B32,Minutes_by_use_case!$A$2:$A$9,0)),Current_DTE!T32),"-")</f>
        <v>111.85489222222222</v>
      </c>
      <c r="U32" s="105">
        <f>IFERROR(IF(ISBLANK(Current_DTE!U32),INDEX(Minutes_by_use_case!$B$2:$B$9,MATCH($B32,Minutes_by_use_case!$A$2:$A$9,0)),Current_DTE!U32),"-")</f>
        <v>111.85489222222222</v>
      </c>
      <c r="V32" s="105">
        <f>IFERROR(IF(ISBLANK(Current_DTE!V32),INDEX(Minutes_by_use_case!$B$2:$B$9,MATCH($B32,Minutes_by_use_case!$A$2:$A$9,0)),Current_DTE!V32),"-")</f>
        <v>111.85489222222222</v>
      </c>
    </row>
    <row r="33" spans="1:22" x14ac:dyDescent="0.3">
      <c r="A33" s="29" t="s">
        <v>39</v>
      </c>
      <c r="B33" s="30" t="s">
        <v>41</v>
      </c>
      <c r="C33" s="105">
        <f>IFERROR(IF(ISBLANK(Current_DTE!C33),INDEX(Minutes_by_use_case!$B$2:$B$9,MATCH($B33,Minutes_by_use_case!$A$2:$A$9,0)),Current_DTE!C33),"-")</f>
        <v>575.81194444444441</v>
      </c>
      <c r="D33" s="105">
        <f>IFERROR(IF(ISBLANK(Current_DTE!D33),INDEX(Minutes_by_use_case!$B$2:$B$9,MATCH($B33,Minutes_by_use_case!$A$2:$A$9,0)),Current_DTE!D33),"-")</f>
        <v>580.59861111111104</v>
      </c>
      <c r="E33" s="105">
        <f>IFERROR(IF(ISBLANK(Current_DTE!E33),INDEX(Minutes_by_use_case!$B$2:$B$9,MATCH($B33,Minutes_by_use_case!$A$2:$A$9,0)),Current_DTE!E33),"-")</f>
        <v>499.24888888888893</v>
      </c>
      <c r="F33" s="105">
        <f>IFERROR(IF(ISBLANK(Current_DTE!F33),INDEX(Minutes_by_use_case!$B$2:$B$9,MATCH($B33,Minutes_by_use_case!$A$2:$A$9,0)),Current_DTE!F33),"-")</f>
        <v>565.82727777777768</v>
      </c>
      <c r="G33" s="105">
        <f>IFERROR(IF(ISBLANK(Current_DTE!G33),INDEX(Minutes_by_use_case!$B$2:$B$9,MATCH($B33,Minutes_by_use_case!$A$2:$A$9,0)),Current_DTE!G33),"-")</f>
        <v>565.82727777777768</v>
      </c>
      <c r="H33" s="105">
        <f>IFERROR(IF(ISBLANK(Current_DTE!H33),INDEX(Minutes_by_use_case!$B$2:$B$9,MATCH($B33,Minutes_by_use_case!$A$2:$A$9,0)),Current_DTE!H33),"-")</f>
        <v>565.82727777777768</v>
      </c>
      <c r="I33" s="105">
        <f>IFERROR(IF(ISBLANK(Current_DTE!I33),INDEX(Minutes_by_use_case!$B$2:$B$9,MATCH($B33,Minutes_by_use_case!$A$2:$A$9,0)),Current_DTE!I33),"-")</f>
        <v>565.82727777777768</v>
      </c>
      <c r="J33" s="105">
        <f>IFERROR(IF(ISBLANK(Current_DTE!J33),INDEX(Minutes_by_use_case!$B$2:$B$9,MATCH($B33,Minutes_by_use_case!$A$2:$A$9,0)),Current_DTE!J33),"-")</f>
        <v>565.82727777777768</v>
      </c>
      <c r="K33" s="105">
        <f>IFERROR(IF(ISBLANK(Current_DTE!K33),INDEX(Minutes_by_use_case!$B$2:$B$9,MATCH($B33,Minutes_by_use_case!$A$2:$A$9,0)),Current_DTE!K33),"-")</f>
        <v>565.82727777777768</v>
      </c>
      <c r="L33" s="105">
        <f>IFERROR(IF(ISBLANK(Current_DTE!L33),INDEX(Minutes_by_use_case!$B$2:$B$9,MATCH($B33,Minutes_by_use_case!$A$2:$A$9,0)),Current_DTE!L33),"-")</f>
        <v>565.82727777777768</v>
      </c>
      <c r="M33" s="105">
        <f>IFERROR(IF(ISBLANK(Current_DTE!M33),INDEX(Minutes_by_use_case!$B$2:$B$9,MATCH($B33,Minutes_by_use_case!$A$2:$A$9,0)),Current_DTE!M33),"-")</f>
        <v>565.82727777777768</v>
      </c>
      <c r="N33" s="105">
        <f>IFERROR(IF(ISBLANK(Current_DTE!N33),INDEX(Minutes_by_use_case!$B$2:$B$9,MATCH($B33,Minutes_by_use_case!$A$2:$A$9,0)),Current_DTE!N33),"-")</f>
        <v>565.82727777777768</v>
      </c>
      <c r="O33" s="105">
        <f>IFERROR(IF(ISBLANK(Current_DTE!O33),INDEX(Minutes_by_use_case!$B$2:$B$9,MATCH($B33,Minutes_by_use_case!$A$2:$A$9,0)),Current_DTE!O33),"-")</f>
        <v>565.82727777777768</v>
      </c>
      <c r="P33" s="105">
        <f>IFERROR(IF(ISBLANK(Current_DTE!P33),INDEX(Minutes_by_use_case!$B$2:$B$9,MATCH($B33,Minutes_by_use_case!$A$2:$A$9,0)),Current_DTE!P33),"-")</f>
        <v>565.82727777777768</v>
      </c>
      <c r="Q33" s="105">
        <f>IFERROR(IF(ISBLANK(Current_DTE!Q33),INDEX(Minutes_by_use_case!$B$2:$B$9,MATCH($B33,Minutes_by_use_case!$A$2:$A$9,0)),Current_DTE!Q33),"-")</f>
        <v>565.82727777777768</v>
      </c>
      <c r="R33" s="105">
        <f>IFERROR(IF(ISBLANK(Current_DTE!R33),INDEX(Minutes_by_use_case!$B$2:$B$9,MATCH($B33,Minutes_by_use_case!$A$2:$A$9,0)),Current_DTE!R33),"-")</f>
        <v>565.82727777777768</v>
      </c>
      <c r="S33" s="105">
        <f>IFERROR(IF(ISBLANK(Current_DTE!S33),INDEX(Minutes_by_use_case!$B$2:$B$9,MATCH($B33,Minutes_by_use_case!$A$2:$A$9,0)),Current_DTE!S33),"-")</f>
        <v>565.82727777777768</v>
      </c>
      <c r="T33" s="105">
        <f>IFERROR(IF(ISBLANK(Current_DTE!T33),INDEX(Minutes_by_use_case!$B$2:$B$9,MATCH($B33,Minutes_by_use_case!$A$2:$A$9,0)),Current_DTE!T33),"-")</f>
        <v>565.82727777777768</v>
      </c>
      <c r="U33" s="105">
        <f>IFERROR(IF(ISBLANK(Current_DTE!U33),INDEX(Minutes_by_use_case!$B$2:$B$9,MATCH($B33,Minutes_by_use_case!$A$2:$A$9,0)),Current_DTE!U33),"-")</f>
        <v>565.82727777777768</v>
      </c>
      <c r="V33" s="105">
        <f>IFERROR(IF(ISBLANK(Current_DTE!V33),INDEX(Minutes_by_use_case!$B$2:$B$9,MATCH($B33,Minutes_by_use_case!$A$2:$A$9,0)),Current_DTE!V33),"-")</f>
        <v>565.82727777777768</v>
      </c>
    </row>
    <row r="34" spans="1:22" x14ac:dyDescent="0.3">
      <c r="A34" s="29" t="s">
        <v>28</v>
      </c>
      <c r="B34" s="29"/>
      <c r="C34" s="105" t="str">
        <f>IFERROR(IF(ISBLANK(Current_DTE!C34),INDEX(Minutes_by_use_case!$B$2:$B$9,MATCH($B34,Minutes_by_use_case!$A$2:$A$9,0)),Current_DTE!C34),"-")</f>
        <v>-</v>
      </c>
      <c r="D34" s="105" t="str">
        <f>IFERROR(IF(ISBLANK(Current_DTE!D34),INDEX(Minutes_by_use_case!$B$2:$B$9,MATCH($B34,Minutes_by_use_case!$A$2:$A$9,0)),Current_DTE!D34),"-")</f>
        <v>-</v>
      </c>
      <c r="E34" s="105" t="str">
        <f>IFERROR(IF(ISBLANK(Current_DTE!E34),INDEX(Minutes_by_use_case!$B$2:$B$9,MATCH($B34,Minutes_by_use_case!$A$2:$A$9,0)),Current_DTE!E34),"-")</f>
        <v>-</v>
      </c>
      <c r="F34" s="105" t="str">
        <f>IFERROR(IF(ISBLANK(Current_DTE!F34),INDEX(Minutes_by_use_case!$B$2:$B$9,MATCH($B34,Minutes_by_use_case!$A$2:$A$9,0)),Current_DTE!F34),"-")</f>
        <v>-</v>
      </c>
      <c r="G34" s="105" t="str">
        <f>IFERROR(IF(ISBLANK(Current_DTE!G34),INDEX(Minutes_by_use_case!$B$2:$B$9,MATCH($B34,Minutes_by_use_case!$A$2:$A$9,0)),Current_DTE!G34),"-")</f>
        <v>-</v>
      </c>
      <c r="H34" s="105" t="str">
        <f>IFERROR(IF(ISBLANK(Current_DTE!H34),INDEX(Minutes_by_use_case!$B$2:$B$9,MATCH($B34,Minutes_by_use_case!$A$2:$A$9,0)),Current_DTE!H34),"-")</f>
        <v>-</v>
      </c>
      <c r="I34" s="105" t="str">
        <f>IFERROR(IF(ISBLANK(Current_DTE!I34),INDEX(Minutes_by_use_case!$B$2:$B$9,MATCH($B34,Minutes_by_use_case!$A$2:$A$9,0)),Current_DTE!I34),"-")</f>
        <v>-</v>
      </c>
      <c r="J34" s="105" t="str">
        <f>IFERROR(IF(ISBLANK(Current_DTE!J34),INDEX(Minutes_by_use_case!$B$2:$B$9,MATCH($B34,Minutes_by_use_case!$A$2:$A$9,0)),Current_DTE!J34),"-")</f>
        <v>-</v>
      </c>
      <c r="K34" s="105" t="str">
        <f>IFERROR(IF(ISBLANK(Current_DTE!K34),INDEX(Minutes_by_use_case!$B$2:$B$9,MATCH($B34,Minutes_by_use_case!$A$2:$A$9,0)),Current_DTE!K34),"-")</f>
        <v>-</v>
      </c>
      <c r="L34" s="105" t="str">
        <f>IFERROR(IF(ISBLANK(Current_DTE!L34),INDEX(Minutes_by_use_case!$B$2:$B$9,MATCH($B34,Minutes_by_use_case!$A$2:$A$9,0)),Current_DTE!L34),"-")</f>
        <v>-</v>
      </c>
      <c r="M34" s="105" t="str">
        <f>IFERROR(IF(ISBLANK(Current_DTE!M34),INDEX(Minutes_by_use_case!$B$2:$B$9,MATCH($B34,Minutes_by_use_case!$A$2:$A$9,0)),Current_DTE!M34),"-")</f>
        <v>-</v>
      </c>
      <c r="N34" s="105" t="str">
        <f>IFERROR(IF(ISBLANK(Current_DTE!N34),INDEX(Minutes_by_use_case!$B$2:$B$9,MATCH($B34,Minutes_by_use_case!$A$2:$A$9,0)),Current_DTE!N34),"-")</f>
        <v>-</v>
      </c>
      <c r="O34" s="105" t="str">
        <f>IFERROR(IF(ISBLANK(Current_DTE!O34),INDEX(Minutes_by_use_case!$B$2:$B$9,MATCH($B34,Minutes_by_use_case!$A$2:$A$9,0)),Current_DTE!O34),"-")</f>
        <v>-</v>
      </c>
      <c r="P34" s="105" t="str">
        <f>IFERROR(IF(ISBLANK(Current_DTE!P34),INDEX(Minutes_by_use_case!$B$2:$B$9,MATCH($B34,Minutes_by_use_case!$A$2:$A$9,0)),Current_DTE!P34),"-")</f>
        <v>-</v>
      </c>
      <c r="Q34" s="105" t="str">
        <f>IFERROR(IF(ISBLANK(Current_DTE!Q34),INDEX(Minutes_by_use_case!$B$2:$B$9,MATCH($B34,Minutes_by_use_case!$A$2:$A$9,0)),Current_DTE!Q34),"-")</f>
        <v>-</v>
      </c>
      <c r="R34" s="105" t="str">
        <f>IFERROR(IF(ISBLANK(Current_DTE!R34),INDEX(Minutes_by_use_case!$B$2:$B$9,MATCH($B34,Minutes_by_use_case!$A$2:$A$9,0)),Current_DTE!R34),"-")</f>
        <v>-</v>
      </c>
      <c r="S34" s="105" t="str">
        <f>IFERROR(IF(ISBLANK(Current_DTE!S34),INDEX(Minutes_by_use_case!$B$2:$B$9,MATCH($B34,Minutes_by_use_case!$A$2:$A$9,0)),Current_DTE!S34),"-")</f>
        <v>-</v>
      </c>
      <c r="T34" s="105" t="str">
        <f>IFERROR(IF(ISBLANK(Current_DTE!T34),INDEX(Minutes_by_use_case!$B$2:$B$9,MATCH($B34,Minutes_by_use_case!$A$2:$A$9,0)),Current_DTE!T34),"-")</f>
        <v>-</v>
      </c>
      <c r="U34" s="105" t="str">
        <f>IFERROR(IF(ISBLANK(Current_DTE!U34),INDEX(Minutes_by_use_case!$B$2:$B$9,MATCH($B34,Minutes_by_use_case!$A$2:$A$9,0)),Current_DTE!U34),"-")</f>
        <v>-</v>
      </c>
      <c r="V34" s="105" t="str">
        <f>IFERROR(IF(ISBLANK(Current_DTE!V34),INDEX(Minutes_by_use_case!$B$2:$B$9,MATCH($B34,Minutes_by_use_case!$A$2:$A$9,0)),Current_DTE!V34),"-")</f>
        <v>-</v>
      </c>
    </row>
    <row r="35" spans="1:22" x14ac:dyDescent="0.3">
      <c r="A35" s="29" t="s">
        <v>62</v>
      </c>
      <c r="B35" s="30" t="s">
        <v>41</v>
      </c>
      <c r="C35" s="105">
        <f>IFERROR(IF(ISBLANK(Current_DTE!C35),INDEX(Minutes_by_use_case!$B$2:$B$9,MATCH($B35,Minutes_by_use_case!$A$2:$A$9,0)),Current_DTE!C35),"-")</f>
        <v>64.579722222222216</v>
      </c>
      <c r="D35" s="105">
        <f>IFERROR(IF(ISBLANK(Current_DTE!D35),INDEX(Minutes_by_use_case!$B$2:$B$9,MATCH($B35,Minutes_by_use_case!$A$2:$A$9,0)),Current_DTE!D35),"-")</f>
        <v>56.487941666666664</v>
      </c>
      <c r="E35" s="105">
        <f>IFERROR(IF(ISBLANK(Current_DTE!E35),INDEX(Minutes_by_use_case!$B$2:$B$9,MATCH($B35,Minutes_by_use_case!$A$2:$A$9,0)),Current_DTE!E35),"-")</f>
        <v>49.259444444444441</v>
      </c>
      <c r="F35" s="105">
        <f>IFERROR(IF(ISBLANK(Current_DTE!F35),INDEX(Minutes_by_use_case!$B$2:$B$9,MATCH($B35,Minutes_by_use_case!$A$2:$A$9,0)),Current_DTE!F35),"-")</f>
        <v>60.035777777777774</v>
      </c>
      <c r="G35" s="105">
        <f>IFERROR(IF(ISBLANK(Current_DTE!G35),INDEX(Minutes_by_use_case!$B$2:$B$9,MATCH($B35,Minutes_by_use_case!$A$2:$A$9,0)),Current_DTE!G35),"-")</f>
        <v>60.035777777777774</v>
      </c>
      <c r="H35" s="105">
        <f>IFERROR(IF(ISBLANK(Current_DTE!H35),INDEX(Minutes_by_use_case!$B$2:$B$9,MATCH($B35,Minutes_by_use_case!$A$2:$A$9,0)),Current_DTE!H35),"-")</f>
        <v>60.035777777777774</v>
      </c>
      <c r="I35" s="105">
        <f>IFERROR(IF(ISBLANK(Current_DTE!I35),INDEX(Minutes_by_use_case!$B$2:$B$9,MATCH($B35,Minutes_by_use_case!$A$2:$A$9,0)),Current_DTE!I35),"-")</f>
        <v>60.035777777777774</v>
      </c>
      <c r="J35" s="105">
        <f>IFERROR(IF(ISBLANK(Current_DTE!J35),INDEX(Minutes_by_use_case!$B$2:$B$9,MATCH($B35,Minutes_by_use_case!$A$2:$A$9,0)),Current_DTE!J35),"-")</f>
        <v>60.035777777777774</v>
      </c>
      <c r="K35" s="105">
        <f>IFERROR(IF(ISBLANK(Current_DTE!K35),INDEX(Minutes_by_use_case!$B$2:$B$9,MATCH($B35,Minutes_by_use_case!$A$2:$A$9,0)),Current_DTE!K35),"-")</f>
        <v>60.035777777777774</v>
      </c>
      <c r="L35" s="105">
        <f>IFERROR(IF(ISBLANK(Current_DTE!L35),INDEX(Minutes_by_use_case!$B$2:$B$9,MATCH($B35,Minutes_by_use_case!$A$2:$A$9,0)),Current_DTE!L35),"-")</f>
        <v>60.035777777777774</v>
      </c>
      <c r="M35" s="105">
        <f>IFERROR(IF(ISBLANK(Current_DTE!M35),INDEX(Minutes_by_use_case!$B$2:$B$9,MATCH($B35,Minutes_by_use_case!$A$2:$A$9,0)),Current_DTE!M35),"-")</f>
        <v>60.035777777777774</v>
      </c>
      <c r="N35" s="105">
        <f>IFERROR(IF(ISBLANK(Current_DTE!N35),INDEX(Minutes_by_use_case!$B$2:$B$9,MATCH($B35,Minutes_by_use_case!$A$2:$A$9,0)),Current_DTE!N35),"-")</f>
        <v>60.035777777777774</v>
      </c>
      <c r="O35" s="105">
        <f>IFERROR(IF(ISBLANK(Current_DTE!O35),INDEX(Minutes_by_use_case!$B$2:$B$9,MATCH($B35,Minutes_by_use_case!$A$2:$A$9,0)),Current_DTE!O35),"-")</f>
        <v>60.035777777777774</v>
      </c>
      <c r="P35" s="105">
        <f>IFERROR(IF(ISBLANK(Current_DTE!P35),INDEX(Minutes_by_use_case!$B$2:$B$9,MATCH($B35,Minutes_by_use_case!$A$2:$A$9,0)),Current_DTE!P35),"-")</f>
        <v>60.035777777777774</v>
      </c>
      <c r="Q35" s="105">
        <f>IFERROR(IF(ISBLANK(Current_DTE!Q35),INDEX(Minutes_by_use_case!$B$2:$B$9,MATCH($B35,Minutes_by_use_case!$A$2:$A$9,0)),Current_DTE!Q35),"-")</f>
        <v>60.035777777777774</v>
      </c>
      <c r="R35" s="105">
        <f>IFERROR(IF(ISBLANK(Current_DTE!R35),INDEX(Minutes_by_use_case!$B$2:$B$9,MATCH($B35,Minutes_by_use_case!$A$2:$A$9,0)),Current_DTE!R35),"-")</f>
        <v>60.035777777777774</v>
      </c>
      <c r="S35" s="105">
        <f>IFERROR(IF(ISBLANK(Current_DTE!S35),INDEX(Minutes_by_use_case!$B$2:$B$9,MATCH($B35,Minutes_by_use_case!$A$2:$A$9,0)),Current_DTE!S35),"-")</f>
        <v>60.035777777777774</v>
      </c>
      <c r="T35" s="105">
        <f>IFERROR(IF(ISBLANK(Current_DTE!T35),INDEX(Minutes_by_use_case!$B$2:$B$9,MATCH($B35,Minutes_by_use_case!$A$2:$A$9,0)),Current_DTE!T35),"-")</f>
        <v>60.035777777777774</v>
      </c>
      <c r="U35" s="105">
        <f>IFERROR(IF(ISBLANK(Current_DTE!U35),INDEX(Minutes_by_use_case!$B$2:$B$9,MATCH($B35,Minutes_by_use_case!$A$2:$A$9,0)),Current_DTE!U35),"-")</f>
        <v>60.035777777777774</v>
      </c>
      <c r="V35" s="105">
        <f>IFERROR(IF(ISBLANK(Current_DTE!V35),INDEX(Minutes_by_use_case!$B$2:$B$9,MATCH($B35,Minutes_by_use_case!$A$2:$A$9,0)),Current_DTE!V35),"-")</f>
        <v>60.035777777777774</v>
      </c>
    </row>
    <row r="36" spans="1:22" x14ac:dyDescent="0.3">
      <c r="A36" s="29" t="s">
        <v>29</v>
      </c>
      <c r="B36" s="30" t="s">
        <v>41</v>
      </c>
      <c r="C36" s="105">
        <f>IFERROR(IF(ISBLANK(Current_DTE!C36),INDEX(Minutes_by_use_case!$B$2:$B$9,MATCH($B36,Minutes_by_use_case!$A$2:$A$9,0)),Current_DTE!C36),"-")</f>
        <v>133409.35004928565</v>
      </c>
      <c r="D36" s="105">
        <f>IFERROR(IF(ISBLANK(Current_DTE!D36),INDEX(Minutes_by_use_case!$B$2:$B$9,MATCH($B36,Minutes_by_use_case!$A$2:$A$9,0)),Current_DTE!D36),"-")</f>
        <v>133409.35004928565</v>
      </c>
      <c r="E36" s="105">
        <f>IFERROR(IF(ISBLANK(Current_DTE!E36),INDEX(Minutes_by_use_case!$B$2:$B$9,MATCH($B36,Minutes_by_use_case!$A$2:$A$9,0)),Current_DTE!E36),"-")</f>
        <v>133409.35004928565</v>
      </c>
      <c r="F36" s="105">
        <f>IFERROR(IF(ISBLANK(Current_DTE!F36),INDEX(Minutes_by_use_case!$B$2:$B$9,MATCH($B36,Minutes_by_use_case!$A$2:$A$9,0)),Current_DTE!F36),"-")</f>
        <v>133409.35004928565</v>
      </c>
      <c r="G36" s="105">
        <f>IFERROR(IF(ISBLANK(Current_DTE!G36),INDEX(Minutes_by_use_case!$B$2:$B$9,MATCH($B36,Minutes_by_use_case!$A$2:$A$9,0)),Current_DTE!G36),"-")</f>
        <v>133409.35004928565</v>
      </c>
      <c r="H36" s="105">
        <f>IFERROR(IF(ISBLANK(Current_DTE!H36),INDEX(Minutes_by_use_case!$B$2:$B$9,MATCH($B36,Minutes_by_use_case!$A$2:$A$9,0)),Current_DTE!H36),"-")</f>
        <v>133409.35004928565</v>
      </c>
      <c r="I36" s="105">
        <f>IFERROR(IF(ISBLANK(Current_DTE!I36),INDEX(Minutes_by_use_case!$B$2:$B$9,MATCH($B36,Minutes_by_use_case!$A$2:$A$9,0)),Current_DTE!I36),"-")</f>
        <v>133409.35004928565</v>
      </c>
      <c r="J36" s="105">
        <f>IFERROR(IF(ISBLANK(Current_DTE!J36),INDEX(Minutes_by_use_case!$B$2:$B$9,MATCH($B36,Minutes_by_use_case!$A$2:$A$9,0)),Current_DTE!J36),"-")</f>
        <v>133409.35004928565</v>
      </c>
      <c r="K36" s="105">
        <f>IFERROR(IF(ISBLANK(Current_DTE!K36),INDEX(Minutes_by_use_case!$B$2:$B$9,MATCH($B36,Minutes_by_use_case!$A$2:$A$9,0)),Current_DTE!K36),"-")</f>
        <v>133409.35004928565</v>
      </c>
      <c r="L36" s="105">
        <f>IFERROR(IF(ISBLANK(Current_DTE!L36),INDEX(Minutes_by_use_case!$B$2:$B$9,MATCH($B36,Minutes_by_use_case!$A$2:$A$9,0)),Current_DTE!L36),"-")</f>
        <v>133409.35004928565</v>
      </c>
      <c r="M36" s="105">
        <f>IFERROR(IF(ISBLANK(Current_DTE!M36),INDEX(Minutes_by_use_case!$B$2:$B$9,MATCH($B36,Minutes_by_use_case!$A$2:$A$9,0)),Current_DTE!M36),"-")</f>
        <v>133409.35004928565</v>
      </c>
      <c r="N36" s="105">
        <f>IFERROR(IF(ISBLANK(Current_DTE!N36),INDEX(Minutes_by_use_case!$B$2:$B$9,MATCH($B36,Minutes_by_use_case!$A$2:$A$9,0)),Current_DTE!N36),"-")</f>
        <v>133409.35004928565</v>
      </c>
      <c r="O36" s="105">
        <f>IFERROR(IF(ISBLANK(Current_DTE!O36),INDEX(Minutes_by_use_case!$B$2:$B$9,MATCH($B36,Minutes_by_use_case!$A$2:$A$9,0)),Current_DTE!O36),"-")</f>
        <v>133409.35004928565</v>
      </c>
      <c r="P36" s="105">
        <f>IFERROR(IF(ISBLANK(Current_DTE!P36),INDEX(Minutes_by_use_case!$B$2:$B$9,MATCH($B36,Minutes_by_use_case!$A$2:$A$9,0)),Current_DTE!P36),"-")</f>
        <v>133409.35004928565</v>
      </c>
      <c r="Q36" s="105">
        <f>IFERROR(IF(ISBLANK(Current_DTE!Q36),INDEX(Minutes_by_use_case!$B$2:$B$9,MATCH($B36,Minutes_by_use_case!$A$2:$A$9,0)),Current_DTE!Q36),"-")</f>
        <v>133409.35004928565</v>
      </c>
      <c r="R36" s="105">
        <f>IFERROR(IF(ISBLANK(Current_DTE!R36),INDEX(Minutes_by_use_case!$B$2:$B$9,MATCH($B36,Minutes_by_use_case!$A$2:$A$9,0)),Current_DTE!R36),"-")</f>
        <v>133409.35004928565</v>
      </c>
      <c r="S36" s="105">
        <f>IFERROR(IF(ISBLANK(Current_DTE!S36),INDEX(Minutes_by_use_case!$B$2:$B$9,MATCH($B36,Minutes_by_use_case!$A$2:$A$9,0)),Current_DTE!S36),"-")</f>
        <v>133409.35004928565</v>
      </c>
      <c r="T36" s="105">
        <f>IFERROR(IF(ISBLANK(Current_DTE!T36),INDEX(Minutes_by_use_case!$B$2:$B$9,MATCH($B36,Minutes_by_use_case!$A$2:$A$9,0)),Current_DTE!T36),"-")</f>
        <v>133409.35004928565</v>
      </c>
      <c r="U36" s="105">
        <f>IFERROR(IF(ISBLANK(Current_DTE!U36),INDEX(Minutes_by_use_case!$B$2:$B$9,MATCH($B36,Minutes_by_use_case!$A$2:$A$9,0)),Current_DTE!U36),"-")</f>
        <v>133409.35004928565</v>
      </c>
      <c r="V36" s="105">
        <f>IFERROR(IF(ISBLANK(Current_DTE!V36),INDEX(Minutes_by_use_case!$B$2:$B$9,MATCH($B36,Minutes_by_use_case!$A$2:$A$9,0)),Current_DTE!V36),"-")</f>
        <v>133409.35004928565</v>
      </c>
    </row>
    <row r="37" spans="1:22" x14ac:dyDescent="0.3">
      <c r="A37" s="29" t="s">
        <v>30</v>
      </c>
      <c r="B37" s="37" t="s">
        <v>43</v>
      </c>
      <c r="C37" s="105">
        <f>IFERROR(IF(ISBLANK(Current_DTE!C37),INDEX(Minutes_by_use_case!$B$2:$B$9,MATCH($B37,Minutes_by_use_case!$A$2:$A$9,0)),Current_DTE!C37),"-")</f>
        <v>171572.29579277776</v>
      </c>
      <c r="D37" s="105">
        <f>IFERROR(IF(ISBLANK(Current_DTE!D37),INDEX(Minutes_by_use_case!$B$2:$B$9,MATCH($B37,Minutes_by_use_case!$A$2:$A$9,0)),Current_DTE!D37),"-")</f>
        <v>171572.29579277776</v>
      </c>
      <c r="E37" s="105">
        <f>IFERROR(IF(ISBLANK(Current_DTE!E37),INDEX(Minutes_by_use_case!$B$2:$B$9,MATCH($B37,Minutes_by_use_case!$A$2:$A$9,0)),Current_DTE!E37),"-")</f>
        <v>171572.29579277776</v>
      </c>
      <c r="F37" s="105">
        <f>IFERROR(IF(ISBLANK(Current_DTE!F37),INDEX(Minutes_by_use_case!$B$2:$B$9,MATCH($B37,Minutes_by_use_case!$A$2:$A$9,0)),Current_DTE!F37),"-")</f>
        <v>171572.29579277776</v>
      </c>
      <c r="G37" s="105">
        <f>IFERROR(IF(ISBLANK(Current_DTE!G37),INDEX(Minutes_by_use_case!$B$2:$B$9,MATCH($B37,Minutes_by_use_case!$A$2:$A$9,0)),Current_DTE!G37),"-")</f>
        <v>171572.29579277776</v>
      </c>
      <c r="H37" s="105">
        <f>IFERROR(IF(ISBLANK(Current_DTE!H37),INDEX(Minutes_by_use_case!$B$2:$B$9,MATCH($B37,Minutes_by_use_case!$A$2:$A$9,0)),Current_DTE!H37),"-")</f>
        <v>171572.29579277776</v>
      </c>
      <c r="I37" s="105">
        <f>IFERROR(IF(ISBLANK(Current_DTE!I37),INDEX(Minutes_by_use_case!$B$2:$B$9,MATCH($B37,Minutes_by_use_case!$A$2:$A$9,0)),Current_DTE!I37),"-")</f>
        <v>171572.29579277776</v>
      </c>
      <c r="J37" s="105">
        <f>IFERROR(IF(ISBLANK(Current_DTE!J37),INDEX(Minutes_by_use_case!$B$2:$B$9,MATCH($B37,Minutes_by_use_case!$A$2:$A$9,0)),Current_DTE!J37),"-")</f>
        <v>171572.29579277776</v>
      </c>
      <c r="K37" s="105">
        <f>IFERROR(IF(ISBLANK(Current_DTE!K37),INDEX(Minutes_by_use_case!$B$2:$B$9,MATCH($B37,Minutes_by_use_case!$A$2:$A$9,0)),Current_DTE!K37),"-")</f>
        <v>171572.29579277776</v>
      </c>
      <c r="L37" s="105">
        <f>IFERROR(IF(ISBLANK(Current_DTE!L37),INDEX(Minutes_by_use_case!$B$2:$B$9,MATCH($B37,Minutes_by_use_case!$A$2:$A$9,0)),Current_DTE!L37),"-")</f>
        <v>171572.29579277776</v>
      </c>
      <c r="M37" s="105">
        <f>IFERROR(IF(ISBLANK(Current_DTE!M37),INDEX(Minutes_by_use_case!$B$2:$B$9,MATCH($B37,Minutes_by_use_case!$A$2:$A$9,0)),Current_DTE!M37),"-")</f>
        <v>171572.29579277776</v>
      </c>
      <c r="N37" s="105">
        <f>IFERROR(IF(ISBLANK(Current_DTE!N37),INDEX(Minutes_by_use_case!$B$2:$B$9,MATCH($B37,Minutes_by_use_case!$A$2:$A$9,0)),Current_DTE!N37),"-")</f>
        <v>171572.29579277776</v>
      </c>
      <c r="O37" s="105">
        <f>IFERROR(IF(ISBLANK(Current_DTE!O37),INDEX(Minutes_by_use_case!$B$2:$B$9,MATCH($B37,Minutes_by_use_case!$A$2:$A$9,0)),Current_DTE!O37),"-")</f>
        <v>171572.29579277776</v>
      </c>
      <c r="P37" s="105">
        <f>IFERROR(IF(ISBLANK(Current_DTE!P37),INDEX(Minutes_by_use_case!$B$2:$B$9,MATCH($B37,Minutes_by_use_case!$A$2:$A$9,0)),Current_DTE!P37),"-")</f>
        <v>171572.29579277776</v>
      </c>
      <c r="Q37" s="105">
        <f>IFERROR(IF(ISBLANK(Current_DTE!Q37),INDEX(Minutes_by_use_case!$B$2:$B$9,MATCH($B37,Minutes_by_use_case!$A$2:$A$9,0)),Current_DTE!Q37),"-")</f>
        <v>171572.29579277776</v>
      </c>
      <c r="R37" s="105">
        <f>IFERROR(IF(ISBLANK(Current_DTE!R37),INDEX(Minutes_by_use_case!$B$2:$B$9,MATCH($B37,Minutes_by_use_case!$A$2:$A$9,0)),Current_DTE!R37),"-")</f>
        <v>171572.29579277776</v>
      </c>
      <c r="S37" s="105">
        <f>IFERROR(IF(ISBLANK(Current_DTE!S37),INDEX(Minutes_by_use_case!$B$2:$B$9,MATCH($B37,Minutes_by_use_case!$A$2:$A$9,0)),Current_DTE!S37),"-")</f>
        <v>171572.29579277776</v>
      </c>
      <c r="T37" s="105">
        <f>IFERROR(IF(ISBLANK(Current_DTE!T37),INDEX(Minutes_by_use_case!$B$2:$B$9,MATCH($B37,Minutes_by_use_case!$A$2:$A$9,0)),Current_DTE!T37),"-")</f>
        <v>171572.29579277776</v>
      </c>
      <c r="U37" s="105">
        <f>IFERROR(IF(ISBLANK(Current_DTE!U37),INDEX(Minutes_by_use_case!$B$2:$B$9,MATCH($B37,Minutes_by_use_case!$A$2:$A$9,0)),Current_DTE!U37),"-")</f>
        <v>171572.29579277776</v>
      </c>
      <c r="V37" s="105">
        <f>IFERROR(IF(ISBLANK(Current_DTE!V37),INDEX(Minutes_by_use_case!$B$2:$B$9,MATCH($B37,Minutes_by_use_case!$A$2:$A$9,0)),Current_DTE!V37),"-")</f>
        <v>171572.29579277776</v>
      </c>
    </row>
    <row r="38" spans="1:22" x14ac:dyDescent="0.3">
      <c r="A38" s="29" t="s">
        <v>31</v>
      </c>
      <c r="B38" s="38" t="s">
        <v>48</v>
      </c>
      <c r="C38" s="105" t="str">
        <f>IFERROR(IF(ISBLANK(Current_DTE!C38),INDEX(Minutes_by_use_case!$B$2:$B$9,MATCH($B38,Minutes_by_use_case!$A$2:$A$9,0)),Current_DTE!C38),"-")</f>
        <v>-</v>
      </c>
      <c r="D38" s="105" t="str">
        <f>IFERROR(IF(ISBLANK(Current_DTE!D38),INDEX(Minutes_by_use_case!$B$2:$B$9,MATCH($B38,Minutes_by_use_case!$A$2:$A$9,0)),Current_DTE!D38),"-")</f>
        <v>-</v>
      </c>
      <c r="E38" s="105" t="str">
        <f>IFERROR(IF(ISBLANK(Current_DTE!E38),INDEX(Minutes_by_use_case!$B$2:$B$9,MATCH($B38,Minutes_by_use_case!$A$2:$A$9,0)),Current_DTE!E38),"-")</f>
        <v>-</v>
      </c>
      <c r="F38" s="105" t="str">
        <f>IFERROR(IF(ISBLANK(Current_DTE!F38),INDEX(Minutes_by_use_case!$B$2:$B$9,MATCH($B38,Minutes_by_use_case!$A$2:$A$9,0)),Current_DTE!F38),"-")</f>
        <v>-</v>
      </c>
      <c r="G38" s="105" t="str">
        <f>IFERROR(IF(ISBLANK(Current_DTE!G38),INDEX(Minutes_by_use_case!$B$2:$B$9,MATCH($B38,Minutes_by_use_case!$A$2:$A$9,0)),Current_DTE!G38),"-")</f>
        <v>-</v>
      </c>
      <c r="H38" s="105" t="str">
        <f>IFERROR(IF(ISBLANK(Current_DTE!H38),INDEX(Minutes_by_use_case!$B$2:$B$9,MATCH($B38,Minutes_by_use_case!$A$2:$A$9,0)),Current_DTE!H38),"-")</f>
        <v>-</v>
      </c>
      <c r="I38" s="105" t="str">
        <f>IFERROR(IF(ISBLANK(Current_DTE!I38),INDEX(Minutes_by_use_case!$B$2:$B$9,MATCH($B38,Minutes_by_use_case!$A$2:$A$9,0)),Current_DTE!I38),"-")</f>
        <v>-</v>
      </c>
      <c r="J38" s="105" t="str">
        <f>IFERROR(IF(ISBLANK(Current_DTE!J38),INDEX(Minutes_by_use_case!$B$2:$B$9,MATCH($B38,Minutes_by_use_case!$A$2:$A$9,0)),Current_DTE!J38),"-")</f>
        <v>-</v>
      </c>
      <c r="K38" s="105" t="str">
        <f>IFERROR(IF(ISBLANK(Current_DTE!K38),INDEX(Minutes_by_use_case!$B$2:$B$9,MATCH($B38,Minutes_by_use_case!$A$2:$A$9,0)),Current_DTE!K38),"-")</f>
        <v>-</v>
      </c>
      <c r="L38" s="105" t="str">
        <f>IFERROR(IF(ISBLANK(Current_DTE!L38),INDEX(Minutes_by_use_case!$B$2:$B$9,MATCH($B38,Minutes_by_use_case!$A$2:$A$9,0)),Current_DTE!L38),"-")</f>
        <v>-</v>
      </c>
      <c r="M38" s="105" t="str">
        <f>IFERROR(IF(ISBLANK(Current_DTE!M38),INDEX(Minutes_by_use_case!$B$2:$B$9,MATCH($B38,Minutes_by_use_case!$A$2:$A$9,0)),Current_DTE!M38),"-")</f>
        <v>-</v>
      </c>
      <c r="N38" s="105" t="str">
        <f>IFERROR(IF(ISBLANK(Current_DTE!N38),INDEX(Minutes_by_use_case!$B$2:$B$9,MATCH($B38,Minutes_by_use_case!$A$2:$A$9,0)),Current_DTE!N38),"-")</f>
        <v>-</v>
      </c>
      <c r="O38" s="105" t="str">
        <f>IFERROR(IF(ISBLANK(Current_DTE!O38),INDEX(Minutes_by_use_case!$B$2:$B$9,MATCH($B38,Minutes_by_use_case!$A$2:$A$9,0)),Current_DTE!O38),"-")</f>
        <v>-</v>
      </c>
      <c r="P38" s="105" t="str">
        <f>IFERROR(IF(ISBLANK(Current_DTE!P38),INDEX(Minutes_by_use_case!$B$2:$B$9,MATCH($B38,Minutes_by_use_case!$A$2:$A$9,0)),Current_DTE!P38),"-")</f>
        <v>-</v>
      </c>
      <c r="Q38" s="105" t="str">
        <f>IFERROR(IF(ISBLANK(Current_DTE!Q38),INDEX(Minutes_by_use_case!$B$2:$B$9,MATCH($B38,Minutes_by_use_case!$A$2:$A$9,0)),Current_DTE!Q38),"-")</f>
        <v>-</v>
      </c>
      <c r="R38" s="105" t="str">
        <f>IFERROR(IF(ISBLANK(Current_DTE!R38),INDEX(Minutes_by_use_case!$B$2:$B$9,MATCH($B38,Minutes_by_use_case!$A$2:$A$9,0)),Current_DTE!R38),"-")</f>
        <v>-</v>
      </c>
      <c r="S38" s="105" t="str">
        <f>IFERROR(IF(ISBLANK(Current_DTE!S38),INDEX(Minutes_by_use_case!$B$2:$B$9,MATCH($B38,Minutes_by_use_case!$A$2:$A$9,0)),Current_DTE!S38),"-")</f>
        <v>-</v>
      </c>
      <c r="T38" s="105" t="str">
        <f>IFERROR(IF(ISBLANK(Current_DTE!T38),INDEX(Minutes_by_use_case!$B$2:$B$9,MATCH($B38,Minutes_by_use_case!$A$2:$A$9,0)),Current_DTE!T38),"-")</f>
        <v>-</v>
      </c>
      <c r="U38" s="105" t="str">
        <f>IFERROR(IF(ISBLANK(Current_DTE!U38),INDEX(Minutes_by_use_case!$B$2:$B$9,MATCH($B38,Minutes_by_use_case!$A$2:$A$9,0)),Current_DTE!U38),"-")</f>
        <v>-</v>
      </c>
      <c r="V38" s="105" t="str">
        <f>IFERROR(IF(ISBLANK(Current_DTE!V38),INDEX(Minutes_by_use_case!$B$2:$B$9,MATCH($B38,Minutes_by_use_case!$A$2:$A$9,0)),Current_DTE!V38),"-")</f>
        <v>-</v>
      </c>
    </row>
    <row r="39" spans="1:22" x14ac:dyDescent="0.3">
      <c r="A39" s="29" t="s">
        <v>32</v>
      </c>
      <c r="B39" s="38" t="s">
        <v>48</v>
      </c>
      <c r="C39" s="105" t="str">
        <f>IFERROR(IF(ISBLANK(Current_DTE!C39),INDEX(Minutes_by_use_case!$B$2:$B$9,MATCH($B39,Minutes_by_use_case!$A$2:$A$9,0)),Current_DTE!C39),"-")</f>
        <v>-</v>
      </c>
      <c r="D39" s="105" t="str">
        <f>IFERROR(IF(ISBLANK(Current_DTE!D39),INDEX(Minutes_by_use_case!$B$2:$B$9,MATCH($B39,Minutes_by_use_case!$A$2:$A$9,0)),Current_DTE!D39),"-")</f>
        <v>-</v>
      </c>
      <c r="E39" s="105" t="str">
        <f>IFERROR(IF(ISBLANK(Current_DTE!E39),INDEX(Minutes_by_use_case!$B$2:$B$9,MATCH($B39,Minutes_by_use_case!$A$2:$A$9,0)),Current_DTE!E39),"-")</f>
        <v>-</v>
      </c>
      <c r="F39" s="105" t="str">
        <f>IFERROR(IF(ISBLANK(Current_DTE!F39),INDEX(Minutes_by_use_case!$B$2:$B$9,MATCH($B39,Minutes_by_use_case!$A$2:$A$9,0)),Current_DTE!F39),"-")</f>
        <v>-</v>
      </c>
      <c r="G39" s="105" t="str">
        <f>IFERROR(IF(ISBLANK(Current_DTE!G39),INDEX(Minutes_by_use_case!$B$2:$B$9,MATCH($B39,Minutes_by_use_case!$A$2:$A$9,0)),Current_DTE!G39),"-")</f>
        <v>-</v>
      </c>
      <c r="H39" s="105" t="str">
        <f>IFERROR(IF(ISBLANK(Current_DTE!H39),INDEX(Minutes_by_use_case!$B$2:$B$9,MATCH($B39,Minutes_by_use_case!$A$2:$A$9,0)),Current_DTE!H39),"-")</f>
        <v>-</v>
      </c>
      <c r="I39" s="105" t="str">
        <f>IFERROR(IF(ISBLANK(Current_DTE!I39),INDEX(Minutes_by_use_case!$B$2:$B$9,MATCH($B39,Minutes_by_use_case!$A$2:$A$9,0)),Current_DTE!I39),"-")</f>
        <v>-</v>
      </c>
      <c r="J39" s="105" t="str">
        <f>IFERROR(IF(ISBLANK(Current_DTE!J39),INDEX(Minutes_by_use_case!$B$2:$B$9,MATCH($B39,Minutes_by_use_case!$A$2:$A$9,0)),Current_DTE!J39),"-")</f>
        <v>-</v>
      </c>
      <c r="K39" s="105" t="str">
        <f>IFERROR(IF(ISBLANK(Current_DTE!K39),INDEX(Minutes_by_use_case!$B$2:$B$9,MATCH($B39,Minutes_by_use_case!$A$2:$A$9,0)),Current_DTE!K39),"-")</f>
        <v>-</v>
      </c>
      <c r="L39" s="105" t="str">
        <f>IFERROR(IF(ISBLANK(Current_DTE!L39),INDEX(Minutes_by_use_case!$B$2:$B$9,MATCH($B39,Minutes_by_use_case!$A$2:$A$9,0)),Current_DTE!L39),"-")</f>
        <v>-</v>
      </c>
      <c r="M39" s="105" t="str">
        <f>IFERROR(IF(ISBLANK(Current_DTE!M39),INDEX(Minutes_by_use_case!$B$2:$B$9,MATCH($B39,Minutes_by_use_case!$A$2:$A$9,0)),Current_DTE!M39),"-")</f>
        <v>-</v>
      </c>
      <c r="N39" s="105" t="str">
        <f>IFERROR(IF(ISBLANK(Current_DTE!N39),INDEX(Minutes_by_use_case!$B$2:$B$9,MATCH($B39,Minutes_by_use_case!$A$2:$A$9,0)),Current_DTE!N39),"-")</f>
        <v>-</v>
      </c>
      <c r="O39" s="105" t="str">
        <f>IFERROR(IF(ISBLANK(Current_DTE!O39),INDEX(Minutes_by_use_case!$B$2:$B$9,MATCH($B39,Minutes_by_use_case!$A$2:$A$9,0)),Current_DTE!O39),"-")</f>
        <v>-</v>
      </c>
      <c r="P39" s="105" t="str">
        <f>IFERROR(IF(ISBLANK(Current_DTE!P39),INDEX(Minutes_by_use_case!$B$2:$B$9,MATCH($B39,Minutes_by_use_case!$A$2:$A$9,0)),Current_DTE!P39),"-")</f>
        <v>-</v>
      </c>
      <c r="Q39" s="105" t="str">
        <f>IFERROR(IF(ISBLANK(Current_DTE!Q39),INDEX(Minutes_by_use_case!$B$2:$B$9,MATCH($B39,Minutes_by_use_case!$A$2:$A$9,0)),Current_DTE!Q39),"-")</f>
        <v>-</v>
      </c>
      <c r="R39" s="105" t="str">
        <f>IFERROR(IF(ISBLANK(Current_DTE!R39),INDEX(Minutes_by_use_case!$B$2:$B$9,MATCH($B39,Minutes_by_use_case!$A$2:$A$9,0)),Current_DTE!R39),"-")</f>
        <v>-</v>
      </c>
      <c r="S39" s="105" t="str">
        <f>IFERROR(IF(ISBLANK(Current_DTE!S39),INDEX(Minutes_by_use_case!$B$2:$B$9,MATCH($B39,Minutes_by_use_case!$A$2:$A$9,0)),Current_DTE!S39),"-")</f>
        <v>-</v>
      </c>
      <c r="T39" s="105" t="str">
        <f>IFERROR(IF(ISBLANK(Current_DTE!T39),INDEX(Minutes_by_use_case!$B$2:$B$9,MATCH($B39,Minutes_by_use_case!$A$2:$A$9,0)),Current_DTE!T39),"-")</f>
        <v>-</v>
      </c>
      <c r="U39" s="105" t="str">
        <f>IFERROR(IF(ISBLANK(Current_DTE!U39),INDEX(Minutes_by_use_case!$B$2:$B$9,MATCH($B39,Minutes_by_use_case!$A$2:$A$9,0)),Current_DTE!U39),"-")</f>
        <v>-</v>
      </c>
      <c r="V39" s="105" t="str">
        <f>IFERROR(IF(ISBLANK(Current_DTE!V39),INDEX(Minutes_by_use_case!$B$2:$B$9,MATCH($B39,Minutes_by_use_case!$A$2:$A$9,0)),Current_DTE!V39),"-")</f>
        <v>-</v>
      </c>
    </row>
    <row r="40" spans="1:22" x14ac:dyDescent="0.3">
      <c r="A40" s="29" t="s">
        <v>33</v>
      </c>
      <c r="B40" s="30" t="s">
        <v>41</v>
      </c>
      <c r="C40" s="105">
        <f>IFERROR(IF(ISBLANK(Current_DTE!C40),INDEX(Minutes_by_use_case!$B$2:$B$9,MATCH($B40,Minutes_by_use_case!$A$2:$A$9,0)),Current_DTE!C40),"-")</f>
        <v>0</v>
      </c>
      <c r="D40" s="105">
        <f>IFERROR(IF(ISBLANK(Current_DTE!D40),INDEX(Minutes_by_use_case!$B$2:$B$9,MATCH($B40,Minutes_by_use_case!$A$2:$A$9,0)),Current_DTE!D40),"-")</f>
        <v>0</v>
      </c>
      <c r="E40" s="105">
        <f>IFERROR(IF(ISBLANK(Current_DTE!E40),INDEX(Minutes_by_use_case!$B$2:$B$9,MATCH($B40,Minutes_by_use_case!$A$2:$A$9,0)),Current_DTE!E40),"-")</f>
        <v>0</v>
      </c>
      <c r="F40" s="105">
        <f>IFERROR(IF(ISBLANK(Current_DTE!F40),INDEX(Minutes_by_use_case!$B$2:$B$9,MATCH($B40,Minutes_by_use_case!$A$2:$A$9,0)),Current_DTE!F40),"-")</f>
        <v>1368.9678622222223</v>
      </c>
      <c r="G40" s="105">
        <f>IFERROR(IF(ISBLANK(Current_DTE!G40),INDEX(Minutes_by_use_case!$B$2:$B$9,MATCH($B40,Minutes_by_use_case!$A$2:$A$9,0)),Current_DTE!G40),"-")</f>
        <v>1368.9678622222223</v>
      </c>
      <c r="H40" s="105">
        <f>IFERROR(IF(ISBLANK(Current_DTE!H40),INDEX(Minutes_by_use_case!$B$2:$B$9,MATCH($B40,Minutes_by_use_case!$A$2:$A$9,0)),Current_DTE!H40),"-")</f>
        <v>1368.9678622222223</v>
      </c>
      <c r="I40" s="105">
        <f>IFERROR(IF(ISBLANK(Current_DTE!I40),INDEX(Minutes_by_use_case!$B$2:$B$9,MATCH($B40,Minutes_by_use_case!$A$2:$A$9,0)),Current_DTE!I40),"-")</f>
        <v>1368.9678622222223</v>
      </c>
      <c r="J40" s="105">
        <f>IFERROR(IF(ISBLANK(Current_DTE!J40),INDEX(Minutes_by_use_case!$B$2:$B$9,MATCH($B40,Minutes_by_use_case!$A$2:$A$9,0)),Current_DTE!J40),"-")</f>
        <v>1368.9678622222223</v>
      </c>
      <c r="K40" s="105">
        <f>IFERROR(IF(ISBLANK(Current_DTE!K40),INDEX(Minutes_by_use_case!$B$2:$B$9,MATCH($B40,Minutes_by_use_case!$A$2:$A$9,0)),Current_DTE!K40),"-")</f>
        <v>1368.9678622222223</v>
      </c>
      <c r="L40" s="105">
        <f>IFERROR(IF(ISBLANK(Current_DTE!L40),INDEX(Minutes_by_use_case!$B$2:$B$9,MATCH($B40,Minutes_by_use_case!$A$2:$A$9,0)),Current_DTE!L40),"-")</f>
        <v>1368.9678622222223</v>
      </c>
      <c r="M40" s="105">
        <f>IFERROR(IF(ISBLANK(Current_DTE!M40),INDEX(Minutes_by_use_case!$B$2:$B$9,MATCH($B40,Minutes_by_use_case!$A$2:$A$9,0)),Current_DTE!M40),"-")</f>
        <v>1368.9678622222223</v>
      </c>
      <c r="N40" s="105">
        <f>IFERROR(IF(ISBLANK(Current_DTE!N40),INDEX(Minutes_by_use_case!$B$2:$B$9,MATCH($B40,Minutes_by_use_case!$A$2:$A$9,0)),Current_DTE!N40),"-")</f>
        <v>1368.9678622222223</v>
      </c>
      <c r="O40" s="105">
        <f>IFERROR(IF(ISBLANK(Current_DTE!O40),INDEX(Minutes_by_use_case!$B$2:$B$9,MATCH($B40,Minutes_by_use_case!$A$2:$A$9,0)),Current_DTE!O40),"-")</f>
        <v>1368.9678622222223</v>
      </c>
      <c r="P40" s="105">
        <f>IFERROR(IF(ISBLANK(Current_DTE!P40),INDEX(Minutes_by_use_case!$B$2:$B$9,MATCH($B40,Minutes_by_use_case!$A$2:$A$9,0)),Current_DTE!P40),"-")</f>
        <v>1368.9678622222223</v>
      </c>
      <c r="Q40" s="105">
        <f>IFERROR(IF(ISBLANK(Current_DTE!Q40),INDEX(Minutes_by_use_case!$B$2:$B$9,MATCH($B40,Minutes_by_use_case!$A$2:$A$9,0)),Current_DTE!Q40),"-")</f>
        <v>1368.9678622222223</v>
      </c>
      <c r="R40" s="105">
        <f>IFERROR(IF(ISBLANK(Current_DTE!R40),INDEX(Minutes_by_use_case!$B$2:$B$9,MATCH($B40,Minutes_by_use_case!$A$2:$A$9,0)),Current_DTE!R40),"-")</f>
        <v>1368.9678622222223</v>
      </c>
      <c r="S40" s="105">
        <f>IFERROR(IF(ISBLANK(Current_DTE!S40),INDEX(Minutes_by_use_case!$B$2:$B$9,MATCH($B40,Minutes_by_use_case!$A$2:$A$9,0)),Current_DTE!S40),"-")</f>
        <v>1368.9678622222223</v>
      </c>
      <c r="T40" s="105">
        <f>IFERROR(IF(ISBLANK(Current_DTE!T40),INDEX(Minutes_by_use_case!$B$2:$B$9,MATCH($B40,Minutes_by_use_case!$A$2:$A$9,0)),Current_DTE!T40),"-")</f>
        <v>1368.9678622222223</v>
      </c>
      <c r="U40" s="105">
        <f>IFERROR(IF(ISBLANK(Current_DTE!U40),INDEX(Minutes_by_use_case!$B$2:$B$9,MATCH($B40,Minutes_by_use_case!$A$2:$A$9,0)),Current_DTE!U40),"-")</f>
        <v>1368.9678622222223</v>
      </c>
      <c r="V40" s="105">
        <f>IFERROR(IF(ISBLANK(Current_DTE!V40),INDEX(Minutes_by_use_case!$B$2:$B$9,MATCH($B40,Minutes_by_use_case!$A$2:$A$9,0)),Current_DTE!V40),"-")</f>
        <v>1368.9678622222223</v>
      </c>
    </row>
    <row r="41" spans="1:22" x14ac:dyDescent="0.3">
      <c r="A41" s="29" t="s">
        <v>34</v>
      </c>
      <c r="B41" s="37" t="s">
        <v>45</v>
      </c>
      <c r="C41" s="105">
        <f>IFERROR(IF(ISBLANK(Current_DTE!C41),INDEX(Minutes_by_use_case!$B$2:$B$9,MATCH($B41,Minutes_by_use_case!$A$2:$A$9,0)),Current_DTE!C41),"-")</f>
        <v>1321.6547222222223</v>
      </c>
      <c r="D41" s="105">
        <f>IFERROR(IF(ISBLANK(Current_DTE!D41),INDEX(Minutes_by_use_case!$B$2:$B$9,MATCH($B41,Minutes_by_use_case!$A$2:$A$9,0)),Current_DTE!D41),"-")</f>
        <v>1450.1822222222222</v>
      </c>
      <c r="E41" s="105">
        <f>IFERROR(IF(ISBLANK(Current_DTE!E41),INDEX(Minutes_by_use_case!$B$2:$B$9,MATCH($B41,Minutes_by_use_case!$A$2:$A$9,0)),Current_DTE!E41),"-")</f>
        <v>1386.2452777777776</v>
      </c>
      <c r="F41" s="105">
        <f>IFERROR(IF(ISBLANK(Current_DTE!F41),INDEX(Minutes_by_use_case!$B$2:$B$9,MATCH($B41,Minutes_by_use_case!$A$2:$A$9,0)),Current_DTE!F41),"-")</f>
        <v>1393.7255555555555</v>
      </c>
      <c r="G41" s="105">
        <f>IFERROR(IF(ISBLANK(Current_DTE!G41),INDEX(Minutes_by_use_case!$B$2:$B$9,MATCH($B41,Minutes_by_use_case!$A$2:$A$9,0)),Current_DTE!G41),"-")</f>
        <v>1393.7255555555555</v>
      </c>
      <c r="H41" s="105">
        <f>IFERROR(IF(ISBLANK(Current_DTE!H41),INDEX(Minutes_by_use_case!$B$2:$B$9,MATCH($B41,Minutes_by_use_case!$A$2:$A$9,0)),Current_DTE!H41),"-")</f>
        <v>1393.7255555555555</v>
      </c>
      <c r="I41" s="105">
        <f>IFERROR(IF(ISBLANK(Current_DTE!I41),INDEX(Minutes_by_use_case!$B$2:$B$9,MATCH($B41,Minutes_by_use_case!$A$2:$A$9,0)),Current_DTE!I41),"-")</f>
        <v>1393.7255555555555</v>
      </c>
      <c r="J41" s="105">
        <f>IFERROR(IF(ISBLANK(Current_DTE!J41),INDEX(Minutes_by_use_case!$B$2:$B$9,MATCH($B41,Minutes_by_use_case!$A$2:$A$9,0)),Current_DTE!J41),"-")</f>
        <v>1393.7255555555555</v>
      </c>
      <c r="K41" s="105">
        <f>IFERROR(IF(ISBLANK(Current_DTE!K41),INDEX(Minutes_by_use_case!$B$2:$B$9,MATCH($B41,Minutes_by_use_case!$A$2:$A$9,0)),Current_DTE!K41),"-")</f>
        <v>1393.7255555555555</v>
      </c>
      <c r="L41" s="105">
        <f>IFERROR(IF(ISBLANK(Current_DTE!L41),INDEX(Minutes_by_use_case!$B$2:$B$9,MATCH($B41,Minutes_by_use_case!$A$2:$A$9,0)),Current_DTE!L41),"-")</f>
        <v>1393.7255555555555</v>
      </c>
      <c r="M41" s="105">
        <f>IFERROR(IF(ISBLANK(Current_DTE!M41),INDEX(Minutes_by_use_case!$B$2:$B$9,MATCH($B41,Minutes_by_use_case!$A$2:$A$9,0)),Current_DTE!M41),"-")</f>
        <v>1393.7255555555555</v>
      </c>
      <c r="N41" s="105">
        <f>IFERROR(IF(ISBLANK(Current_DTE!N41),INDEX(Minutes_by_use_case!$B$2:$B$9,MATCH($B41,Minutes_by_use_case!$A$2:$A$9,0)),Current_DTE!N41),"-")</f>
        <v>1393.7255555555555</v>
      </c>
      <c r="O41" s="105">
        <f>IFERROR(IF(ISBLANK(Current_DTE!O41),INDEX(Minutes_by_use_case!$B$2:$B$9,MATCH($B41,Minutes_by_use_case!$A$2:$A$9,0)),Current_DTE!O41),"-")</f>
        <v>1393.7255555555555</v>
      </c>
      <c r="P41" s="105">
        <f>IFERROR(IF(ISBLANK(Current_DTE!P41),INDEX(Minutes_by_use_case!$B$2:$B$9,MATCH($B41,Minutes_by_use_case!$A$2:$A$9,0)),Current_DTE!P41),"-")</f>
        <v>1393.7255555555555</v>
      </c>
      <c r="Q41" s="105">
        <f>IFERROR(IF(ISBLANK(Current_DTE!Q41),INDEX(Minutes_by_use_case!$B$2:$B$9,MATCH($B41,Minutes_by_use_case!$A$2:$A$9,0)),Current_DTE!Q41),"-")</f>
        <v>1393.7255555555555</v>
      </c>
      <c r="R41" s="105">
        <f>IFERROR(IF(ISBLANK(Current_DTE!R41),INDEX(Minutes_by_use_case!$B$2:$B$9,MATCH($B41,Minutes_by_use_case!$A$2:$A$9,0)),Current_DTE!R41),"-")</f>
        <v>1393.7255555555555</v>
      </c>
      <c r="S41" s="105">
        <f>IFERROR(IF(ISBLANK(Current_DTE!S41),INDEX(Minutes_by_use_case!$B$2:$B$9,MATCH($B41,Minutes_by_use_case!$A$2:$A$9,0)),Current_DTE!S41),"-")</f>
        <v>1393.7255555555555</v>
      </c>
      <c r="T41" s="105">
        <f>IFERROR(IF(ISBLANK(Current_DTE!T41),INDEX(Minutes_by_use_case!$B$2:$B$9,MATCH($B41,Minutes_by_use_case!$A$2:$A$9,0)),Current_DTE!T41),"-")</f>
        <v>1393.7255555555555</v>
      </c>
      <c r="U41" s="105">
        <f>IFERROR(IF(ISBLANK(Current_DTE!U41),INDEX(Minutes_by_use_case!$B$2:$B$9,MATCH($B41,Minutes_by_use_case!$A$2:$A$9,0)),Current_DTE!U41),"-")</f>
        <v>1393.7255555555555</v>
      </c>
      <c r="V41" s="105">
        <f>IFERROR(IF(ISBLANK(Current_DTE!V41),INDEX(Minutes_by_use_case!$B$2:$B$9,MATCH($B41,Minutes_by_use_case!$A$2:$A$9,0)),Current_DTE!V41),"-")</f>
        <v>1393.7255555555555</v>
      </c>
    </row>
    <row r="42" spans="1:22" x14ac:dyDescent="0.3">
      <c r="A42" s="29" t="s">
        <v>63</v>
      </c>
      <c r="B42" s="37" t="s">
        <v>43</v>
      </c>
      <c r="C42" s="105">
        <f>IFERROR(IF(ISBLANK(Current_DTE!C42),INDEX(Minutes_by_use_case!$B$2:$B$9,MATCH($B42,Minutes_by_use_case!$A$2:$A$9,0)),Current_DTE!C42),"-")</f>
        <v>171572.29579277776</v>
      </c>
      <c r="D42" s="105">
        <f>IFERROR(IF(ISBLANK(Current_DTE!D42),INDEX(Minutes_by_use_case!$B$2:$B$9,MATCH($B42,Minutes_by_use_case!$A$2:$A$9,0)),Current_DTE!D42),"-")</f>
        <v>171572.29579277776</v>
      </c>
      <c r="E42" s="105">
        <f>IFERROR(IF(ISBLANK(Current_DTE!E42),INDEX(Minutes_by_use_case!$B$2:$B$9,MATCH($B42,Minutes_by_use_case!$A$2:$A$9,0)),Current_DTE!E42),"-")</f>
        <v>171572.29579277776</v>
      </c>
      <c r="F42" s="105">
        <f>IFERROR(IF(ISBLANK(Current_DTE!F42),INDEX(Minutes_by_use_case!$B$2:$B$9,MATCH($B42,Minutes_by_use_case!$A$2:$A$9,0)),Current_DTE!F42),"-")</f>
        <v>171572.29579277776</v>
      </c>
      <c r="G42" s="105">
        <f>IFERROR(IF(ISBLANK(Current_DTE!G42),INDEX(Minutes_by_use_case!$B$2:$B$9,MATCH($B42,Minutes_by_use_case!$A$2:$A$9,0)),Current_DTE!G42),"-")</f>
        <v>171572.29579277776</v>
      </c>
      <c r="H42" s="105">
        <f>IFERROR(IF(ISBLANK(Current_DTE!H42),INDEX(Minutes_by_use_case!$B$2:$B$9,MATCH($B42,Minutes_by_use_case!$A$2:$A$9,0)),Current_DTE!H42),"-")</f>
        <v>171572.29579277776</v>
      </c>
      <c r="I42" s="105">
        <f>IFERROR(IF(ISBLANK(Current_DTE!I42),INDEX(Minutes_by_use_case!$B$2:$B$9,MATCH($B42,Minutes_by_use_case!$A$2:$A$9,0)),Current_DTE!I42),"-")</f>
        <v>171572.29579277776</v>
      </c>
      <c r="J42" s="105">
        <f>IFERROR(IF(ISBLANK(Current_DTE!J42),INDEX(Minutes_by_use_case!$B$2:$B$9,MATCH($B42,Minutes_by_use_case!$A$2:$A$9,0)),Current_DTE!J42),"-")</f>
        <v>171572.29579277776</v>
      </c>
      <c r="K42" s="105">
        <f>IFERROR(IF(ISBLANK(Current_DTE!K42),INDEX(Minutes_by_use_case!$B$2:$B$9,MATCH($B42,Minutes_by_use_case!$A$2:$A$9,0)),Current_DTE!K42),"-")</f>
        <v>171572.29579277776</v>
      </c>
      <c r="L42" s="105">
        <f>IFERROR(IF(ISBLANK(Current_DTE!L42),INDEX(Minutes_by_use_case!$B$2:$B$9,MATCH($B42,Minutes_by_use_case!$A$2:$A$9,0)),Current_DTE!L42),"-")</f>
        <v>171572.29579277776</v>
      </c>
      <c r="M42" s="105">
        <f>IFERROR(IF(ISBLANK(Current_DTE!M42),INDEX(Minutes_by_use_case!$B$2:$B$9,MATCH($B42,Minutes_by_use_case!$A$2:$A$9,0)),Current_DTE!M42),"-")</f>
        <v>171572.29579277776</v>
      </c>
      <c r="N42" s="105">
        <f>IFERROR(IF(ISBLANK(Current_DTE!N42),INDEX(Minutes_by_use_case!$B$2:$B$9,MATCH($B42,Minutes_by_use_case!$A$2:$A$9,0)),Current_DTE!N42),"-")</f>
        <v>171572.29579277776</v>
      </c>
      <c r="O42" s="105">
        <f>IFERROR(IF(ISBLANK(Current_DTE!O42),INDEX(Minutes_by_use_case!$B$2:$B$9,MATCH($B42,Minutes_by_use_case!$A$2:$A$9,0)),Current_DTE!O42),"-")</f>
        <v>171572.29579277776</v>
      </c>
      <c r="P42" s="105">
        <f>IFERROR(IF(ISBLANK(Current_DTE!P42),INDEX(Minutes_by_use_case!$B$2:$B$9,MATCH($B42,Minutes_by_use_case!$A$2:$A$9,0)),Current_DTE!P42),"-")</f>
        <v>171572.29579277776</v>
      </c>
      <c r="Q42" s="105">
        <f>IFERROR(IF(ISBLANK(Current_DTE!Q42),INDEX(Minutes_by_use_case!$B$2:$B$9,MATCH($B42,Minutes_by_use_case!$A$2:$A$9,0)),Current_DTE!Q42),"-")</f>
        <v>171572.29579277776</v>
      </c>
      <c r="R42" s="105">
        <f>IFERROR(IF(ISBLANK(Current_DTE!R42),INDEX(Minutes_by_use_case!$B$2:$B$9,MATCH($B42,Minutes_by_use_case!$A$2:$A$9,0)),Current_DTE!R42),"-")</f>
        <v>171572.29579277776</v>
      </c>
      <c r="S42" s="105">
        <f>IFERROR(IF(ISBLANK(Current_DTE!S42),INDEX(Minutes_by_use_case!$B$2:$B$9,MATCH($B42,Minutes_by_use_case!$A$2:$A$9,0)),Current_DTE!S42),"-")</f>
        <v>171572.29579277776</v>
      </c>
      <c r="T42" s="105">
        <f>IFERROR(IF(ISBLANK(Current_DTE!T42),INDEX(Minutes_by_use_case!$B$2:$B$9,MATCH($B42,Minutes_by_use_case!$A$2:$A$9,0)),Current_DTE!T42),"-")</f>
        <v>171572.29579277776</v>
      </c>
      <c r="U42" s="105">
        <f>IFERROR(IF(ISBLANK(Current_DTE!U42),INDEX(Minutes_by_use_case!$B$2:$B$9,MATCH($B42,Minutes_by_use_case!$A$2:$A$9,0)),Current_DTE!U42),"-")</f>
        <v>171572.29579277776</v>
      </c>
      <c r="V42" s="105">
        <f>IFERROR(IF(ISBLANK(Current_DTE!V42),INDEX(Minutes_by_use_case!$B$2:$B$9,MATCH($B42,Minutes_by_use_case!$A$2:$A$9,0)),Current_DTE!V42),"-")</f>
        <v>171572.29579277776</v>
      </c>
    </row>
    <row r="43" spans="1:22" x14ac:dyDescent="0.3">
      <c r="A43" s="29" t="s">
        <v>64</v>
      </c>
      <c r="B43" s="30" t="s">
        <v>46</v>
      </c>
      <c r="C43" s="105" t="str">
        <f>IFERROR(IF(ISBLANK(Current_DTE!C43),INDEX(Minutes_by_use_case!$B$2:$B$9,MATCH($B43,Minutes_by_use_case!$A$2:$A$9,0)),Current_DTE!C43),"-")</f>
        <v>-</v>
      </c>
      <c r="D43" s="105" t="str">
        <f>IFERROR(IF(ISBLANK(Current_DTE!D43),INDEX(Minutes_by_use_case!$B$2:$B$9,MATCH($B43,Minutes_by_use_case!$A$2:$A$9,0)),Current_DTE!D43),"-")</f>
        <v>-</v>
      </c>
      <c r="E43" s="105" t="str">
        <f>IFERROR(IF(ISBLANK(Current_DTE!E43),INDEX(Minutes_by_use_case!$B$2:$B$9,MATCH($B43,Minutes_by_use_case!$A$2:$A$9,0)),Current_DTE!E43),"-")</f>
        <v>-</v>
      </c>
      <c r="F43" s="105" t="str">
        <f>IFERROR(IF(ISBLANK(Current_DTE!F43),INDEX(Minutes_by_use_case!$B$2:$B$9,MATCH($B43,Minutes_by_use_case!$A$2:$A$9,0)),Current_DTE!F43),"-")</f>
        <v>-</v>
      </c>
      <c r="G43" s="105" t="str">
        <f>IFERROR(IF(ISBLANK(Current_DTE!G43),INDEX(Minutes_by_use_case!$B$2:$B$9,MATCH($B43,Minutes_by_use_case!$A$2:$A$9,0)),Current_DTE!G43),"-")</f>
        <v>-</v>
      </c>
      <c r="H43" s="105" t="str">
        <f>IFERROR(IF(ISBLANK(Current_DTE!H43),INDEX(Minutes_by_use_case!$B$2:$B$9,MATCH($B43,Minutes_by_use_case!$A$2:$A$9,0)),Current_DTE!H43),"-")</f>
        <v>-</v>
      </c>
      <c r="I43" s="105" t="str">
        <f>IFERROR(IF(ISBLANK(Current_DTE!I43),INDEX(Minutes_by_use_case!$B$2:$B$9,MATCH($B43,Minutes_by_use_case!$A$2:$A$9,0)),Current_DTE!I43),"-")</f>
        <v>-</v>
      </c>
      <c r="J43" s="105" t="str">
        <f>IFERROR(IF(ISBLANK(Current_DTE!J43),INDEX(Minutes_by_use_case!$B$2:$B$9,MATCH($B43,Minutes_by_use_case!$A$2:$A$9,0)),Current_DTE!J43),"-")</f>
        <v>-</v>
      </c>
      <c r="K43" s="105" t="str">
        <f>IFERROR(IF(ISBLANK(Current_DTE!K43),INDEX(Minutes_by_use_case!$B$2:$B$9,MATCH($B43,Minutes_by_use_case!$A$2:$A$9,0)),Current_DTE!K43),"-")</f>
        <v>-</v>
      </c>
      <c r="L43" s="105" t="str">
        <f>IFERROR(IF(ISBLANK(Current_DTE!L43),INDEX(Minutes_by_use_case!$B$2:$B$9,MATCH($B43,Minutes_by_use_case!$A$2:$A$9,0)),Current_DTE!L43),"-")</f>
        <v>-</v>
      </c>
      <c r="M43" s="105" t="str">
        <f>IFERROR(IF(ISBLANK(Current_DTE!M43),INDEX(Minutes_by_use_case!$B$2:$B$9,MATCH($B43,Minutes_by_use_case!$A$2:$A$9,0)),Current_DTE!M43),"-")</f>
        <v>-</v>
      </c>
      <c r="N43" s="105" t="str">
        <f>IFERROR(IF(ISBLANK(Current_DTE!N43),INDEX(Minutes_by_use_case!$B$2:$B$9,MATCH($B43,Minutes_by_use_case!$A$2:$A$9,0)),Current_DTE!N43),"-")</f>
        <v>-</v>
      </c>
      <c r="O43" s="105" t="str">
        <f>IFERROR(IF(ISBLANK(Current_DTE!O43),INDEX(Minutes_by_use_case!$B$2:$B$9,MATCH($B43,Minutes_by_use_case!$A$2:$A$9,0)),Current_DTE!O43),"-")</f>
        <v>-</v>
      </c>
      <c r="P43" s="105" t="str">
        <f>IFERROR(IF(ISBLANK(Current_DTE!P43),INDEX(Minutes_by_use_case!$B$2:$B$9,MATCH($B43,Minutes_by_use_case!$A$2:$A$9,0)),Current_DTE!P43),"-")</f>
        <v>-</v>
      </c>
      <c r="Q43" s="105" t="str">
        <f>IFERROR(IF(ISBLANK(Current_DTE!Q43),INDEX(Minutes_by_use_case!$B$2:$B$9,MATCH($B43,Minutes_by_use_case!$A$2:$A$9,0)),Current_DTE!Q43),"-")</f>
        <v>-</v>
      </c>
      <c r="R43" s="105" t="str">
        <f>IFERROR(IF(ISBLANK(Current_DTE!R43),INDEX(Minutes_by_use_case!$B$2:$B$9,MATCH($B43,Minutes_by_use_case!$A$2:$A$9,0)),Current_DTE!R43),"-")</f>
        <v>-</v>
      </c>
      <c r="S43" s="105" t="str">
        <f>IFERROR(IF(ISBLANK(Current_DTE!S43),INDEX(Minutes_by_use_case!$B$2:$B$9,MATCH($B43,Minutes_by_use_case!$A$2:$A$9,0)),Current_DTE!S43),"-")</f>
        <v>-</v>
      </c>
      <c r="T43" s="105" t="str">
        <f>IFERROR(IF(ISBLANK(Current_DTE!T43),INDEX(Minutes_by_use_case!$B$2:$B$9,MATCH($B43,Minutes_by_use_case!$A$2:$A$9,0)),Current_DTE!T43),"-")</f>
        <v>-</v>
      </c>
      <c r="U43" s="105" t="str">
        <f>IFERROR(IF(ISBLANK(Current_DTE!U43),INDEX(Minutes_by_use_case!$B$2:$B$9,MATCH($B43,Minutes_by_use_case!$A$2:$A$9,0)),Current_DTE!U43),"-")</f>
        <v>-</v>
      </c>
      <c r="V43" s="105" t="str">
        <f>IFERROR(IF(ISBLANK(Current_DTE!V43),INDEX(Minutes_by_use_case!$B$2:$B$9,MATCH($B43,Minutes_by_use_case!$A$2:$A$9,0)),Current_DTE!V43),"-")</f>
        <v>-</v>
      </c>
    </row>
    <row r="44" spans="1:22" x14ac:dyDescent="0.3">
      <c r="A44" s="29" t="s">
        <v>65</v>
      </c>
      <c r="B44" s="30" t="s">
        <v>41</v>
      </c>
      <c r="C44" s="105">
        <f>IFERROR(IF(ISBLANK(Current_DTE!C44),INDEX(Minutes_by_use_case!$B$2:$B$9,MATCH($B44,Minutes_by_use_case!$A$2:$A$9,0)),Current_DTE!C44),"-")</f>
        <v>3017.8666666666668</v>
      </c>
      <c r="D44" s="105">
        <f>IFERROR(IF(ISBLANK(Current_DTE!D44),INDEX(Minutes_by_use_case!$B$2:$B$9,MATCH($B44,Minutes_by_use_case!$A$2:$A$9,0)),Current_DTE!D44),"-")</f>
        <v>3078.4611111111108</v>
      </c>
      <c r="E44" s="105">
        <f>IFERROR(IF(ISBLANK(Current_DTE!E44),INDEX(Minutes_by_use_case!$B$2:$B$9,MATCH($B44,Minutes_by_use_case!$A$2:$A$9,0)),Current_DTE!E44),"-")</f>
        <v>2765.7895222222219</v>
      </c>
      <c r="F44" s="105">
        <f>IFERROR(IF(ISBLANK(Current_DTE!F44),INDEX(Minutes_by_use_case!$B$2:$B$9,MATCH($B44,Minutes_by_use_case!$A$2:$A$9,0)),Current_DTE!F44),"-")</f>
        <v>3000.2460561111111</v>
      </c>
      <c r="G44" s="105">
        <f>IFERROR(IF(ISBLANK(Current_DTE!G44),INDEX(Minutes_by_use_case!$B$2:$B$9,MATCH($B44,Minutes_by_use_case!$A$2:$A$9,0)),Current_DTE!G44),"-")</f>
        <v>3000.2460561111111</v>
      </c>
      <c r="H44" s="105">
        <f>IFERROR(IF(ISBLANK(Current_DTE!H44),INDEX(Minutes_by_use_case!$B$2:$B$9,MATCH($B44,Minutes_by_use_case!$A$2:$A$9,0)),Current_DTE!H44),"-")</f>
        <v>3000.2460561111111</v>
      </c>
      <c r="I44" s="105">
        <f>IFERROR(IF(ISBLANK(Current_DTE!I44),INDEX(Minutes_by_use_case!$B$2:$B$9,MATCH($B44,Minutes_by_use_case!$A$2:$A$9,0)),Current_DTE!I44),"-")</f>
        <v>3000.2460561111111</v>
      </c>
      <c r="J44" s="105">
        <f>IFERROR(IF(ISBLANK(Current_DTE!J44),INDEX(Minutes_by_use_case!$B$2:$B$9,MATCH($B44,Minutes_by_use_case!$A$2:$A$9,0)),Current_DTE!J44),"-")</f>
        <v>3000.2460561111111</v>
      </c>
      <c r="K44" s="105">
        <f>IFERROR(IF(ISBLANK(Current_DTE!K44),INDEX(Minutes_by_use_case!$B$2:$B$9,MATCH($B44,Minutes_by_use_case!$A$2:$A$9,0)),Current_DTE!K44),"-")</f>
        <v>3000.2460561111111</v>
      </c>
      <c r="L44" s="105">
        <f>IFERROR(IF(ISBLANK(Current_DTE!L44),INDEX(Minutes_by_use_case!$B$2:$B$9,MATCH($B44,Minutes_by_use_case!$A$2:$A$9,0)),Current_DTE!L44),"-")</f>
        <v>3000.2460561111111</v>
      </c>
      <c r="M44" s="105">
        <f>IFERROR(IF(ISBLANK(Current_DTE!M44),INDEX(Minutes_by_use_case!$B$2:$B$9,MATCH($B44,Minutes_by_use_case!$A$2:$A$9,0)),Current_DTE!M44),"-")</f>
        <v>3000.2460561111111</v>
      </c>
      <c r="N44" s="105">
        <f>IFERROR(IF(ISBLANK(Current_DTE!N44),INDEX(Minutes_by_use_case!$B$2:$B$9,MATCH($B44,Minutes_by_use_case!$A$2:$A$9,0)),Current_DTE!N44),"-")</f>
        <v>3000.2460561111111</v>
      </c>
      <c r="O44" s="105">
        <f>IFERROR(IF(ISBLANK(Current_DTE!O44),INDEX(Minutes_by_use_case!$B$2:$B$9,MATCH($B44,Minutes_by_use_case!$A$2:$A$9,0)),Current_DTE!O44),"-")</f>
        <v>3000.2460561111111</v>
      </c>
      <c r="P44" s="105">
        <f>IFERROR(IF(ISBLANK(Current_DTE!P44),INDEX(Minutes_by_use_case!$B$2:$B$9,MATCH($B44,Minutes_by_use_case!$A$2:$A$9,0)),Current_DTE!P44),"-")</f>
        <v>3000.2460561111111</v>
      </c>
      <c r="Q44" s="105">
        <f>IFERROR(IF(ISBLANK(Current_DTE!Q44),INDEX(Minutes_by_use_case!$B$2:$B$9,MATCH($B44,Minutes_by_use_case!$A$2:$A$9,0)),Current_DTE!Q44),"-")</f>
        <v>3000.2460561111111</v>
      </c>
      <c r="R44" s="105">
        <f>IFERROR(IF(ISBLANK(Current_DTE!R44),INDEX(Minutes_by_use_case!$B$2:$B$9,MATCH($B44,Minutes_by_use_case!$A$2:$A$9,0)),Current_DTE!R44),"-")</f>
        <v>3000.2460561111111</v>
      </c>
      <c r="S44" s="105">
        <f>IFERROR(IF(ISBLANK(Current_DTE!S44),INDEX(Minutes_by_use_case!$B$2:$B$9,MATCH($B44,Minutes_by_use_case!$A$2:$A$9,0)),Current_DTE!S44),"-")</f>
        <v>3000.2460561111111</v>
      </c>
      <c r="T44" s="105">
        <f>IFERROR(IF(ISBLANK(Current_DTE!T44),INDEX(Minutes_by_use_case!$B$2:$B$9,MATCH($B44,Minutes_by_use_case!$A$2:$A$9,0)),Current_DTE!T44),"-")</f>
        <v>3000.2460561111111</v>
      </c>
      <c r="U44" s="105">
        <f>IFERROR(IF(ISBLANK(Current_DTE!U44),INDEX(Minutes_by_use_case!$B$2:$B$9,MATCH($B44,Minutes_by_use_case!$A$2:$A$9,0)),Current_DTE!U44),"-")</f>
        <v>3000.2460561111111</v>
      </c>
      <c r="V44" s="105">
        <f>IFERROR(IF(ISBLANK(Current_DTE!V44),INDEX(Minutes_by_use_case!$B$2:$B$9,MATCH($B44,Minutes_by_use_case!$A$2:$A$9,0)),Current_DTE!V44),"-")</f>
        <v>3000.2460561111111</v>
      </c>
    </row>
    <row r="45" spans="1:22" x14ac:dyDescent="0.3">
      <c r="A45" s="29" t="s">
        <v>35</v>
      </c>
      <c r="B45" s="30" t="s">
        <v>40</v>
      </c>
      <c r="C45" s="105">
        <f>IFERROR(IF(ISBLANK(Current_DTE!C45),INDEX(Minutes_by_use_case!$B$2:$B$9,MATCH($B45,Minutes_by_use_case!$A$2:$A$9,0)),Current_DTE!C45),"-")</f>
        <v>2140.4341038095235</v>
      </c>
      <c r="D45" s="105">
        <f>IFERROR(IF(ISBLANK(Current_DTE!D45),INDEX(Minutes_by_use_case!$B$2:$B$9,MATCH($B45,Minutes_by_use_case!$A$2:$A$9,0)),Current_DTE!D45),"-")</f>
        <v>2140.4341038095235</v>
      </c>
      <c r="E45" s="105">
        <f>IFERROR(IF(ISBLANK(Current_DTE!E45),INDEX(Minutes_by_use_case!$B$2:$B$9,MATCH($B45,Minutes_by_use_case!$A$2:$A$9,0)),Current_DTE!E45),"-")</f>
        <v>2140.4341038095235</v>
      </c>
      <c r="F45" s="105">
        <f>IFERROR(IF(ISBLANK(Current_DTE!F45),INDEX(Minutes_by_use_case!$B$2:$B$9,MATCH($B45,Minutes_by_use_case!$A$2:$A$9,0)),Current_DTE!F45),"-")</f>
        <v>2140.4341038095235</v>
      </c>
      <c r="G45" s="105">
        <f>IFERROR(IF(ISBLANK(Current_DTE!G45),INDEX(Minutes_by_use_case!$B$2:$B$9,MATCH($B45,Minutes_by_use_case!$A$2:$A$9,0)),Current_DTE!G45),"-")</f>
        <v>2140.4341038095235</v>
      </c>
      <c r="H45" s="105">
        <f>IFERROR(IF(ISBLANK(Current_DTE!H45),INDEX(Minutes_by_use_case!$B$2:$B$9,MATCH($B45,Minutes_by_use_case!$A$2:$A$9,0)),Current_DTE!H45),"-")</f>
        <v>2140.4341038095235</v>
      </c>
      <c r="I45" s="105">
        <f>IFERROR(IF(ISBLANK(Current_DTE!I45),INDEX(Minutes_by_use_case!$B$2:$B$9,MATCH($B45,Minutes_by_use_case!$A$2:$A$9,0)),Current_DTE!I45),"-")</f>
        <v>2140.4341038095235</v>
      </c>
      <c r="J45" s="105">
        <f>IFERROR(IF(ISBLANK(Current_DTE!J45),INDEX(Minutes_by_use_case!$B$2:$B$9,MATCH($B45,Minutes_by_use_case!$A$2:$A$9,0)),Current_DTE!J45),"-")</f>
        <v>2140.4341038095235</v>
      </c>
      <c r="K45" s="105">
        <f>IFERROR(IF(ISBLANK(Current_DTE!K45),INDEX(Minutes_by_use_case!$B$2:$B$9,MATCH($B45,Minutes_by_use_case!$A$2:$A$9,0)),Current_DTE!K45),"-")</f>
        <v>2140.4341038095235</v>
      </c>
      <c r="L45" s="105">
        <f>IFERROR(IF(ISBLANK(Current_DTE!L45),INDEX(Minutes_by_use_case!$B$2:$B$9,MATCH($B45,Minutes_by_use_case!$A$2:$A$9,0)),Current_DTE!L45),"-")</f>
        <v>2140.4341038095235</v>
      </c>
      <c r="M45" s="105">
        <f>IFERROR(IF(ISBLANK(Current_DTE!M45),INDEX(Minutes_by_use_case!$B$2:$B$9,MATCH($B45,Minutes_by_use_case!$A$2:$A$9,0)),Current_DTE!M45),"-")</f>
        <v>2140.4341038095235</v>
      </c>
      <c r="N45" s="105">
        <f>IFERROR(IF(ISBLANK(Current_DTE!N45),INDEX(Minutes_by_use_case!$B$2:$B$9,MATCH($B45,Minutes_by_use_case!$A$2:$A$9,0)),Current_DTE!N45),"-")</f>
        <v>2140.4341038095235</v>
      </c>
      <c r="O45" s="105">
        <f>IFERROR(IF(ISBLANK(Current_DTE!O45),INDEX(Minutes_by_use_case!$B$2:$B$9,MATCH($B45,Minutes_by_use_case!$A$2:$A$9,0)),Current_DTE!O45),"-")</f>
        <v>2140.4341038095235</v>
      </c>
      <c r="P45" s="105">
        <f>IFERROR(IF(ISBLANK(Current_DTE!P45),INDEX(Minutes_by_use_case!$B$2:$B$9,MATCH($B45,Minutes_by_use_case!$A$2:$A$9,0)),Current_DTE!P45),"-")</f>
        <v>2140.4341038095235</v>
      </c>
      <c r="Q45" s="105">
        <f>IFERROR(IF(ISBLANK(Current_DTE!Q45),INDEX(Minutes_by_use_case!$B$2:$B$9,MATCH($B45,Minutes_by_use_case!$A$2:$A$9,0)),Current_DTE!Q45),"-")</f>
        <v>2140.4341038095235</v>
      </c>
      <c r="R45" s="105">
        <f>IFERROR(IF(ISBLANK(Current_DTE!R45),INDEX(Minutes_by_use_case!$B$2:$B$9,MATCH($B45,Minutes_by_use_case!$A$2:$A$9,0)),Current_DTE!R45),"-")</f>
        <v>2140.4341038095235</v>
      </c>
      <c r="S45" s="105">
        <f>IFERROR(IF(ISBLANK(Current_DTE!S45),INDEX(Minutes_by_use_case!$B$2:$B$9,MATCH($B45,Minutes_by_use_case!$A$2:$A$9,0)),Current_DTE!S45),"-")</f>
        <v>2140.4341038095235</v>
      </c>
      <c r="T45" s="105">
        <f>IFERROR(IF(ISBLANK(Current_DTE!T45),INDEX(Minutes_by_use_case!$B$2:$B$9,MATCH($B45,Minutes_by_use_case!$A$2:$A$9,0)),Current_DTE!T45),"-")</f>
        <v>2140.4341038095235</v>
      </c>
      <c r="U45" s="105">
        <f>IFERROR(IF(ISBLANK(Current_DTE!U45),INDEX(Minutes_by_use_case!$B$2:$B$9,MATCH($B45,Minutes_by_use_case!$A$2:$A$9,0)),Current_DTE!U45),"-")</f>
        <v>2140.4341038095235</v>
      </c>
      <c r="V45" s="105">
        <f>IFERROR(IF(ISBLANK(Current_DTE!V45),INDEX(Minutes_by_use_case!$B$2:$B$9,MATCH($B45,Minutes_by_use_case!$A$2:$A$9,0)),Current_DTE!V45),"-")</f>
        <v>2140.4341038095235</v>
      </c>
    </row>
    <row r="46" spans="1:22" x14ac:dyDescent="0.3">
      <c r="A46" s="29" t="s">
        <v>36</v>
      </c>
      <c r="B46" s="30" t="s">
        <v>40</v>
      </c>
      <c r="C46" s="105">
        <f>IFERROR(IF(ISBLANK(Current_DTE!C46),INDEX(Minutes_by_use_case!$B$2:$B$9,MATCH($B46,Minutes_by_use_case!$A$2:$A$9,0)),Current_DTE!C46),"-")</f>
        <v>2140.4341038095235</v>
      </c>
      <c r="D46" s="105">
        <f>IFERROR(IF(ISBLANK(Current_DTE!D46),INDEX(Minutes_by_use_case!$B$2:$B$9,MATCH($B46,Minutes_by_use_case!$A$2:$A$9,0)),Current_DTE!D46),"-")</f>
        <v>2140.4341038095235</v>
      </c>
      <c r="E46" s="105">
        <f>IFERROR(IF(ISBLANK(Current_DTE!E46),INDEX(Minutes_by_use_case!$B$2:$B$9,MATCH($B46,Minutes_by_use_case!$A$2:$A$9,0)),Current_DTE!E46),"-")</f>
        <v>2140.4341038095235</v>
      </c>
      <c r="F46" s="105">
        <f>IFERROR(IF(ISBLANK(Current_DTE!F46),INDEX(Minutes_by_use_case!$B$2:$B$9,MATCH($B46,Minutes_by_use_case!$A$2:$A$9,0)),Current_DTE!F46),"-")</f>
        <v>2140.4341038095235</v>
      </c>
      <c r="G46" s="105">
        <f>IFERROR(IF(ISBLANK(Current_DTE!G46),INDEX(Minutes_by_use_case!$B$2:$B$9,MATCH($B46,Minutes_by_use_case!$A$2:$A$9,0)),Current_DTE!G46),"-")</f>
        <v>2140.4341038095235</v>
      </c>
      <c r="H46" s="105">
        <f>IFERROR(IF(ISBLANK(Current_DTE!H46),INDEX(Minutes_by_use_case!$B$2:$B$9,MATCH($B46,Minutes_by_use_case!$A$2:$A$9,0)),Current_DTE!H46),"-")</f>
        <v>2140.4341038095235</v>
      </c>
      <c r="I46" s="105">
        <f>IFERROR(IF(ISBLANK(Current_DTE!I46),INDEX(Minutes_by_use_case!$B$2:$B$9,MATCH($B46,Minutes_by_use_case!$A$2:$A$9,0)),Current_DTE!I46),"-")</f>
        <v>2140.4341038095235</v>
      </c>
      <c r="J46" s="105">
        <f>IFERROR(IF(ISBLANK(Current_DTE!J46),INDEX(Minutes_by_use_case!$B$2:$B$9,MATCH($B46,Minutes_by_use_case!$A$2:$A$9,0)),Current_DTE!J46),"-")</f>
        <v>2140.4341038095235</v>
      </c>
      <c r="K46" s="105">
        <f>IFERROR(IF(ISBLANK(Current_DTE!K46),INDEX(Minutes_by_use_case!$B$2:$B$9,MATCH($B46,Minutes_by_use_case!$A$2:$A$9,0)),Current_DTE!K46),"-")</f>
        <v>2140.4341038095235</v>
      </c>
      <c r="L46" s="105">
        <f>IFERROR(IF(ISBLANK(Current_DTE!L46),INDEX(Minutes_by_use_case!$B$2:$B$9,MATCH($B46,Minutes_by_use_case!$A$2:$A$9,0)),Current_DTE!L46),"-")</f>
        <v>2140.4341038095235</v>
      </c>
      <c r="M46" s="105">
        <f>IFERROR(IF(ISBLANK(Current_DTE!M46),INDEX(Minutes_by_use_case!$B$2:$B$9,MATCH($B46,Minutes_by_use_case!$A$2:$A$9,0)),Current_DTE!M46),"-")</f>
        <v>2140.4341038095235</v>
      </c>
      <c r="N46" s="105">
        <f>IFERROR(IF(ISBLANK(Current_DTE!N46),INDEX(Minutes_by_use_case!$B$2:$B$9,MATCH($B46,Minutes_by_use_case!$A$2:$A$9,0)),Current_DTE!N46),"-")</f>
        <v>2140.4341038095235</v>
      </c>
      <c r="O46" s="105">
        <f>IFERROR(IF(ISBLANK(Current_DTE!O46),INDEX(Minutes_by_use_case!$B$2:$B$9,MATCH($B46,Minutes_by_use_case!$A$2:$A$9,0)),Current_DTE!O46),"-")</f>
        <v>2140.4341038095235</v>
      </c>
      <c r="P46" s="105">
        <f>IFERROR(IF(ISBLANK(Current_DTE!P46),INDEX(Minutes_by_use_case!$B$2:$B$9,MATCH($B46,Minutes_by_use_case!$A$2:$A$9,0)),Current_DTE!P46),"-")</f>
        <v>2140.4341038095235</v>
      </c>
      <c r="Q46" s="105">
        <f>IFERROR(IF(ISBLANK(Current_DTE!Q46),INDEX(Minutes_by_use_case!$B$2:$B$9,MATCH($B46,Minutes_by_use_case!$A$2:$A$9,0)),Current_DTE!Q46),"-")</f>
        <v>2140.4341038095235</v>
      </c>
      <c r="R46" s="105">
        <f>IFERROR(IF(ISBLANK(Current_DTE!R46),INDEX(Minutes_by_use_case!$B$2:$B$9,MATCH($B46,Minutes_by_use_case!$A$2:$A$9,0)),Current_DTE!R46),"-")</f>
        <v>2140.4341038095235</v>
      </c>
      <c r="S46" s="105">
        <f>IFERROR(IF(ISBLANK(Current_DTE!S46),INDEX(Minutes_by_use_case!$B$2:$B$9,MATCH($B46,Minutes_by_use_case!$A$2:$A$9,0)),Current_DTE!S46),"-")</f>
        <v>2140.4341038095235</v>
      </c>
      <c r="T46" s="105">
        <f>IFERROR(IF(ISBLANK(Current_DTE!T46),INDEX(Minutes_by_use_case!$B$2:$B$9,MATCH($B46,Minutes_by_use_case!$A$2:$A$9,0)),Current_DTE!T46),"-")</f>
        <v>2140.4341038095235</v>
      </c>
      <c r="U46" s="105">
        <f>IFERROR(IF(ISBLANK(Current_DTE!U46),INDEX(Minutes_by_use_case!$B$2:$B$9,MATCH($B46,Minutes_by_use_case!$A$2:$A$9,0)),Current_DTE!U46),"-")</f>
        <v>2140.4341038095235</v>
      </c>
      <c r="V46" s="105">
        <f>IFERROR(IF(ISBLANK(Current_DTE!V46),INDEX(Minutes_by_use_case!$B$2:$B$9,MATCH($B46,Minutes_by_use_case!$A$2:$A$9,0)),Current_DTE!V46),"-")</f>
        <v>2140.4341038095235</v>
      </c>
    </row>
    <row r="47" spans="1:22" x14ac:dyDescent="0.3">
      <c r="A47" s="29" t="s">
        <v>37</v>
      </c>
      <c r="B47" s="30" t="s">
        <v>40</v>
      </c>
      <c r="C47" s="105">
        <f>IFERROR(IF(ISBLANK(Current_DTE!C47),INDEX(Minutes_by_use_case!$B$2:$B$9,MATCH($B47,Minutes_by_use_case!$A$2:$A$9,0)),Current_DTE!C47),"-")</f>
        <v>2140.4341038095235</v>
      </c>
      <c r="D47" s="105">
        <f>IFERROR(IF(ISBLANK(Current_DTE!D47),INDEX(Minutes_by_use_case!$B$2:$B$9,MATCH($B47,Minutes_by_use_case!$A$2:$A$9,0)),Current_DTE!D47),"-")</f>
        <v>2140.4341038095235</v>
      </c>
      <c r="E47" s="105">
        <f>IFERROR(IF(ISBLANK(Current_DTE!E47),INDEX(Minutes_by_use_case!$B$2:$B$9,MATCH($B47,Minutes_by_use_case!$A$2:$A$9,0)),Current_DTE!E47),"-")</f>
        <v>2140.4341038095235</v>
      </c>
      <c r="F47" s="105">
        <f>IFERROR(IF(ISBLANK(Current_DTE!F47),INDEX(Minutes_by_use_case!$B$2:$B$9,MATCH($B47,Minutes_by_use_case!$A$2:$A$9,0)),Current_DTE!F47),"-")</f>
        <v>2140.4341038095235</v>
      </c>
      <c r="G47" s="105">
        <f>IFERROR(IF(ISBLANK(Current_DTE!G47),INDEX(Minutes_by_use_case!$B$2:$B$9,MATCH($B47,Minutes_by_use_case!$A$2:$A$9,0)),Current_DTE!G47),"-")</f>
        <v>2140.4341038095235</v>
      </c>
      <c r="H47" s="105">
        <f>IFERROR(IF(ISBLANK(Current_DTE!H47),INDEX(Minutes_by_use_case!$B$2:$B$9,MATCH($B47,Minutes_by_use_case!$A$2:$A$9,0)),Current_DTE!H47),"-")</f>
        <v>2140.4341038095235</v>
      </c>
      <c r="I47" s="105">
        <f>IFERROR(IF(ISBLANK(Current_DTE!I47),INDEX(Minutes_by_use_case!$B$2:$B$9,MATCH($B47,Minutes_by_use_case!$A$2:$A$9,0)),Current_DTE!I47),"-")</f>
        <v>2140.4341038095235</v>
      </c>
      <c r="J47" s="105">
        <f>IFERROR(IF(ISBLANK(Current_DTE!J47),INDEX(Minutes_by_use_case!$B$2:$B$9,MATCH($B47,Minutes_by_use_case!$A$2:$A$9,0)),Current_DTE!J47),"-")</f>
        <v>2140.4341038095235</v>
      </c>
      <c r="K47" s="105">
        <f>IFERROR(IF(ISBLANK(Current_DTE!K47),INDEX(Minutes_by_use_case!$B$2:$B$9,MATCH($B47,Minutes_by_use_case!$A$2:$A$9,0)),Current_DTE!K47),"-")</f>
        <v>2140.4341038095235</v>
      </c>
      <c r="L47" s="105">
        <f>IFERROR(IF(ISBLANK(Current_DTE!L47),INDEX(Minutes_by_use_case!$B$2:$B$9,MATCH($B47,Minutes_by_use_case!$A$2:$A$9,0)),Current_DTE!L47),"-")</f>
        <v>2140.4341038095235</v>
      </c>
      <c r="M47" s="105">
        <f>IFERROR(IF(ISBLANK(Current_DTE!M47),INDEX(Minutes_by_use_case!$B$2:$B$9,MATCH($B47,Minutes_by_use_case!$A$2:$A$9,0)),Current_DTE!M47),"-")</f>
        <v>2140.4341038095235</v>
      </c>
      <c r="N47" s="105">
        <f>IFERROR(IF(ISBLANK(Current_DTE!N47),INDEX(Minutes_by_use_case!$B$2:$B$9,MATCH($B47,Minutes_by_use_case!$A$2:$A$9,0)),Current_DTE!N47),"-")</f>
        <v>2140.4341038095235</v>
      </c>
      <c r="O47" s="105">
        <f>IFERROR(IF(ISBLANK(Current_DTE!O47),INDEX(Minutes_by_use_case!$B$2:$B$9,MATCH($B47,Minutes_by_use_case!$A$2:$A$9,0)),Current_DTE!O47),"-")</f>
        <v>2140.4341038095235</v>
      </c>
      <c r="P47" s="105">
        <f>IFERROR(IF(ISBLANK(Current_DTE!P47),INDEX(Minutes_by_use_case!$B$2:$B$9,MATCH($B47,Minutes_by_use_case!$A$2:$A$9,0)),Current_DTE!P47),"-")</f>
        <v>2140.4341038095235</v>
      </c>
      <c r="Q47" s="105">
        <f>IFERROR(IF(ISBLANK(Current_DTE!Q47),INDEX(Minutes_by_use_case!$B$2:$B$9,MATCH($B47,Minutes_by_use_case!$A$2:$A$9,0)),Current_DTE!Q47),"-")</f>
        <v>2140.4341038095235</v>
      </c>
      <c r="R47" s="105">
        <f>IFERROR(IF(ISBLANK(Current_DTE!R47),INDEX(Minutes_by_use_case!$B$2:$B$9,MATCH($B47,Minutes_by_use_case!$A$2:$A$9,0)),Current_DTE!R47),"-")</f>
        <v>2140.4341038095235</v>
      </c>
      <c r="S47" s="105">
        <f>IFERROR(IF(ISBLANK(Current_DTE!S47),INDEX(Minutes_by_use_case!$B$2:$B$9,MATCH($B47,Minutes_by_use_case!$A$2:$A$9,0)),Current_DTE!S47),"-")</f>
        <v>2140.4341038095235</v>
      </c>
      <c r="T47" s="105">
        <f>IFERROR(IF(ISBLANK(Current_DTE!T47),INDEX(Minutes_by_use_case!$B$2:$B$9,MATCH($B47,Minutes_by_use_case!$A$2:$A$9,0)),Current_DTE!T47),"-")</f>
        <v>2140.4341038095235</v>
      </c>
      <c r="U47" s="105">
        <f>IFERROR(IF(ISBLANK(Current_DTE!U47),INDEX(Minutes_by_use_case!$B$2:$B$9,MATCH($B47,Minutes_by_use_case!$A$2:$A$9,0)),Current_DTE!U47),"-")</f>
        <v>2140.4341038095235</v>
      </c>
      <c r="V47" s="105">
        <f>IFERROR(IF(ISBLANK(Current_DTE!V47),INDEX(Minutes_by_use_case!$B$2:$B$9,MATCH($B47,Minutes_by_use_case!$A$2:$A$9,0)),Current_DTE!V47),"-")</f>
        <v>2140.4341038095235</v>
      </c>
    </row>
    <row r="48" spans="1:22" x14ac:dyDescent="0.3">
      <c r="A48" s="29" t="s">
        <v>38</v>
      </c>
      <c r="B48" s="30" t="s">
        <v>41</v>
      </c>
      <c r="C48" s="105">
        <f>IFERROR(IF(ISBLANK(Current_DTE!C48),INDEX(Minutes_by_use_case!$B$2:$B$9,MATCH($B48,Minutes_by_use_case!$A$2:$A$9,0)),Current_DTE!C48),"-")</f>
        <v>133409.35004928565</v>
      </c>
      <c r="D48" s="105">
        <f>IFERROR(IF(ISBLANK(Current_DTE!D48),INDEX(Minutes_by_use_case!$B$2:$B$9,MATCH($B48,Minutes_by_use_case!$A$2:$A$9,0)),Current_DTE!D48),"-")</f>
        <v>133409.35004928565</v>
      </c>
      <c r="E48" s="105">
        <f>IFERROR(IF(ISBLANK(Current_DTE!E48),INDEX(Minutes_by_use_case!$B$2:$B$9,MATCH($B48,Minutes_by_use_case!$A$2:$A$9,0)),Current_DTE!E48),"-")</f>
        <v>133409.35004928565</v>
      </c>
      <c r="F48" s="105">
        <f>IFERROR(IF(ISBLANK(Current_DTE!F48),INDEX(Minutes_by_use_case!$B$2:$B$9,MATCH($B48,Minutes_by_use_case!$A$2:$A$9,0)),Current_DTE!F48),"-")</f>
        <v>133409.35004928565</v>
      </c>
      <c r="G48" s="105">
        <f>IFERROR(IF(ISBLANK(Current_DTE!G48),INDEX(Minutes_by_use_case!$B$2:$B$9,MATCH($B48,Minutes_by_use_case!$A$2:$A$9,0)),Current_DTE!G48),"-")</f>
        <v>133409.35004928565</v>
      </c>
      <c r="H48" s="105">
        <f>IFERROR(IF(ISBLANK(Current_DTE!H48),INDEX(Minutes_by_use_case!$B$2:$B$9,MATCH($B48,Minutes_by_use_case!$A$2:$A$9,0)),Current_DTE!H48),"-")</f>
        <v>133409.35004928565</v>
      </c>
      <c r="I48" s="105">
        <f>IFERROR(IF(ISBLANK(Current_DTE!I48),INDEX(Minutes_by_use_case!$B$2:$B$9,MATCH($B48,Minutes_by_use_case!$A$2:$A$9,0)),Current_DTE!I48),"-")</f>
        <v>133409.35004928565</v>
      </c>
      <c r="J48" s="105">
        <f>IFERROR(IF(ISBLANK(Current_DTE!J48),INDEX(Minutes_by_use_case!$B$2:$B$9,MATCH($B48,Minutes_by_use_case!$A$2:$A$9,0)),Current_DTE!J48),"-")</f>
        <v>133409.35004928565</v>
      </c>
      <c r="K48" s="105">
        <f>IFERROR(IF(ISBLANK(Current_DTE!K48),INDEX(Minutes_by_use_case!$B$2:$B$9,MATCH($B48,Minutes_by_use_case!$A$2:$A$9,0)),Current_DTE!K48),"-")</f>
        <v>133409.35004928565</v>
      </c>
      <c r="L48" s="105">
        <f>IFERROR(IF(ISBLANK(Current_DTE!L48),INDEX(Minutes_by_use_case!$B$2:$B$9,MATCH($B48,Minutes_by_use_case!$A$2:$A$9,0)),Current_DTE!L48),"-")</f>
        <v>133409.35004928565</v>
      </c>
      <c r="M48" s="105">
        <f>IFERROR(IF(ISBLANK(Current_DTE!M48),INDEX(Minutes_by_use_case!$B$2:$B$9,MATCH($B48,Minutes_by_use_case!$A$2:$A$9,0)),Current_DTE!M48),"-")</f>
        <v>133409.35004928565</v>
      </c>
      <c r="N48" s="105">
        <f>IFERROR(IF(ISBLANK(Current_DTE!N48),INDEX(Minutes_by_use_case!$B$2:$B$9,MATCH($B48,Minutes_by_use_case!$A$2:$A$9,0)),Current_DTE!N48),"-")</f>
        <v>133409.35004928565</v>
      </c>
      <c r="O48" s="105">
        <f>IFERROR(IF(ISBLANK(Current_DTE!O48),INDEX(Minutes_by_use_case!$B$2:$B$9,MATCH($B48,Minutes_by_use_case!$A$2:$A$9,0)),Current_DTE!O48),"-")</f>
        <v>133409.35004928565</v>
      </c>
      <c r="P48" s="105">
        <f>IFERROR(IF(ISBLANK(Current_DTE!P48),INDEX(Minutes_by_use_case!$B$2:$B$9,MATCH($B48,Minutes_by_use_case!$A$2:$A$9,0)),Current_DTE!P48),"-")</f>
        <v>133409.35004928565</v>
      </c>
      <c r="Q48" s="105">
        <f>IFERROR(IF(ISBLANK(Current_DTE!Q48),INDEX(Minutes_by_use_case!$B$2:$B$9,MATCH($B48,Minutes_by_use_case!$A$2:$A$9,0)),Current_DTE!Q48),"-")</f>
        <v>133409.35004928565</v>
      </c>
      <c r="R48" s="105">
        <f>IFERROR(IF(ISBLANK(Current_DTE!R48),INDEX(Minutes_by_use_case!$B$2:$B$9,MATCH($B48,Minutes_by_use_case!$A$2:$A$9,0)),Current_DTE!R48),"-")</f>
        <v>133409.35004928565</v>
      </c>
      <c r="S48" s="105">
        <f>IFERROR(IF(ISBLANK(Current_DTE!S48),INDEX(Minutes_by_use_case!$B$2:$B$9,MATCH($B48,Minutes_by_use_case!$A$2:$A$9,0)),Current_DTE!S48),"-")</f>
        <v>133409.35004928565</v>
      </c>
      <c r="T48" s="105">
        <f>IFERROR(IF(ISBLANK(Current_DTE!T48),INDEX(Minutes_by_use_case!$B$2:$B$9,MATCH($B48,Minutes_by_use_case!$A$2:$A$9,0)),Current_DTE!T48),"-")</f>
        <v>133409.35004928565</v>
      </c>
      <c r="U48" s="105">
        <f>IFERROR(IF(ISBLANK(Current_DTE!U48),INDEX(Minutes_by_use_case!$B$2:$B$9,MATCH($B48,Minutes_by_use_case!$A$2:$A$9,0)),Current_DTE!U48),"-")</f>
        <v>133409.35004928565</v>
      </c>
      <c r="V48" s="105">
        <f>IFERROR(IF(ISBLANK(Current_DTE!V48),INDEX(Minutes_by_use_case!$B$2:$B$9,MATCH($B48,Minutes_by_use_case!$A$2:$A$9,0)),Current_DTE!V48),"-")</f>
        <v>133409.35004928565</v>
      </c>
    </row>
    <row r="49" spans="1:22" x14ac:dyDescent="0.3">
      <c r="A49" s="29" t="str">
        <f>lifespans_all!A49</f>
        <v>New</v>
      </c>
      <c r="B49" s="29" t="str">
        <f>lifespans_all!B49</f>
        <v>Human Space Flight</v>
      </c>
      <c r="C49" s="105">
        <f>IFERROR(IF(ISBLANK(Current_DTE!C49),INDEX(Minutes_by_use_case!$B$2:$B$9,MATCH($B49,Minutes_by_use_case!$A$2:$A$9,0)),Current_DTE!C49),"-")</f>
        <v>171572.29579277776</v>
      </c>
      <c r="D49" s="105">
        <f>IFERROR(IF(ISBLANK(Current_DTE!D49),INDEX(Minutes_by_use_case!$B$2:$B$9,MATCH($B49,Minutes_by_use_case!$A$2:$A$9,0)),Current_DTE!D49),"-")</f>
        <v>171572.29579277776</v>
      </c>
      <c r="E49" s="105">
        <f>IFERROR(IF(ISBLANK(Current_DTE!E49),INDEX(Minutes_by_use_case!$B$2:$B$9,MATCH($B49,Minutes_by_use_case!$A$2:$A$9,0)),Current_DTE!E49),"-")</f>
        <v>171572.29579277776</v>
      </c>
      <c r="F49" s="105">
        <f>IFERROR(IF(ISBLANK(Current_DTE!F49),INDEX(Minutes_by_use_case!$B$2:$B$9,MATCH($B49,Minutes_by_use_case!$A$2:$A$9,0)),Current_DTE!F49),"-")</f>
        <v>171572.29579277776</v>
      </c>
      <c r="G49" s="105">
        <f>IFERROR(IF(ISBLANK(Current_DTE!G49),INDEX(Minutes_by_use_case!$B$2:$B$9,MATCH($B49,Minutes_by_use_case!$A$2:$A$9,0)),Current_DTE!G49),"-")</f>
        <v>171572.29579277776</v>
      </c>
      <c r="H49" s="105">
        <f>IFERROR(IF(ISBLANK(Current_DTE!H49),INDEX(Minutes_by_use_case!$B$2:$B$9,MATCH($B49,Minutes_by_use_case!$A$2:$A$9,0)),Current_DTE!H49),"-")</f>
        <v>171572.29579277776</v>
      </c>
      <c r="I49" s="105">
        <f>IFERROR(IF(ISBLANK(Current_DTE!I49),INDEX(Minutes_by_use_case!$B$2:$B$9,MATCH($B49,Minutes_by_use_case!$A$2:$A$9,0)),Current_DTE!I49),"-")</f>
        <v>171572.29579277776</v>
      </c>
      <c r="J49" s="105">
        <f>IFERROR(IF(ISBLANK(Current_DTE!J49),INDEX(Minutes_by_use_case!$B$2:$B$9,MATCH($B49,Minutes_by_use_case!$A$2:$A$9,0)),Current_DTE!J49),"-")</f>
        <v>171572.29579277776</v>
      </c>
      <c r="K49" s="105">
        <f>IFERROR(IF(ISBLANK(Current_DTE!K49),INDEX(Minutes_by_use_case!$B$2:$B$9,MATCH($B49,Minutes_by_use_case!$A$2:$A$9,0)),Current_DTE!K49),"-")</f>
        <v>171572.29579277776</v>
      </c>
      <c r="L49" s="105">
        <f>IFERROR(IF(ISBLANK(Current_DTE!L49),INDEX(Minutes_by_use_case!$B$2:$B$9,MATCH($B49,Minutes_by_use_case!$A$2:$A$9,0)),Current_DTE!L49),"-")</f>
        <v>171572.29579277776</v>
      </c>
      <c r="M49" s="105">
        <f>IFERROR(IF(ISBLANK(Current_DTE!M49),INDEX(Minutes_by_use_case!$B$2:$B$9,MATCH($B49,Minutes_by_use_case!$A$2:$A$9,0)),Current_DTE!M49),"-")</f>
        <v>171572.29579277776</v>
      </c>
      <c r="N49" s="105">
        <f>IFERROR(IF(ISBLANK(Current_DTE!N49),INDEX(Minutes_by_use_case!$B$2:$B$9,MATCH($B49,Minutes_by_use_case!$A$2:$A$9,0)),Current_DTE!N49),"-")</f>
        <v>171572.29579277776</v>
      </c>
      <c r="O49" s="105">
        <f>IFERROR(IF(ISBLANK(Current_DTE!O49),INDEX(Minutes_by_use_case!$B$2:$B$9,MATCH($B49,Minutes_by_use_case!$A$2:$A$9,0)),Current_DTE!O49),"-")</f>
        <v>171572.29579277776</v>
      </c>
      <c r="P49" s="105">
        <f>IFERROR(IF(ISBLANK(Current_DTE!P49),INDEX(Minutes_by_use_case!$B$2:$B$9,MATCH($B49,Minutes_by_use_case!$A$2:$A$9,0)),Current_DTE!P49),"-")</f>
        <v>171572.29579277776</v>
      </c>
      <c r="Q49" s="105">
        <f>IFERROR(IF(ISBLANK(Current_DTE!Q49),INDEX(Minutes_by_use_case!$B$2:$B$9,MATCH($B49,Minutes_by_use_case!$A$2:$A$9,0)),Current_DTE!Q49),"-")</f>
        <v>171572.29579277776</v>
      </c>
      <c r="R49" s="105">
        <f>IFERROR(IF(ISBLANK(Current_DTE!R49),INDEX(Minutes_by_use_case!$B$2:$B$9,MATCH($B49,Minutes_by_use_case!$A$2:$A$9,0)),Current_DTE!R49),"-")</f>
        <v>171572.29579277776</v>
      </c>
      <c r="S49" s="105">
        <f>IFERROR(IF(ISBLANK(Current_DTE!S49),INDEX(Minutes_by_use_case!$B$2:$B$9,MATCH($B49,Minutes_by_use_case!$A$2:$A$9,0)),Current_DTE!S49),"-")</f>
        <v>171572.29579277776</v>
      </c>
      <c r="T49" s="105">
        <f>IFERROR(IF(ISBLANK(Current_DTE!T49),INDEX(Minutes_by_use_case!$B$2:$B$9,MATCH($B49,Minutes_by_use_case!$A$2:$A$9,0)),Current_DTE!T49),"-")</f>
        <v>171572.29579277776</v>
      </c>
      <c r="U49" s="105">
        <f>IFERROR(IF(ISBLANK(Current_DTE!U49),INDEX(Minutes_by_use_case!$B$2:$B$9,MATCH($B49,Minutes_by_use_case!$A$2:$A$9,0)),Current_DTE!U49),"-")</f>
        <v>171572.29579277776</v>
      </c>
      <c r="V49" s="105">
        <f>IFERROR(IF(ISBLANK(Current_DTE!V49),INDEX(Minutes_by_use_case!$B$2:$B$9,MATCH($B49,Minutes_by_use_case!$A$2:$A$9,0)),Current_DTE!V49),"-")</f>
        <v>171572.29579277776</v>
      </c>
    </row>
    <row r="50" spans="1:22" x14ac:dyDescent="0.3">
      <c r="A50" s="29" t="str">
        <f>lifespans_all!A50</f>
        <v>New</v>
      </c>
      <c r="B50" s="29" t="str">
        <f>lifespans_all!B50</f>
        <v>Near Earth Robotic - LEO Science</v>
      </c>
      <c r="C50" s="105">
        <f>IFERROR(IF(ISBLANK(Current_DTE!C50),INDEX(Minutes_by_use_case!$B$2:$B$9,MATCH($B50,Minutes_by_use_case!$A$2:$A$9,0)),Current_DTE!C50),"-")</f>
        <v>26456.977183333336</v>
      </c>
      <c r="D50" s="105">
        <f>IFERROR(IF(ISBLANK(Current_DTE!D50),INDEX(Minutes_by_use_case!$B$2:$B$9,MATCH($B50,Minutes_by_use_case!$A$2:$A$9,0)),Current_DTE!D50),"-")</f>
        <v>25130.862380555554</v>
      </c>
      <c r="E50" s="105">
        <f>IFERROR(IF(ISBLANK(Current_DTE!E50),INDEX(Minutes_by_use_case!$B$2:$B$9,MATCH($B50,Minutes_by_use_case!$A$2:$A$9,0)),Current_DTE!E50),"-")</f>
        <v>21768.07003333333</v>
      </c>
      <c r="F50" s="105">
        <f>IFERROR(IF(ISBLANK(Current_DTE!F50),INDEX(Minutes_by_use_case!$B$2:$B$9,MATCH($B50,Minutes_by_use_case!$A$2:$A$9,0)),Current_DTE!F50),"-")</f>
        <v>26641.100873333336</v>
      </c>
      <c r="G50" s="105">
        <f>IFERROR(IF(ISBLANK(Current_DTE!G50),INDEX(Minutes_by_use_case!$B$2:$B$9,MATCH($B50,Minutes_by_use_case!$A$2:$A$9,0)),Current_DTE!G50),"-")</f>
        <v>26641.100873333336</v>
      </c>
      <c r="H50" s="105">
        <f>IFERROR(IF(ISBLANK(Current_DTE!H50),INDEX(Minutes_by_use_case!$B$2:$B$9,MATCH($B50,Minutes_by_use_case!$A$2:$A$9,0)),Current_DTE!H50),"-")</f>
        <v>26641.100873333336</v>
      </c>
      <c r="I50" s="105">
        <f>IFERROR(IF(ISBLANK(Current_DTE!I50),INDEX(Minutes_by_use_case!$B$2:$B$9,MATCH($B50,Minutes_by_use_case!$A$2:$A$9,0)),Current_DTE!I50),"-")</f>
        <v>26641.100873333336</v>
      </c>
      <c r="J50" s="105">
        <f>IFERROR(IF(ISBLANK(Current_DTE!J50),INDEX(Minutes_by_use_case!$B$2:$B$9,MATCH($B50,Minutes_by_use_case!$A$2:$A$9,0)),Current_DTE!J50),"-")</f>
        <v>26641.100873333336</v>
      </c>
      <c r="K50" s="105">
        <f>IFERROR(IF(ISBLANK(Current_DTE!K50),INDEX(Minutes_by_use_case!$B$2:$B$9,MATCH($B50,Minutes_by_use_case!$A$2:$A$9,0)),Current_DTE!K50),"-")</f>
        <v>26641.100873333336</v>
      </c>
      <c r="L50" s="105">
        <f>IFERROR(IF(ISBLANK(Current_DTE!L50),INDEX(Minutes_by_use_case!$B$2:$B$9,MATCH($B50,Minutes_by_use_case!$A$2:$A$9,0)),Current_DTE!L50),"-")</f>
        <v>26641.100873333336</v>
      </c>
      <c r="M50" s="105">
        <f>IFERROR(IF(ISBLANK(Current_DTE!M50),INDEX(Minutes_by_use_case!$B$2:$B$9,MATCH($B50,Minutes_by_use_case!$A$2:$A$9,0)),Current_DTE!M50),"-")</f>
        <v>26641.100873333336</v>
      </c>
      <c r="N50" s="105">
        <f>IFERROR(IF(ISBLANK(Current_DTE!N50),INDEX(Minutes_by_use_case!$B$2:$B$9,MATCH($B50,Minutes_by_use_case!$A$2:$A$9,0)),Current_DTE!N50),"-")</f>
        <v>26641.100873333336</v>
      </c>
      <c r="O50" s="105">
        <f>IFERROR(IF(ISBLANK(Current_DTE!O50),INDEX(Minutes_by_use_case!$B$2:$B$9,MATCH($B50,Minutes_by_use_case!$A$2:$A$9,0)),Current_DTE!O50),"-")</f>
        <v>26641.100873333336</v>
      </c>
      <c r="P50" s="105">
        <f>IFERROR(IF(ISBLANK(Current_DTE!P50),INDEX(Minutes_by_use_case!$B$2:$B$9,MATCH($B50,Minutes_by_use_case!$A$2:$A$9,0)),Current_DTE!P50),"-")</f>
        <v>26641.100873333336</v>
      </c>
      <c r="Q50" s="105">
        <f>IFERROR(IF(ISBLANK(Current_DTE!Q50),INDEX(Minutes_by_use_case!$B$2:$B$9,MATCH($B50,Minutes_by_use_case!$A$2:$A$9,0)),Current_DTE!Q50),"-")</f>
        <v>26641.100873333336</v>
      </c>
      <c r="R50" s="105">
        <f>IFERROR(IF(ISBLANK(Current_DTE!R50),INDEX(Minutes_by_use_case!$B$2:$B$9,MATCH($B50,Minutes_by_use_case!$A$2:$A$9,0)),Current_DTE!R50),"-")</f>
        <v>26641.100873333336</v>
      </c>
      <c r="S50" s="105">
        <f>IFERROR(IF(ISBLANK(Current_DTE!S50),INDEX(Minutes_by_use_case!$B$2:$B$9,MATCH($B50,Minutes_by_use_case!$A$2:$A$9,0)),Current_DTE!S50),"-")</f>
        <v>26641.100873333336</v>
      </c>
      <c r="T50" s="105">
        <f>IFERROR(IF(ISBLANK(Current_DTE!T50),INDEX(Minutes_by_use_case!$B$2:$B$9,MATCH($B50,Minutes_by_use_case!$A$2:$A$9,0)),Current_DTE!T50),"-")</f>
        <v>26641.100873333336</v>
      </c>
      <c r="U50" s="105">
        <f>IFERROR(IF(ISBLANK(Current_DTE!U50),INDEX(Minutes_by_use_case!$B$2:$B$9,MATCH($B50,Minutes_by_use_case!$A$2:$A$9,0)),Current_DTE!U50),"-")</f>
        <v>26641.100873333336</v>
      </c>
      <c r="V50" s="105">
        <f>IFERROR(IF(ISBLANK(Current_DTE!V50),INDEX(Minutes_by_use_case!$B$2:$B$9,MATCH($B50,Minutes_by_use_case!$A$2:$A$9,0)),Current_DTE!V50),"-")</f>
        <v>26641.100873333336</v>
      </c>
    </row>
    <row r="51" spans="1:22" x14ac:dyDescent="0.3">
      <c r="A51" s="29" t="str">
        <f>lifespans_all!A51</f>
        <v>New</v>
      </c>
      <c r="B51" s="29" t="str">
        <f>lifespans_all!B51</f>
        <v>Near Earth Robotic - GEO and Near Earth</v>
      </c>
      <c r="C51" s="105">
        <f>IFERROR(IF(ISBLANK(Current_DTE!C51),INDEX(Minutes_by_use_case!$B$2:$B$9,MATCH($B51,Minutes_by_use_case!$A$2:$A$9,0)),Current_DTE!C51),"-")</f>
        <v>2140.4341038095235</v>
      </c>
      <c r="D51" s="105">
        <f>IFERROR(IF(ISBLANK(Current_DTE!D51),INDEX(Minutes_by_use_case!$B$2:$B$9,MATCH($B51,Minutes_by_use_case!$A$2:$A$9,0)),Current_DTE!D51),"-")</f>
        <v>2140.4341038095235</v>
      </c>
      <c r="E51" s="105">
        <f>IFERROR(IF(ISBLANK(Current_DTE!E51),INDEX(Minutes_by_use_case!$B$2:$B$9,MATCH($B51,Minutes_by_use_case!$A$2:$A$9,0)),Current_DTE!E51),"-")</f>
        <v>2140.4341038095235</v>
      </c>
      <c r="F51" s="105">
        <f>IFERROR(IF(ISBLANK(Current_DTE!F51),INDEX(Minutes_by_use_case!$B$2:$B$9,MATCH($B51,Minutes_by_use_case!$A$2:$A$9,0)),Current_DTE!F51),"-")</f>
        <v>2140.4341038095235</v>
      </c>
      <c r="G51" s="105">
        <f>IFERROR(IF(ISBLANK(Current_DTE!G51),INDEX(Minutes_by_use_case!$B$2:$B$9,MATCH($B51,Minutes_by_use_case!$A$2:$A$9,0)),Current_DTE!G51),"-")</f>
        <v>2140.4341038095235</v>
      </c>
      <c r="H51" s="105">
        <f>IFERROR(IF(ISBLANK(Current_DTE!H51),INDEX(Minutes_by_use_case!$B$2:$B$9,MATCH($B51,Minutes_by_use_case!$A$2:$A$9,0)),Current_DTE!H51),"-")</f>
        <v>2140.4341038095235</v>
      </c>
      <c r="I51" s="105">
        <f>IFERROR(IF(ISBLANK(Current_DTE!I51),INDEX(Minutes_by_use_case!$B$2:$B$9,MATCH($B51,Minutes_by_use_case!$A$2:$A$9,0)),Current_DTE!I51),"-")</f>
        <v>2140.4341038095235</v>
      </c>
      <c r="J51" s="105">
        <f>IFERROR(IF(ISBLANK(Current_DTE!J51),INDEX(Minutes_by_use_case!$B$2:$B$9,MATCH($B51,Minutes_by_use_case!$A$2:$A$9,0)),Current_DTE!J51),"-")</f>
        <v>2140.4341038095235</v>
      </c>
      <c r="K51" s="105">
        <f>IFERROR(IF(ISBLANK(Current_DTE!K51),INDEX(Minutes_by_use_case!$B$2:$B$9,MATCH($B51,Minutes_by_use_case!$A$2:$A$9,0)),Current_DTE!K51),"-")</f>
        <v>2140.4341038095235</v>
      </c>
      <c r="L51" s="105">
        <f>IFERROR(IF(ISBLANK(Current_DTE!L51),INDEX(Minutes_by_use_case!$B$2:$B$9,MATCH($B51,Minutes_by_use_case!$A$2:$A$9,0)),Current_DTE!L51),"-")</f>
        <v>2140.4341038095235</v>
      </c>
      <c r="M51" s="105">
        <f>IFERROR(IF(ISBLANK(Current_DTE!M51),INDEX(Minutes_by_use_case!$B$2:$B$9,MATCH($B51,Minutes_by_use_case!$A$2:$A$9,0)),Current_DTE!M51),"-")</f>
        <v>2140.4341038095235</v>
      </c>
      <c r="N51" s="105">
        <f>IFERROR(IF(ISBLANK(Current_DTE!N51),INDEX(Minutes_by_use_case!$B$2:$B$9,MATCH($B51,Minutes_by_use_case!$A$2:$A$9,0)),Current_DTE!N51),"-")</f>
        <v>2140.4341038095235</v>
      </c>
      <c r="O51" s="105">
        <f>IFERROR(IF(ISBLANK(Current_DTE!O51),INDEX(Minutes_by_use_case!$B$2:$B$9,MATCH($B51,Minutes_by_use_case!$A$2:$A$9,0)),Current_DTE!O51),"-")</f>
        <v>2140.4341038095235</v>
      </c>
      <c r="P51" s="105">
        <f>IFERROR(IF(ISBLANK(Current_DTE!P51),INDEX(Minutes_by_use_case!$B$2:$B$9,MATCH($B51,Minutes_by_use_case!$A$2:$A$9,0)),Current_DTE!P51),"-")</f>
        <v>2140.4341038095235</v>
      </c>
      <c r="Q51" s="105">
        <f>IFERROR(IF(ISBLANK(Current_DTE!Q51),INDEX(Minutes_by_use_case!$B$2:$B$9,MATCH($B51,Minutes_by_use_case!$A$2:$A$9,0)),Current_DTE!Q51),"-")</f>
        <v>2140.4341038095235</v>
      </c>
      <c r="R51" s="105">
        <f>IFERROR(IF(ISBLANK(Current_DTE!R51),INDEX(Minutes_by_use_case!$B$2:$B$9,MATCH($B51,Minutes_by_use_case!$A$2:$A$9,0)),Current_DTE!R51),"-")</f>
        <v>2140.4341038095235</v>
      </c>
      <c r="S51" s="105">
        <f>IFERROR(IF(ISBLANK(Current_DTE!S51),INDEX(Minutes_by_use_case!$B$2:$B$9,MATCH($B51,Minutes_by_use_case!$A$2:$A$9,0)),Current_DTE!S51),"-")</f>
        <v>2140.4341038095235</v>
      </c>
      <c r="T51" s="105">
        <f>IFERROR(IF(ISBLANK(Current_DTE!T51),INDEX(Minutes_by_use_case!$B$2:$B$9,MATCH($B51,Minutes_by_use_case!$A$2:$A$9,0)),Current_DTE!T51),"-")</f>
        <v>2140.4341038095235</v>
      </c>
      <c r="U51" s="105">
        <f>IFERROR(IF(ISBLANK(Current_DTE!U51),INDEX(Minutes_by_use_case!$B$2:$B$9,MATCH($B51,Minutes_by_use_case!$A$2:$A$9,0)),Current_DTE!U51),"-")</f>
        <v>2140.4341038095235</v>
      </c>
      <c r="V51" s="105">
        <f>IFERROR(IF(ISBLANK(Current_DTE!V51),INDEX(Minutes_by_use_case!$B$2:$B$9,MATCH($B51,Minutes_by_use_case!$A$2:$A$9,0)),Current_DTE!V51),"-")</f>
        <v>2140.4341038095235</v>
      </c>
    </row>
    <row r="52" spans="1:22" x14ac:dyDescent="0.3">
      <c r="A52" s="29" t="str">
        <f>lifespans_all!A52</f>
        <v>New</v>
      </c>
      <c r="B52" s="29" t="str">
        <f>lifespans_all!B52</f>
        <v>Deep Space Robotic</v>
      </c>
      <c r="C52" s="105" t="str">
        <f>IFERROR(IF(ISBLANK(Current_DTE!C52),INDEX(Minutes_by_use_case!$B$2:$B$9,MATCH($B52,Minutes_by_use_case!$A$2:$A$9,0)),Current_DTE!C52),"-")</f>
        <v>-</v>
      </c>
      <c r="D52" s="105" t="str">
        <f>IFERROR(IF(ISBLANK(Current_DTE!D52),INDEX(Minutes_by_use_case!$B$2:$B$9,MATCH($B52,Minutes_by_use_case!$A$2:$A$9,0)),Current_DTE!D52),"-")</f>
        <v>-</v>
      </c>
      <c r="E52" s="105" t="str">
        <f>IFERROR(IF(ISBLANK(Current_DTE!E52),INDEX(Minutes_by_use_case!$B$2:$B$9,MATCH($B52,Minutes_by_use_case!$A$2:$A$9,0)),Current_DTE!E52),"-")</f>
        <v>-</v>
      </c>
      <c r="F52" s="105" t="str">
        <f>IFERROR(IF(ISBLANK(Current_DTE!F52),INDEX(Minutes_by_use_case!$B$2:$B$9,MATCH($B52,Minutes_by_use_case!$A$2:$A$9,0)),Current_DTE!F52),"-")</f>
        <v>-</v>
      </c>
      <c r="G52" s="105" t="str">
        <f>IFERROR(IF(ISBLANK(Current_DTE!G52),INDEX(Minutes_by_use_case!$B$2:$B$9,MATCH($B52,Minutes_by_use_case!$A$2:$A$9,0)),Current_DTE!G52),"-")</f>
        <v>-</v>
      </c>
      <c r="H52" s="105" t="str">
        <f>IFERROR(IF(ISBLANK(Current_DTE!H52),INDEX(Minutes_by_use_case!$B$2:$B$9,MATCH($B52,Minutes_by_use_case!$A$2:$A$9,0)),Current_DTE!H52),"-")</f>
        <v>-</v>
      </c>
      <c r="I52" s="105" t="str">
        <f>IFERROR(IF(ISBLANK(Current_DTE!I52),INDEX(Minutes_by_use_case!$B$2:$B$9,MATCH($B52,Minutes_by_use_case!$A$2:$A$9,0)),Current_DTE!I52),"-")</f>
        <v>-</v>
      </c>
      <c r="J52" s="105" t="str">
        <f>IFERROR(IF(ISBLANK(Current_DTE!J52),INDEX(Minutes_by_use_case!$B$2:$B$9,MATCH($B52,Minutes_by_use_case!$A$2:$A$9,0)),Current_DTE!J52),"-")</f>
        <v>-</v>
      </c>
      <c r="K52" s="105" t="str">
        <f>IFERROR(IF(ISBLANK(Current_DTE!K52),INDEX(Minutes_by_use_case!$B$2:$B$9,MATCH($B52,Minutes_by_use_case!$A$2:$A$9,0)),Current_DTE!K52),"-")</f>
        <v>-</v>
      </c>
      <c r="L52" s="105" t="str">
        <f>IFERROR(IF(ISBLANK(Current_DTE!L52),INDEX(Minutes_by_use_case!$B$2:$B$9,MATCH($B52,Minutes_by_use_case!$A$2:$A$9,0)),Current_DTE!L52),"-")</f>
        <v>-</v>
      </c>
      <c r="M52" s="105" t="str">
        <f>IFERROR(IF(ISBLANK(Current_DTE!M52),INDEX(Minutes_by_use_case!$B$2:$B$9,MATCH($B52,Minutes_by_use_case!$A$2:$A$9,0)),Current_DTE!M52),"-")</f>
        <v>-</v>
      </c>
      <c r="N52" s="105" t="str">
        <f>IFERROR(IF(ISBLANK(Current_DTE!N52),INDEX(Minutes_by_use_case!$B$2:$B$9,MATCH($B52,Minutes_by_use_case!$A$2:$A$9,0)),Current_DTE!N52),"-")</f>
        <v>-</v>
      </c>
      <c r="O52" s="105" t="str">
        <f>IFERROR(IF(ISBLANK(Current_DTE!O52),INDEX(Minutes_by_use_case!$B$2:$B$9,MATCH($B52,Minutes_by_use_case!$A$2:$A$9,0)),Current_DTE!O52),"-")</f>
        <v>-</v>
      </c>
      <c r="P52" s="105" t="str">
        <f>IFERROR(IF(ISBLANK(Current_DTE!P52),INDEX(Minutes_by_use_case!$B$2:$B$9,MATCH($B52,Minutes_by_use_case!$A$2:$A$9,0)),Current_DTE!P52),"-")</f>
        <v>-</v>
      </c>
      <c r="Q52" s="105" t="str">
        <f>IFERROR(IF(ISBLANK(Current_DTE!Q52),INDEX(Minutes_by_use_case!$B$2:$B$9,MATCH($B52,Minutes_by_use_case!$A$2:$A$9,0)),Current_DTE!Q52),"-")</f>
        <v>-</v>
      </c>
      <c r="R52" s="105" t="str">
        <f>IFERROR(IF(ISBLANK(Current_DTE!R52),INDEX(Minutes_by_use_case!$B$2:$B$9,MATCH($B52,Minutes_by_use_case!$A$2:$A$9,0)),Current_DTE!R52),"-")</f>
        <v>-</v>
      </c>
      <c r="S52" s="105" t="str">
        <f>IFERROR(IF(ISBLANK(Current_DTE!S52),INDEX(Minutes_by_use_case!$B$2:$B$9,MATCH($B52,Minutes_by_use_case!$A$2:$A$9,0)),Current_DTE!S52),"-")</f>
        <v>-</v>
      </c>
      <c r="T52" s="105" t="str">
        <f>IFERROR(IF(ISBLANK(Current_DTE!T52),INDEX(Minutes_by_use_case!$B$2:$B$9,MATCH($B52,Minutes_by_use_case!$A$2:$A$9,0)),Current_DTE!T52),"-")</f>
        <v>-</v>
      </c>
      <c r="U52" s="105" t="str">
        <f>IFERROR(IF(ISBLANK(Current_DTE!U52),INDEX(Minutes_by_use_case!$B$2:$B$9,MATCH($B52,Minutes_by_use_case!$A$2:$A$9,0)),Current_DTE!U52),"-")</f>
        <v>-</v>
      </c>
      <c r="V52" s="105" t="str">
        <f>IFERROR(IF(ISBLANK(Current_DTE!V52),INDEX(Minutes_by_use_case!$B$2:$B$9,MATCH($B52,Minutes_by_use_case!$A$2:$A$9,0)),Current_DTE!V52),"-")</f>
        <v>-</v>
      </c>
    </row>
    <row r="53" spans="1:22" x14ac:dyDescent="0.3">
      <c r="A53" s="29" t="str">
        <f>lifespans_all!A53</f>
        <v>New</v>
      </c>
      <c r="B53" s="29" t="str">
        <f>lifespans_all!B53</f>
        <v>Near Earth Robotic - Low Latency &amp; Complex Needs</v>
      </c>
      <c r="C53" s="105">
        <f>IFERROR(IF(ISBLANK(Current_DTE!C53),INDEX(Minutes_by_use_case!$B$2:$B$9,MATCH($B53,Minutes_by_use_case!$A$2:$A$9,0)),Current_DTE!C53),"-")</f>
        <v>0</v>
      </c>
      <c r="D53" s="105">
        <f>IFERROR(IF(ISBLANK(Current_DTE!D53),INDEX(Minutes_by_use_case!$B$2:$B$9,MATCH($B53,Minutes_by_use_case!$A$2:$A$9,0)),Current_DTE!D53),"-")</f>
        <v>0</v>
      </c>
      <c r="E53" s="105">
        <f>IFERROR(IF(ISBLANK(Current_DTE!E53),INDEX(Minutes_by_use_case!$B$2:$B$9,MATCH($B53,Minutes_by_use_case!$A$2:$A$9,0)),Current_DTE!E53),"-")</f>
        <v>0</v>
      </c>
      <c r="F53" s="105">
        <f>IFERROR(IF(ISBLANK(Current_DTE!F53),INDEX(Minutes_by_use_case!$B$2:$B$9,MATCH($B53,Minutes_by_use_case!$A$2:$A$9,0)),Current_DTE!F53),"-")</f>
        <v>0</v>
      </c>
      <c r="G53" s="105">
        <f>IFERROR(IF(ISBLANK(Current_DTE!G53),INDEX(Minutes_by_use_case!$B$2:$B$9,MATCH($B53,Minutes_by_use_case!$A$2:$A$9,0)),Current_DTE!G53),"-")</f>
        <v>0</v>
      </c>
      <c r="H53" s="105">
        <f>IFERROR(IF(ISBLANK(Current_DTE!H53),INDEX(Minutes_by_use_case!$B$2:$B$9,MATCH($B53,Minutes_by_use_case!$A$2:$A$9,0)),Current_DTE!H53),"-")</f>
        <v>0</v>
      </c>
      <c r="I53" s="105">
        <f>IFERROR(IF(ISBLANK(Current_DTE!I53),INDEX(Minutes_by_use_case!$B$2:$B$9,MATCH($B53,Minutes_by_use_case!$A$2:$A$9,0)),Current_DTE!I53),"-")</f>
        <v>0</v>
      </c>
      <c r="J53" s="105">
        <f>IFERROR(IF(ISBLANK(Current_DTE!J53),INDEX(Minutes_by_use_case!$B$2:$B$9,MATCH($B53,Minutes_by_use_case!$A$2:$A$9,0)),Current_DTE!J53),"-")</f>
        <v>0</v>
      </c>
      <c r="K53" s="105">
        <f>IFERROR(IF(ISBLANK(Current_DTE!K53),INDEX(Minutes_by_use_case!$B$2:$B$9,MATCH($B53,Minutes_by_use_case!$A$2:$A$9,0)),Current_DTE!K53),"-")</f>
        <v>0</v>
      </c>
      <c r="L53" s="105">
        <f>IFERROR(IF(ISBLANK(Current_DTE!L53),INDEX(Minutes_by_use_case!$B$2:$B$9,MATCH($B53,Minutes_by_use_case!$A$2:$A$9,0)),Current_DTE!L53),"-")</f>
        <v>0</v>
      </c>
      <c r="M53" s="105">
        <f>IFERROR(IF(ISBLANK(Current_DTE!M53),INDEX(Minutes_by_use_case!$B$2:$B$9,MATCH($B53,Minutes_by_use_case!$A$2:$A$9,0)),Current_DTE!M53),"-")</f>
        <v>0</v>
      </c>
      <c r="N53" s="105">
        <f>IFERROR(IF(ISBLANK(Current_DTE!N53),INDEX(Minutes_by_use_case!$B$2:$B$9,MATCH($B53,Minutes_by_use_case!$A$2:$A$9,0)),Current_DTE!N53),"-")</f>
        <v>0</v>
      </c>
      <c r="O53" s="105">
        <f>IFERROR(IF(ISBLANK(Current_DTE!O53),INDEX(Minutes_by_use_case!$B$2:$B$9,MATCH($B53,Minutes_by_use_case!$A$2:$A$9,0)),Current_DTE!O53),"-")</f>
        <v>0</v>
      </c>
      <c r="P53" s="105">
        <f>IFERROR(IF(ISBLANK(Current_DTE!P53),INDEX(Minutes_by_use_case!$B$2:$B$9,MATCH($B53,Minutes_by_use_case!$A$2:$A$9,0)),Current_DTE!P53),"-")</f>
        <v>0</v>
      </c>
      <c r="Q53" s="105">
        <f>IFERROR(IF(ISBLANK(Current_DTE!Q53),INDEX(Minutes_by_use_case!$B$2:$B$9,MATCH($B53,Minutes_by_use_case!$A$2:$A$9,0)),Current_DTE!Q53),"-")</f>
        <v>0</v>
      </c>
      <c r="R53" s="105">
        <f>IFERROR(IF(ISBLANK(Current_DTE!R53),INDEX(Minutes_by_use_case!$B$2:$B$9,MATCH($B53,Minutes_by_use_case!$A$2:$A$9,0)),Current_DTE!R53),"-")</f>
        <v>0</v>
      </c>
      <c r="S53" s="105">
        <f>IFERROR(IF(ISBLANK(Current_DTE!S53),INDEX(Minutes_by_use_case!$B$2:$B$9,MATCH($B53,Minutes_by_use_case!$A$2:$A$9,0)),Current_DTE!S53),"-")</f>
        <v>0</v>
      </c>
      <c r="T53" s="105">
        <f>IFERROR(IF(ISBLANK(Current_DTE!T53),INDEX(Minutes_by_use_case!$B$2:$B$9,MATCH($B53,Minutes_by_use_case!$A$2:$A$9,0)),Current_DTE!T53),"-")</f>
        <v>0</v>
      </c>
      <c r="U53" s="105">
        <f>IFERROR(IF(ISBLANK(Current_DTE!U53),INDEX(Minutes_by_use_case!$B$2:$B$9,MATCH($B53,Minutes_by_use_case!$A$2:$A$9,0)),Current_DTE!U53),"-")</f>
        <v>0</v>
      </c>
      <c r="V53" s="105">
        <f>IFERROR(IF(ISBLANK(Current_DTE!V53),INDEX(Minutes_by_use_case!$B$2:$B$9,MATCH($B53,Minutes_by_use_case!$A$2:$A$9,0)),Current_DTE!V53),"-")</f>
        <v>0</v>
      </c>
    </row>
    <row r="54" spans="1:22" x14ac:dyDescent="0.3">
      <c r="A54" s="29" t="str">
        <f>lifespans_all!A54</f>
        <v>New</v>
      </c>
      <c r="B54" s="29" t="str">
        <f>lifespans_all!B54</f>
        <v>Mission Operations</v>
      </c>
      <c r="C54" s="105" t="str">
        <f>IFERROR(IF(ISBLANK(Current_DTE!#REF!),INDEX(Minutes_by_use_case!$B$2:$B$9,MATCH($B54,Minutes_by_use_case!$A$2:$A$9,0)),Current_DTE!#REF!),"-")</f>
        <v>-</v>
      </c>
      <c r="D54" s="105" t="str">
        <f>IFERROR(IF(ISBLANK(Current_DTE!D54),INDEX(Minutes_by_use_case!$B$2:$B$9,MATCH($B54,Minutes_by_use_case!$A$2:$A$9,0)),Current_DTE!D54),"-")</f>
        <v>-</v>
      </c>
      <c r="E54" s="105" t="str">
        <f>IFERROR(IF(ISBLANK(Current_DTE!E54),INDEX(Minutes_by_use_case!$B$2:$B$9,MATCH($B54,Minutes_by_use_case!$A$2:$A$9,0)),Current_DTE!E54),"-")</f>
        <v>-</v>
      </c>
      <c r="F54" s="105" t="str">
        <f>IFERROR(IF(ISBLANK(Current_DTE!F54),INDEX(Minutes_by_use_case!$B$2:$B$9,MATCH($B54,Minutes_by_use_case!$A$2:$A$9,0)),Current_DTE!F54),"-")</f>
        <v>-</v>
      </c>
      <c r="G54" s="105" t="str">
        <f>IFERROR(IF(ISBLANK(Current_DTE!G54),INDEX(Minutes_by_use_case!$B$2:$B$9,MATCH($B54,Minutes_by_use_case!$A$2:$A$9,0)),Current_DTE!G54),"-")</f>
        <v>-</v>
      </c>
      <c r="H54" s="105" t="str">
        <f>IFERROR(IF(ISBLANK(Current_DTE!H54),INDEX(Minutes_by_use_case!$B$2:$B$9,MATCH($B54,Minutes_by_use_case!$A$2:$A$9,0)),Current_DTE!H54),"-")</f>
        <v>-</v>
      </c>
      <c r="I54" s="105" t="str">
        <f>IFERROR(IF(ISBLANK(Current_DTE!I54),INDEX(Minutes_by_use_case!$B$2:$B$9,MATCH($B54,Minutes_by_use_case!$A$2:$A$9,0)),Current_DTE!I54),"-")</f>
        <v>-</v>
      </c>
      <c r="J54" s="105" t="str">
        <f>IFERROR(IF(ISBLANK(Current_DTE!J54),INDEX(Minutes_by_use_case!$B$2:$B$9,MATCH($B54,Minutes_by_use_case!$A$2:$A$9,0)),Current_DTE!J54),"-")</f>
        <v>-</v>
      </c>
      <c r="K54" s="105" t="str">
        <f>IFERROR(IF(ISBLANK(Current_DTE!K54),INDEX(Minutes_by_use_case!$B$2:$B$9,MATCH($B54,Minutes_by_use_case!$A$2:$A$9,0)),Current_DTE!K54),"-")</f>
        <v>-</v>
      </c>
      <c r="L54" s="105" t="str">
        <f>IFERROR(IF(ISBLANK(Current_DTE!L54),INDEX(Minutes_by_use_case!$B$2:$B$9,MATCH($B54,Minutes_by_use_case!$A$2:$A$9,0)),Current_DTE!L54),"-")</f>
        <v>-</v>
      </c>
      <c r="M54" s="105" t="str">
        <f>IFERROR(IF(ISBLANK(Current_DTE!M54),INDEX(Minutes_by_use_case!$B$2:$B$9,MATCH($B54,Minutes_by_use_case!$A$2:$A$9,0)),Current_DTE!M54),"-")</f>
        <v>-</v>
      </c>
      <c r="N54" s="105" t="str">
        <f>IFERROR(IF(ISBLANK(Current_DTE!N54),INDEX(Minutes_by_use_case!$B$2:$B$9,MATCH($B54,Minutes_by_use_case!$A$2:$A$9,0)),Current_DTE!N54),"-")</f>
        <v>-</v>
      </c>
      <c r="O54" s="105" t="str">
        <f>IFERROR(IF(ISBLANK(Current_DTE!O54),INDEX(Minutes_by_use_case!$B$2:$B$9,MATCH($B54,Minutes_by_use_case!$A$2:$A$9,0)),Current_DTE!O54),"-")</f>
        <v>-</v>
      </c>
      <c r="P54" s="105" t="str">
        <f>IFERROR(IF(ISBLANK(Current_DTE!P54),INDEX(Minutes_by_use_case!$B$2:$B$9,MATCH($B54,Minutes_by_use_case!$A$2:$A$9,0)),Current_DTE!P54),"-")</f>
        <v>-</v>
      </c>
      <c r="Q54" s="105" t="str">
        <f>IFERROR(IF(ISBLANK(Current_DTE!Q54),INDEX(Minutes_by_use_case!$B$2:$B$9,MATCH($B54,Minutes_by_use_case!$A$2:$A$9,0)),Current_DTE!Q54),"-")</f>
        <v>-</v>
      </c>
      <c r="R54" s="105" t="str">
        <f>IFERROR(IF(ISBLANK(Current_DTE!R54),INDEX(Minutes_by_use_case!$B$2:$B$9,MATCH($B54,Minutes_by_use_case!$A$2:$A$9,0)),Current_DTE!R54),"-")</f>
        <v>-</v>
      </c>
      <c r="S54" s="105" t="str">
        <f>IFERROR(IF(ISBLANK(Current_DTE!S54),INDEX(Minutes_by_use_case!$B$2:$B$9,MATCH($B54,Minutes_by_use_case!$A$2:$A$9,0)),Current_DTE!S54),"-")</f>
        <v>-</v>
      </c>
      <c r="T54" s="105" t="str">
        <f>IFERROR(IF(ISBLANK(Current_DTE!T54),INDEX(Minutes_by_use_case!$B$2:$B$9,MATCH($B54,Minutes_by_use_case!$A$2:$A$9,0)),Current_DTE!T54),"-")</f>
        <v>-</v>
      </c>
      <c r="U54" s="105" t="str">
        <f>IFERROR(IF(ISBLANK(Current_DTE!U54),INDEX(Minutes_by_use_case!$B$2:$B$9,MATCH($B54,Minutes_by_use_case!$A$2:$A$9,0)),Current_DTE!U54),"-")</f>
        <v>-</v>
      </c>
      <c r="V54" s="105" t="str">
        <f>IFERROR(IF(ISBLANK(Current_DTE!V54),INDEX(Minutes_by_use_case!$B$2:$B$9,MATCH($B54,Minutes_by_use_case!$A$2:$A$9,0)),Current_DTE!V54),"-")</f>
        <v>-</v>
      </c>
    </row>
    <row r="55" spans="1:22" x14ac:dyDescent="0.3">
      <c r="A55" s="29" t="str">
        <f>lifespans_all!A55</f>
        <v>New</v>
      </c>
      <c r="B55" s="29" t="str">
        <f>lifespans_all!B55</f>
        <v>Launch Events</v>
      </c>
      <c r="C55" s="105">
        <f>IFERROR(IF(ISBLANK(Current_DTE!C55),INDEX(Minutes_by_use_case!$B$2:$B$9,MATCH($B55,Minutes_by_use_case!$A$2:$A$9,0)),Current_DTE!C55),"-")</f>
        <v>721.11352444444435</v>
      </c>
      <c r="D55" s="105">
        <f>IFERROR(IF(ISBLANK(Current_DTE!D55),INDEX(Minutes_by_use_case!$B$2:$B$9,MATCH($B55,Minutes_by_use_case!$A$2:$A$9,0)),Current_DTE!D55),"-")</f>
        <v>721.11352444444435</v>
      </c>
      <c r="E55" s="105">
        <f>IFERROR(IF(ISBLANK(Current_DTE!E55),INDEX(Minutes_by_use_case!$B$2:$B$9,MATCH($B55,Minutes_by_use_case!$A$2:$A$9,0)),Current_DTE!E55),"-")</f>
        <v>721.11352444444435</v>
      </c>
      <c r="F55" s="105">
        <f>IFERROR(IF(ISBLANK(Current_DTE!F55),INDEX(Minutes_by_use_case!$B$2:$B$9,MATCH($B55,Minutes_by_use_case!$A$2:$A$9,0)),Current_DTE!F55),"-")</f>
        <v>721.11352444444435</v>
      </c>
      <c r="G55" s="105">
        <f>IFERROR(IF(ISBLANK(Current_DTE!G55),INDEX(Minutes_by_use_case!$B$2:$B$9,MATCH($B55,Minutes_by_use_case!$A$2:$A$9,0)),Current_DTE!G55),"-")</f>
        <v>721.11352444444435</v>
      </c>
      <c r="H55" s="105">
        <f>IFERROR(IF(ISBLANK(Current_DTE!H55),INDEX(Minutes_by_use_case!$B$2:$B$9,MATCH($B55,Minutes_by_use_case!$A$2:$A$9,0)),Current_DTE!H55),"-")</f>
        <v>721.11352444444435</v>
      </c>
      <c r="I55" s="105">
        <f>IFERROR(IF(ISBLANK(Current_DTE!I55),INDEX(Minutes_by_use_case!$B$2:$B$9,MATCH($B55,Minutes_by_use_case!$A$2:$A$9,0)),Current_DTE!I55),"-")</f>
        <v>721.11352444444435</v>
      </c>
      <c r="J55" s="105">
        <f>IFERROR(IF(ISBLANK(Current_DTE!J55),INDEX(Minutes_by_use_case!$B$2:$B$9,MATCH($B55,Minutes_by_use_case!$A$2:$A$9,0)),Current_DTE!J55),"-")</f>
        <v>721.11352444444435</v>
      </c>
      <c r="K55" s="105">
        <f>IFERROR(IF(ISBLANK(Current_DTE!K55),INDEX(Minutes_by_use_case!$B$2:$B$9,MATCH($B55,Minutes_by_use_case!$A$2:$A$9,0)),Current_DTE!K55),"-")</f>
        <v>721.11352444444435</v>
      </c>
      <c r="L55" s="105">
        <f>IFERROR(IF(ISBLANK(Current_DTE!L55),INDEX(Minutes_by_use_case!$B$2:$B$9,MATCH($B55,Minutes_by_use_case!$A$2:$A$9,0)),Current_DTE!L55),"-")</f>
        <v>721.11352444444435</v>
      </c>
      <c r="M55" s="105">
        <f>IFERROR(IF(ISBLANK(Current_DTE!M55),INDEX(Minutes_by_use_case!$B$2:$B$9,MATCH($B55,Minutes_by_use_case!$A$2:$A$9,0)),Current_DTE!M55),"-")</f>
        <v>721.11352444444435</v>
      </c>
      <c r="N55" s="105">
        <f>IFERROR(IF(ISBLANK(Current_DTE!N55),INDEX(Minutes_by_use_case!$B$2:$B$9,MATCH($B55,Minutes_by_use_case!$A$2:$A$9,0)),Current_DTE!N55),"-")</f>
        <v>721.11352444444435</v>
      </c>
      <c r="O55" s="105">
        <f>IFERROR(IF(ISBLANK(Current_DTE!O55),INDEX(Minutes_by_use_case!$B$2:$B$9,MATCH($B55,Minutes_by_use_case!$A$2:$A$9,0)),Current_DTE!O55),"-")</f>
        <v>721.11352444444435</v>
      </c>
      <c r="P55" s="105">
        <f>IFERROR(IF(ISBLANK(Current_DTE!P55),INDEX(Minutes_by_use_case!$B$2:$B$9,MATCH($B55,Minutes_by_use_case!$A$2:$A$9,0)),Current_DTE!P55),"-")</f>
        <v>721.11352444444435</v>
      </c>
      <c r="Q55" s="105">
        <f>IFERROR(IF(ISBLANK(Current_DTE!Q55),INDEX(Minutes_by_use_case!$B$2:$B$9,MATCH($B55,Minutes_by_use_case!$A$2:$A$9,0)),Current_DTE!Q55),"-")</f>
        <v>721.11352444444435</v>
      </c>
      <c r="R55" s="105">
        <f>IFERROR(IF(ISBLANK(Current_DTE!R55),INDEX(Minutes_by_use_case!$B$2:$B$9,MATCH($B55,Minutes_by_use_case!$A$2:$A$9,0)),Current_DTE!R55),"-")</f>
        <v>721.11352444444435</v>
      </c>
      <c r="S55" s="105">
        <f>IFERROR(IF(ISBLANK(Current_DTE!S55),INDEX(Minutes_by_use_case!$B$2:$B$9,MATCH($B55,Minutes_by_use_case!$A$2:$A$9,0)),Current_DTE!S55),"-")</f>
        <v>721.11352444444435</v>
      </c>
      <c r="T55" s="105">
        <f>IFERROR(IF(ISBLANK(Current_DTE!T55),INDEX(Minutes_by_use_case!$B$2:$B$9,MATCH($B55,Minutes_by_use_case!$A$2:$A$9,0)),Current_DTE!T55),"-")</f>
        <v>721.11352444444435</v>
      </c>
      <c r="U55" s="105">
        <f>IFERROR(IF(ISBLANK(Current_DTE!U55),INDEX(Minutes_by_use_case!$B$2:$B$9,MATCH($B55,Minutes_by_use_case!$A$2:$A$9,0)),Current_DTE!U55),"-")</f>
        <v>721.11352444444435</v>
      </c>
      <c r="V55" s="105">
        <f>IFERROR(IF(ISBLANK(Current_DTE!V55),INDEX(Minutes_by_use_case!$B$2:$B$9,MATCH($B55,Minutes_by_use_case!$A$2:$A$9,0)),Current_DTE!V55),"-")</f>
        <v>721.11352444444435</v>
      </c>
    </row>
    <row r="56" spans="1:22" x14ac:dyDescent="0.3">
      <c r="A56" s="29" t="str">
        <f>lifespans_all!A56</f>
        <v>New</v>
      </c>
      <c r="B56" s="29" t="str">
        <f>lifespans_all!B56</f>
        <v>Terrestrial &amp; Aerial</v>
      </c>
      <c r="C56" s="105">
        <f>IFERROR(IF(ISBLANK(Current_DTE!C56),INDEX(Minutes_by_use_case!$B$2:$B$9,MATCH($B56,Minutes_by_use_case!$A$2:$A$9,0)),Current_DTE!C56),"-")</f>
        <v>89453.837836666688</v>
      </c>
      <c r="D56" s="105">
        <f>IFERROR(IF(ISBLANK(Current_DTE!D56),INDEX(Minutes_by_use_case!$B$2:$B$9,MATCH($B56,Minutes_by_use_case!$A$2:$A$9,0)),Current_DTE!D56),"-")</f>
        <v>89453.837836666688</v>
      </c>
      <c r="E56" s="105">
        <f>IFERROR(IF(ISBLANK(Current_DTE!E56),INDEX(Minutes_by_use_case!$B$2:$B$9,MATCH($B56,Minutes_by_use_case!$A$2:$A$9,0)),Current_DTE!E56),"-")</f>
        <v>89453.837836666688</v>
      </c>
      <c r="F56" s="105">
        <f>IFERROR(IF(ISBLANK(Current_DTE!F56),INDEX(Minutes_by_use_case!$B$2:$B$9,MATCH($B56,Minutes_by_use_case!$A$2:$A$9,0)),Current_DTE!F56),"-")</f>
        <v>89453.837836666688</v>
      </c>
      <c r="G56" s="105">
        <f>IFERROR(IF(ISBLANK(Current_DTE!G56),INDEX(Minutes_by_use_case!$B$2:$B$9,MATCH($B56,Minutes_by_use_case!$A$2:$A$9,0)),Current_DTE!G56),"-")</f>
        <v>89453.837836666688</v>
      </c>
      <c r="H56" s="105">
        <f>IFERROR(IF(ISBLANK(Current_DTE!H56),INDEX(Minutes_by_use_case!$B$2:$B$9,MATCH($B56,Minutes_by_use_case!$A$2:$A$9,0)),Current_DTE!H56),"-")</f>
        <v>89453.837836666688</v>
      </c>
      <c r="I56" s="105">
        <f>IFERROR(IF(ISBLANK(Current_DTE!I56),INDEX(Minutes_by_use_case!$B$2:$B$9,MATCH($B56,Minutes_by_use_case!$A$2:$A$9,0)),Current_DTE!I56),"-")</f>
        <v>89453.837836666688</v>
      </c>
      <c r="J56" s="105">
        <f>IFERROR(IF(ISBLANK(Current_DTE!J56),INDEX(Minutes_by_use_case!$B$2:$B$9,MATCH($B56,Minutes_by_use_case!$A$2:$A$9,0)),Current_DTE!J56),"-")</f>
        <v>89453.837836666688</v>
      </c>
      <c r="K56" s="105">
        <f>IFERROR(IF(ISBLANK(Current_DTE!K56),INDEX(Minutes_by_use_case!$B$2:$B$9,MATCH($B56,Minutes_by_use_case!$A$2:$A$9,0)),Current_DTE!K56),"-")</f>
        <v>89453.837836666688</v>
      </c>
      <c r="L56" s="105">
        <f>IFERROR(IF(ISBLANK(Current_DTE!L56),INDEX(Minutes_by_use_case!$B$2:$B$9,MATCH($B56,Minutes_by_use_case!$A$2:$A$9,0)),Current_DTE!L56),"-")</f>
        <v>89453.837836666688</v>
      </c>
      <c r="M56" s="105">
        <f>IFERROR(IF(ISBLANK(Current_DTE!M56),INDEX(Minutes_by_use_case!$B$2:$B$9,MATCH($B56,Minutes_by_use_case!$A$2:$A$9,0)),Current_DTE!M56),"-")</f>
        <v>89453.837836666688</v>
      </c>
      <c r="N56" s="105">
        <f>IFERROR(IF(ISBLANK(Current_DTE!N56),INDEX(Minutes_by_use_case!$B$2:$B$9,MATCH($B56,Minutes_by_use_case!$A$2:$A$9,0)),Current_DTE!N56),"-")</f>
        <v>89453.837836666688</v>
      </c>
      <c r="O56" s="105">
        <f>IFERROR(IF(ISBLANK(Current_DTE!O56),INDEX(Minutes_by_use_case!$B$2:$B$9,MATCH($B56,Minutes_by_use_case!$A$2:$A$9,0)),Current_DTE!O56),"-")</f>
        <v>89453.837836666688</v>
      </c>
      <c r="P56" s="105">
        <f>IFERROR(IF(ISBLANK(Current_DTE!P56),INDEX(Minutes_by_use_case!$B$2:$B$9,MATCH($B56,Minutes_by_use_case!$A$2:$A$9,0)),Current_DTE!P56),"-")</f>
        <v>89453.837836666688</v>
      </c>
      <c r="Q56" s="105">
        <f>IFERROR(IF(ISBLANK(Current_DTE!Q56),INDEX(Minutes_by_use_case!$B$2:$B$9,MATCH($B56,Minutes_by_use_case!$A$2:$A$9,0)),Current_DTE!Q56),"-")</f>
        <v>89453.837836666688</v>
      </c>
      <c r="R56" s="105">
        <f>IFERROR(IF(ISBLANK(Current_DTE!R56),INDEX(Minutes_by_use_case!$B$2:$B$9,MATCH($B56,Minutes_by_use_case!$A$2:$A$9,0)),Current_DTE!R56),"-")</f>
        <v>89453.837836666688</v>
      </c>
      <c r="S56" s="105">
        <f>IFERROR(IF(ISBLANK(Current_DTE!S56),INDEX(Minutes_by_use_case!$B$2:$B$9,MATCH($B56,Minutes_by_use_case!$A$2:$A$9,0)),Current_DTE!S56),"-")</f>
        <v>89453.837836666688</v>
      </c>
      <c r="T56" s="105">
        <f>IFERROR(IF(ISBLANK(Current_DTE!T56),INDEX(Minutes_by_use_case!$B$2:$B$9,MATCH($B56,Minutes_by_use_case!$A$2:$A$9,0)),Current_DTE!T56),"-")</f>
        <v>89453.837836666688</v>
      </c>
      <c r="U56" s="105">
        <f>IFERROR(IF(ISBLANK(Current_DTE!U56),INDEX(Minutes_by_use_case!$B$2:$B$9,MATCH($B56,Minutes_by_use_case!$A$2:$A$9,0)),Current_DTE!U56),"-")</f>
        <v>89453.837836666688</v>
      </c>
      <c r="V56" s="105">
        <f>IFERROR(IF(ISBLANK(Current_DTE!V56),INDEX(Minutes_by_use_case!$B$2:$B$9,MATCH($B56,Minutes_by_use_case!$A$2:$A$9,0)),Current_DTE!V56),"-")</f>
        <v>89453.837836666688</v>
      </c>
    </row>
    <row r="57" spans="1:22" x14ac:dyDescent="0.3">
      <c r="C57" s="17"/>
      <c r="D57" s="17"/>
      <c r="E57" s="17"/>
      <c r="F57" s="17"/>
      <c r="G57" s="17"/>
      <c r="H57" s="17"/>
      <c r="I57" s="17"/>
      <c r="J57" s="17"/>
      <c r="K57" s="17"/>
      <c r="L57" s="17"/>
      <c r="M57" s="17"/>
      <c r="N57" s="17"/>
      <c r="O57" s="17"/>
      <c r="P57" s="17"/>
      <c r="Q57" s="17"/>
      <c r="R57" s="17"/>
      <c r="S57" s="17"/>
      <c r="T57" s="17"/>
      <c r="U57" s="17"/>
      <c r="V57" s="17"/>
    </row>
    <row r="58" spans="1:22" x14ac:dyDescent="0.3">
      <c r="A58" s="96" t="s">
        <v>131</v>
      </c>
      <c r="C58" s="17"/>
      <c r="D58" s="17"/>
      <c r="E58" s="17"/>
      <c r="F58" s="17"/>
      <c r="G58" s="17"/>
      <c r="H58" s="17"/>
      <c r="I58" s="17"/>
      <c r="J58" s="17"/>
      <c r="K58" s="17"/>
      <c r="L58" s="17"/>
      <c r="M58" s="17"/>
      <c r="N58" s="17"/>
      <c r="O58" s="17"/>
      <c r="P58" s="17"/>
      <c r="Q58" s="17"/>
      <c r="R58" s="17"/>
      <c r="S58" s="17"/>
      <c r="T58" s="17"/>
      <c r="U58" s="17"/>
      <c r="V58" s="17"/>
    </row>
    <row r="59" spans="1:22" x14ac:dyDescent="0.3">
      <c r="C59" s="17"/>
      <c r="D59" s="17"/>
      <c r="E59" s="17"/>
      <c r="F59" s="17"/>
      <c r="G59" s="17"/>
      <c r="H59" s="17"/>
      <c r="I59" s="17"/>
      <c r="J59" s="17"/>
      <c r="K59" s="17"/>
      <c r="L59" s="17"/>
      <c r="M59" s="17"/>
      <c r="N59" s="17"/>
      <c r="O59" s="17"/>
      <c r="P59" s="17"/>
      <c r="Q59" s="17"/>
      <c r="R59" s="17"/>
      <c r="S59" s="17"/>
      <c r="T59" s="17"/>
      <c r="U59" s="17"/>
      <c r="V59" s="17"/>
    </row>
    <row r="60" spans="1:22" x14ac:dyDescent="0.3">
      <c r="C60" s="17"/>
      <c r="D60" s="17"/>
      <c r="E60" s="17"/>
      <c r="F60" s="17"/>
      <c r="G60" s="17"/>
      <c r="H60" s="17"/>
      <c r="I60" s="17"/>
      <c r="J60" s="17"/>
      <c r="K60" s="17"/>
      <c r="L60" s="17"/>
      <c r="M60" s="17"/>
      <c r="N60" s="17"/>
      <c r="O60" s="17"/>
      <c r="P60" s="17"/>
      <c r="Q60" s="17"/>
      <c r="R60" s="17"/>
      <c r="S60" s="17"/>
      <c r="T60" s="17"/>
      <c r="U60" s="17"/>
      <c r="V60" s="17"/>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4603A-5154-43C7-B277-1B55F054D077}">
  <sheetPr codeName="Sheet10">
    <tabColor rgb="FFFFFF00"/>
  </sheetPr>
  <dimension ref="A1:V240"/>
  <sheetViews>
    <sheetView zoomScaleNormal="100" workbookViewId="0">
      <selection activeCell="E4" sqref="E4"/>
    </sheetView>
  </sheetViews>
  <sheetFormatPr defaultRowHeight="13.8" x14ac:dyDescent="0.25"/>
  <cols>
    <col min="1" max="1" width="17.109375" style="2" customWidth="1"/>
    <col min="2" max="2" width="57.6640625" style="2" customWidth="1"/>
    <col min="3" max="7" width="12.21875" style="82" bestFit="1" customWidth="1"/>
    <col min="8" max="22" width="9.44140625" style="82" customWidth="1"/>
    <col min="23" max="16384" width="8.88671875" style="2"/>
  </cols>
  <sheetData>
    <row r="1" spans="1:22" s="11" customFormat="1" x14ac:dyDescent="0.25">
      <c r="A1" s="27" t="s">
        <v>16</v>
      </c>
      <c r="B1" s="27"/>
      <c r="C1" s="27">
        <v>2021</v>
      </c>
      <c r="D1" s="28">
        <v>2022</v>
      </c>
      <c r="E1" s="27">
        <v>2023</v>
      </c>
      <c r="F1" s="28">
        <v>2024</v>
      </c>
      <c r="G1" s="27">
        <v>2025</v>
      </c>
      <c r="H1" s="28">
        <v>2026</v>
      </c>
      <c r="I1" s="27">
        <v>2027</v>
      </c>
      <c r="J1" s="28">
        <v>2028</v>
      </c>
      <c r="K1" s="27">
        <v>2029</v>
      </c>
      <c r="L1" s="28">
        <v>2030</v>
      </c>
      <c r="M1" s="27">
        <v>2031</v>
      </c>
      <c r="N1" s="28">
        <v>2032</v>
      </c>
      <c r="O1" s="27">
        <v>2033</v>
      </c>
      <c r="P1" s="28">
        <v>2034</v>
      </c>
      <c r="Q1" s="27">
        <v>2035</v>
      </c>
      <c r="R1" s="28">
        <v>2036</v>
      </c>
      <c r="S1" s="27">
        <v>2037</v>
      </c>
      <c r="T1" s="28">
        <v>2038</v>
      </c>
      <c r="U1" s="27">
        <v>2039</v>
      </c>
      <c r="V1" s="28">
        <v>2040</v>
      </c>
    </row>
    <row r="2" spans="1:22" x14ac:dyDescent="0.25">
      <c r="A2" s="29" t="s">
        <v>47</v>
      </c>
      <c r="B2" s="30" t="s">
        <v>41</v>
      </c>
      <c r="C2" s="105">
        <f>IFERROR(lifespans_all!C2*DTE_mission_minutes!C2,"-")</f>
        <v>133409.35004928565</v>
      </c>
      <c r="D2" s="105">
        <f>IFERROR(lifespans_all!D2*DTE_mission_minutes!D2,"-")</f>
        <v>133409.35004928565</v>
      </c>
      <c r="E2" s="105">
        <f>IFERROR(lifespans_all!E2*DTE_mission_minutes!E2,"-")</f>
        <v>0</v>
      </c>
      <c r="F2" s="105">
        <f>IFERROR(lifespans_all!F2*DTE_mission_minutes!F2,"-")</f>
        <v>0</v>
      </c>
      <c r="G2" s="105">
        <f>IFERROR(lifespans_all!G2*DTE_mission_minutes!G2,"-")</f>
        <v>0</v>
      </c>
      <c r="H2" s="105">
        <f>IFERROR(lifespans_all!H2*DTE_mission_minutes!H2,"-")</f>
        <v>0</v>
      </c>
      <c r="I2" s="105">
        <f>IFERROR(lifespans_all!I2*DTE_mission_minutes!I2,"-")</f>
        <v>0</v>
      </c>
      <c r="J2" s="105">
        <f>IFERROR(lifespans_all!J2*DTE_mission_minutes!J2,"-")</f>
        <v>0</v>
      </c>
      <c r="K2" s="105">
        <f>IFERROR(lifespans_all!K2*DTE_mission_minutes!K2,"-")</f>
        <v>0</v>
      </c>
      <c r="L2" s="105">
        <f>IFERROR(lifespans_all!L2*DTE_mission_minutes!L2,"-")</f>
        <v>0</v>
      </c>
      <c r="M2" s="105">
        <f>IFERROR(lifespans_all!M2*DTE_mission_minutes!M2,"-")</f>
        <v>0</v>
      </c>
      <c r="N2" s="105">
        <f>IFERROR(lifespans_all!N2*DTE_mission_minutes!N2,"-")</f>
        <v>0</v>
      </c>
      <c r="O2" s="105">
        <f>IFERROR(lifespans_all!O2*DTE_mission_minutes!O2,"-")</f>
        <v>0</v>
      </c>
      <c r="P2" s="105">
        <f>IFERROR(lifespans_all!P2*DTE_mission_minutes!P2,"-")</f>
        <v>0</v>
      </c>
      <c r="Q2" s="105">
        <f>IFERROR(lifespans_all!Q2*DTE_mission_minutes!Q2,"-")</f>
        <v>0</v>
      </c>
      <c r="R2" s="105">
        <f>IFERROR(lifespans_all!R2*DTE_mission_minutes!R2,"-")</f>
        <v>0</v>
      </c>
      <c r="S2" s="105">
        <f>IFERROR(lifespans_all!S2*DTE_mission_minutes!S2,"-")</f>
        <v>0</v>
      </c>
      <c r="T2" s="105">
        <f>IFERROR(lifespans_all!T2*DTE_mission_minutes!T2,"-")</f>
        <v>0</v>
      </c>
      <c r="U2" s="105">
        <f>IFERROR(lifespans_all!U2*DTE_mission_minutes!U2,"-")</f>
        <v>0</v>
      </c>
      <c r="V2" s="105">
        <f>IFERROR(lifespans_all!V2*DTE_mission_minutes!V2,"-")</f>
        <v>0</v>
      </c>
    </row>
    <row r="3" spans="1:22" x14ac:dyDescent="0.25">
      <c r="A3" s="29" t="s">
        <v>17</v>
      </c>
      <c r="B3" s="30" t="s">
        <v>41</v>
      </c>
      <c r="C3" s="105">
        <f>IFERROR(lifespans_all!C3*DTE_mission_minutes!C3,"-")</f>
        <v>2249.4702694444441</v>
      </c>
      <c r="D3" s="105">
        <f>IFERROR(lifespans_all!D3*DTE_mission_minutes!D3,"-")</f>
        <v>1189.7750000000001</v>
      </c>
      <c r="E3" s="105">
        <f>IFERROR(lifespans_all!E3*DTE_mission_minutes!E3,"-")</f>
        <v>649.57638888888891</v>
      </c>
      <c r="F3" s="105">
        <f>IFERROR(lifespans_all!F3*DTE_mission_minutes!F3,"-")</f>
        <v>1663.1641649999997</v>
      </c>
      <c r="G3" s="105">
        <f>IFERROR(lifespans_all!G3*DTE_mission_minutes!G3,"-")</f>
        <v>0</v>
      </c>
      <c r="H3" s="105">
        <f>IFERROR(lifespans_all!H3*DTE_mission_minutes!H3,"-")</f>
        <v>0</v>
      </c>
      <c r="I3" s="105">
        <f>IFERROR(lifespans_all!I3*DTE_mission_minutes!I3,"-")</f>
        <v>0</v>
      </c>
      <c r="J3" s="105">
        <f>IFERROR(lifespans_all!J3*DTE_mission_minutes!J3,"-")</f>
        <v>0</v>
      </c>
      <c r="K3" s="105">
        <f>IFERROR(lifespans_all!K3*DTE_mission_minutes!K3,"-")</f>
        <v>0</v>
      </c>
      <c r="L3" s="105">
        <f>IFERROR(lifespans_all!L3*DTE_mission_minutes!L3,"-")</f>
        <v>0</v>
      </c>
      <c r="M3" s="105">
        <f>IFERROR(lifespans_all!M3*DTE_mission_minutes!M3,"-")</f>
        <v>0</v>
      </c>
      <c r="N3" s="105">
        <f>IFERROR(lifespans_all!N3*DTE_mission_minutes!N3,"-")</f>
        <v>0</v>
      </c>
      <c r="O3" s="105">
        <f>IFERROR(lifespans_all!O3*DTE_mission_minutes!O3,"-")</f>
        <v>0</v>
      </c>
      <c r="P3" s="105">
        <f>IFERROR(lifespans_all!P3*DTE_mission_minutes!P3,"-")</f>
        <v>0</v>
      </c>
      <c r="Q3" s="105">
        <f>IFERROR(lifespans_all!Q3*DTE_mission_minutes!Q3,"-")</f>
        <v>0</v>
      </c>
      <c r="R3" s="105">
        <f>IFERROR(lifespans_all!R3*DTE_mission_minutes!R3,"-")</f>
        <v>0</v>
      </c>
      <c r="S3" s="105">
        <f>IFERROR(lifespans_all!S3*DTE_mission_minutes!S3,"-")</f>
        <v>0</v>
      </c>
      <c r="T3" s="105">
        <f>IFERROR(lifespans_all!T3*DTE_mission_minutes!T3,"-")</f>
        <v>0</v>
      </c>
      <c r="U3" s="105">
        <f>IFERROR(lifespans_all!U3*DTE_mission_minutes!U3,"-")</f>
        <v>0</v>
      </c>
      <c r="V3" s="105">
        <f>IFERROR(lifespans_all!V3*DTE_mission_minutes!V3,"-")</f>
        <v>0</v>
      </c>
    </row>
    <row r="4" spans="1:22" x14ac:dyDescent="0.25">
      <c r="A4" s="29" t="s">
        <v>49</v>
      </c>
      <c r="B4" s="30" t="s">
        <v>41</v>
      </c>
      <c r="C4" s="105">
        <f>IFERROR(lifespans_all!C4*DTE_mission_minutes!C4,"-")</f>
        <v>1151.5091666666667</v>
      </c>
      <c r="D4" s="105">
        <f>IFERROR(lifespans_all!D4*DTE_mission_minutes!D4,"-")</f>
        <v>1164.4527777777778</v>
      </c>
      <c r="E4" s="105">
        <f>IFERROR(lifespans_all!E4*DTE_mission_minutes!E4,"-")</f>
        <v>862.00805555555553</v>
      </c>
      <c r="F4" s="105">
        <f>IFERROR(lifespans_all!F4*DTE_mission_minutes!F4,"-")</f>
        <v>1093.0107777777775</v>
      </c>
      <c r="G4" s="105">
        <f>IFERROR(lifespans_all!G4*DTE_mission_minutes!G4,"-")</f>
        <v>1093.0107777777775</v>
      </c>
      <c r="H4" s="105">
        <f>IFERROR(lifespans_all!H4*DTE_mission_minutes!H4,"-")</f>
        <v>1093.0107777777775</v>
      </c>
      <c r="I4" s="105">
        <f>IFERROR(lifespans_all!I4*DTE_mission_minutes!I4,"-")</f>
        <v>0</v>
      </c>
      <c r="J4" s="105">
        <f>IFERROR(lifespans_all!J4*DTE_mission_minutes!J4,"-")</f>
        <v>0</v>
      </c>
      <c r="K4" s="105">
        <f>IFERROR(lifespans_all!K4*DTE_mission_minutes!K4,"-")</f>
        <v>0</v>
      </c>
      <c r="L4" s="105">
        <f>IFERROR(lifespans_all!L4*DTE_mission_minutes!L4,"-")</f>
        <v>0</v>
      </c>
      <c r="M4" s="105">
        <f>IFERROR(lifespans_all!M4*DTE_mission_minutes!M4,"-")</f>
        <v>0</v>
      </c>
      <c r="N4" s="105">
        <f>IFERROR(lifespans_all!N4*DTE_mission_minutes!N4,"-")</f>
        <v>0</v>
      </c>
      <c r="O4" s="105">
        <f>IFERROR(lifespans_all!O4*DTE_mission_minutes!O4,"-")</f>
        <v>0</v>
      </c>
      <c r="P4" s="105">
        <f>IFERROR(lifespans_all!P4*DTE_mission_minutes!P4,"-")</f>
        <v>0</v>
      </c>
      <c r="Q4" s="105">
        <f>IFERROR(lifespans_all!Q4*DTE_mission_minutes!Q4,"-")</f>
        <v>0</v>
      </c>
      <c r="R4" s="105">
        <f>IFERROR(lifespans_all!R4*DTE_mission_minutes!R4,"-")</f>
        <v>0</v>
      </c>
      <c r="S4" s="105">
        <f>IFERROR(lifespans_all!S4*DTE_mission_minutes!S4,"-")</f>
        <v>0</v>
      </c>
      <c r="T4" s="105">
        <f>IFERROR(lifespans_all!T4*DTE_mission_minutes!T4,"-")</f>
        <v>0</v>
      </c>
      <c r="U4" s="105">
        <f>IFERROR(lifespans_all!U4*DTE_mission_minutes!U4,"-")</f>
        <v>0</v>
      </c>
      <c r="V4" s="105">
        <f>IFERROR(lifespans_all!V4*DTE_mission_minutes!V4,"-")</f>
        <v>0</v>
      </c>
    </row>
    <row r="5" spans="1:22" x14ac:dyDescent="0.25">
      <c r="A5" s="29" t="s">
        <v>50</v>
      </c>
      <c r="B5" s="36" t="s">
        <v>43</v>
      </c>
      <c r="C5" s="105">
        <f>IFERROR(lifespans_all!C5*DTE_mission_minutes!C5,"-")</f>
        <v>171572.29579277776</v>
      </c>
      <c r="D5" s="105">
        <f>IFERROR(lifespans_all!D5*DTE_mission_minutes!D5,"-")</f>
        <v>171572.29579277776</v>
      </c>
      <c r="E5" s="105">
        <f>IFERROR(lifespans_all!E5*DTE_mission_minutes!E5,"-")</f>
        <v>171572.29579277776</v>
      </c>
      <c r="F5" s="105">
        <f>IFERROR(lifespans_all!F5*DTE_mission_minutes!F5,"-")</f>
        <v>171572.29579277776</v>
      </c>
      <c r="G5" s="105">
        <f>IFERROR(lifespans_all!G5*DTE_mission_minutes!G5,"-")</f>
        <v>171572.29579277776</v>
      </c>
      <c r="H5" s="105">
        <f>IFERROR(lifespans_all!H5*DTE_mission_minutes!H5,"-")</f>
        <v>171572.29579277776</v>
      </c>
      <c r="I5" s="105">
        <f>IFERROR(lifespans_all!I5*DTE_mission_minutes!I5,"-")</f>
        <v>171572.29579277776</v>
      </c>
      <c r="J5" s="105">
        <f>IFERROR(lifespans_all!J5*DTE_mission_minutes!J5,"-")</f>
        <v>171572.29579277776</v>
      </c>
      <c r="K5" s="105">
        <f>IFERROR(lifespans_all!K5*DTE_mission_minutes!K5,"-")</f>
        <v>171572.29579277776</v>
      </c>
      <c r="L5" s="105">
        <f>IFERROR(lifespans_all!L5*DTE_mission_minutes!L5,"-")</f>
        <v>171572.29579277776</v>
      </c>
      <c r="M5" s="105">
        <f>IFERROR(lifespans_all!M5*DTE_mission_minutes!M5,"-")</f>
        <v>171572.29579277776</v>
      </c>
      <c r="N5" s="105">
        <f>IFERROR(lifespans_all!N5*DTE_mission_minutes!N5,"-")</f>
        <v>171572.29579277776</v>
      </c>
      <c r="O5" s="105">
        <f>IFERROR(lifespans_all!O5*DTE_mission_minutes!O5,"-")</f>
        <v>171572.29579277776</v>
      </c>
      <c r="P5" s="105">
        <f>IFERROR(lifespans_all!P5*DTE_mission_minutes!P5,"-")</f>
        <v>171572.29579277776</v>
      </c>
      <c r="Q5" s="105">
        <f>IFERROR(lifespans_all!Q5*DTE_mission_minutes!Q5,"-")</f>
        <v>171572.29579277776</v>
      </c>
      <c r="R5" s="105">
        <f>IFERROR(lifespans_all!R5*DTE_mission_minutes!R5,"-")</f>
        <v>171572.29579277776</v>
      </c>
      <c r="S5" s="105">
        <f>IFERROR(lifespans_all!S5*DTE_mission_minutes!S5,"-")</f>
        <v>171572.29579277776</v>
      </c>
      <c r="T5" s="105">
        <f>IFERROR(lifespans_all!T5*DTE_mission_minutes!T5,"-")</f>
        <v>171572.29579277776</v>
      </c>
      <c r="U5" s="105">
        <f>IFERROR(lifespans_all!U5*DTE_mission_minutes!U5,"-")</f>
        <v>171572.29579277776</v>
      </c>
      <c r="V5" s="105">
        <f>IFERROR(lifespans_all!V5*DTE_mission_minutes!V5,"-")</f>
        <v>171572.29579277776</v>
      </c>
    </row>
    <row r="6" spans="1:22" x14ac:dyDescent="0.25">
      <c r="A6" s="29" t="s">
        <v>51</v>
      </c>
      <c r="B6" s="37" t="s">
        <v>42</v>
      </c>
      <c r="C6" s="105">
        <f>IFERROR(lifespans_all!C6*DTE_mission_minutes!C6,"-")</f>
        <v>30.559216666666664</v>
      </c>
      <c r="D6" s="105">
        <f>IFERROR(lifespans_all!D6*DTE_mission_minutes!D6,"-")</f>
        <v>69.774163888888879</v>
      </c>
      <c r="E6" s="105">
        <f>IFERROR(lifespans_all!E6*DTE_mission_minutes!E6,"-")</f>
        <v>18.289311111111111</v>
      </c>
      <c r="F6" s="105">
        <f>IFERROR(lifespans_all!F6*DTE_mission_minutes!F6,"-")</f>
        <v>35.440637222222215</v>
      </c>
      <c r="G6" s="105">
        <f>IFERROR(lifespans_all!G6*DTE_mission_minutes!G6,"-")</f>
        <v>0</v>
      </c>
      <c r="H6" s="105">
        <f>IFERROR(lifespans_all!H6*DTE_mission_minutes!H6,"-")</f>
        <v>0</v>
      </c>
      <c r="I6" s="105">
        <f>IFERROR(lifespans_all!I6*DTE_mission_minutes!I6,"-")</f>
        <v>0</v>
      </c>
      <c r="J6" s="105">
        <f>IFERROR(lifespans_all!J6*DTE_mission_minutes!J6,"-")</f>
        <v>0</v>
      </c>
      <c r="K6" s="105">
        <f>IFERROR(lifespans_all!K6*DTE_mission_minutes!K6,"-")</f>
        <v>0</v>
      </c>
      <c r="L6" s="105">
        <f>IFERROR(lifespans_all!L6*DTE_mission_minutes!L6,"-")</f>
        <v>0</v>
      </c>
      <c r="M6" s="105">
        <f>IFERROR(lifespans_all!M6*DTE_mission_minutes!M6,"-")</f>
        <v>0</v>
      </c>
      <c r="N6" s="105">
        <f>IFERROR(lifespans_all!N6*DTE_mission_minutes!N6,"-")</f>
        <v>0</v>
      </c>
      <c r="O6" s="105">
        <f>IFERROR(lifespans_all!O6*DTE_mission_minutes!O6,"-")</f>
        <v>0</v>
      </c>
      <c r="P6" s="105">
        <f>IFERROR(lifespans_all!P6*DTE_mission_minutes!P6,"-")</f>
        <v>0</v>
      </c>
      <c r="Q6" s="105">
        <f>IFERROR(lifespans_all!Q6*DTE_mission_minutes!Q6,"-")</f>
        <v>0</v>
      </c>
      <c r="R6" s="105">
        <f>IFERROR(lifespans_all!R6*DTE_mission_minutes!R6,"-")</f>
        <v>0</v>
      </c>
      <c r="S6" s="105">
        <f>IFERROR(lifespans_all!S6*DTE_mission_minutes!S6,"-")</f>
        <v>0</v>
      </c>
      <c r="T6" s="105">
        <f>IFERROR(lifespans_all!T6*DTE_mission_minutes!T6,"-")</f>
        <v>0</v>
      </c>
      <c r="U6" s="105">
        <f>IFERROR(lifespans_all!U6*DTE_mission_minutes!U6,"-")</f>
        <v>0</v>
      </c>
      <c r="V6" s="105">
        <f>IFERROR(lifespans_all!V6*DTE_mission_minutes!V6,"-")</f>
        <v>0</v>
      </c>
    </row>
    <row r="7" spans="1:22" x14ac:dyDescent="0.25">
      <c r="A7" s="29" t="s">
        <v>52</v>
      </c>
      <c r="B7" s="30" t="s">
        <v>41</v>
      </c>
      <c r="C7" s="105">
        <f>IFERROR(lifespans_all!C7*DTE_mission_minutes!C7,"-")</f>
        <v>667.42555555555555</v>
      </c>
      <c r="D7" s="105">
        <f>IFERROR(lifespans_all!D7*DTE_mission_minutes!D7,"-")</f>
        <v>707.53916666666669</v>
      </c>
      <c r="E7" s="105">
        <f>IFERROR(lifespans_all!E7*DTE_mission_minutes!E7,"-")</f>
        <v>608.43833333333339</v>
      </c>
      <c r="F7" s="105">
        <f>IFERROR(lifespans_all!F7*DTE_mission_minutes!F7,"-")</f>
        <v>671.11811111111115</v>
      </c>
      <c r="G7" s="105">
        <f>IFERROR(lifespans_all!G7*DTE_mission_minutes!G7,"-")</f>
        <v>671.11811111111115</v>
      </c>
      <c r="H7" s="105">
        <f>IFERROR(lifespans_all!H7*DTE_mission_minutes!H7,"-")</f>
        <v>671.11811111111115</v>
      </c>
      <c r="I7" s="105">
        <f>IFERROR(lifespans_all!I7*DTE_mission_minutes!I7,"-")</f>
        <v>0</v>
      </c>
      <c r="J7" s="105">
        <f>IFERROR(lifespans_all!J7*DTE_mission_minutes!J7,"-")</f>
        <v>0</v>
      </c>
      <c r="K7" s="105">
        <f>IFERROR(lifespans_all!K7*DTE_mission_minutes!K7,"-")</f>
        <v>0</v>
      </c>
      <c r="L7" s="105">
        <f>IFERROR(lifespans_all!L7*DTE_mission_minutes!L7,"-")</f>
        <v>0</v>
      </c>
      <c r="M7" s="105">
        <f>IFERROR(lifespans_all!M7*DTE_mission_minutes!M7,"-")</f>
        <v>0</v>
      </c>
      <c r="N7" s="105">
        <f>IFERROR(lifespans_all!N7*DTE_mission_minutes!N7,"-")</f>
        <v>0</v>
      </c>
      <c r="O7" s="105">
        <f>IFERROR(lifespans_all!O7*DTE_mission_minutes!O7,"-")</f>
        <v>0</v>
      </c>
      <c r="P7" s="105">
        <f>IFERROR(lifespans_all!P7*DTE_mission_minutes!P7,"-")</f>
        <v>0</v>
      </c>
      <c r="Q7" s="105">
        <f>IFERROR(lifespans_all!Q7*DTE_mission_minutes!Q7,"-")</f>
        <v>0</v>
      </c>
      <c r="R7" s="105">
        <f>IFERROR(lifespans_all!R7*DTE_mission_minutes!R7,"-")</f>
        <v>0</v>
      </c>
      <c r="S7" s="105">
        <f>IFERROR(lifespans_all!S7*DTE_mission_minutes!S7,"-")</f>
        <v>0</v>
      </c>
      <c r="T7" s="105">
        <f>IFERROR(lifespans_all!T7*DTE_mission_minutes!T7,"-")</f>
        <v>0</v>
      </c>
      <c r="U7" s="105">
        <f>IFERROR(lifespans_all!U7*DTE_mission_minutes!U7,"-")</f>
        <v>0</v>
      </c>
      <c r="V7" s="105">
        <f>IFERROR(lifespans_all!V7*DTE_mission_minutes!V7,"-")</f>
        <v>0</v>
      </c>
    </row>
    <row r="8" spans="1:22" x14ac:dyDescent="0.25">
      <c r="A8" s="29" t="s">
        <v>18</v>
      </c>
      <c r="B8" s="38" t="s">
        <v>48</v>
      </c>
      <c r="C8" s="105">
        <f>IFERROR(lifespans_all!C8*DTE_mission_minutes!C8,"-")</f>
        <v>508.14004722222222</v>
      </c>
      <c r="D8" s="105">
        <f>IFERROR(lifespans_all!D8*DTE_mission_minutes!D8,"-")</f>
        <v>377.5913888888889</v>
      </c>
      <c r="E8" s="105">
        <f>IFERROR(lifespans_all!E8*DTE_mission_minutes!E8,"-")</f>
        <v>307.24861111111113</v>
      </c>
      <c r="F8" s="105">
        <f>IFERROR(lifespans_all!F8*DTE_mission_minutes!F8,"-")</f>
        <v>392.20349666666669</v>
      </c>
      <c r="G8" s="105">
        <f>IFERROR(lifespans_all!G8*DTE_mission_minutes!G8,"-")</f>
        <v>392.20349666666669</v>
      </c>
      <c r="H8" s="105">
        <f>IFERROR(lifespans_all!H8*DTE_mission_minutes!H8,"-")</f>
        <v>392.20349666666669</v>
      </c>
      <c r="I8" s="105">
        <f>IFERROR(lifespans_all!I8*DTE_mission_minutes!I8,"-")</f>
        <v>392.20349666666669</v>
      </c>
      <c r="J8" s="105">
        <f>IFERROR(lifespans_all!J8*DTE_mission_minutes!J8,"-")</f>
        <v>392.20349666666669</v>
      </c>
      <c r="K8" s="105">
        <f>IFERROR(lifespans_all!K8*DTE_mission_minutes!K8,"-")</f>
        <v>392.20349666666669</v>
      </c>
      <c r="L8" s="105">
        <f>IFERROR(lifespans_all!L8*DTE_mission_minutes!L8,"-")</f>
        <v>392.20349666666669</v>
      </c>
      <c r="M8" s="105">
        <f>IFERROR(lifespans_all!M8*DTE_mission_minutes!M8,"-")</f>
        <v>392.20349666666669</v>
      </c>
      <c r="N8" s="105">
        <f>IFERROR(lifespans_all!N8*DTE_mission_minutes!N8,"-")</f>
        <v>392.20349666666669</v>
      </c>
      <c r="O8" s="105">
        <f>IFERROR(lifespans_all!O8*DTE_mission_minutes!O8,"-")</f>
        <v>392.20349666666669</v>
      </c>
      <c r="P8" s="105">
        <f>IFERROR(lifespans_all!P8*DTE_mission_minutes!P8,"-")</f>
        <v>392.20349666666669</v>
      </c>
      <c r="Q8" s="105">
        <f>IFERROR(lifespans_all!Q8*DTE_mission_minutes!Q8,"-")</f>
        <v>392.20349666666669</v>
      </c>
      <c r="R8" s="105">
        <f>IFERROR(lifespans_all!R8*DTE_mission_minutes!R8,"-")</f>
        <v>392.20349666666669</v>
      </c>
      <c r="S8" s="105">
        <f>IFERROR(lifespans_all!S8*DTE_mission_minutes!S8,"-")</f>
        <v>392.20349666666669</v>
      </c>
      <c r="T8" s="105">
        <f>IFERROR(lifespans_all!T8*DTE_mission_minutes!T8,"-")</f>
        <v>392.20349666666669</v>
      </c>
      <c r="U8" s="105">
        <f>IFERROR(lifespans_all!U8*DTE_mission_minutes!U8,"-")</f>
        <v>392.20349666666669</v>
      </c>
      <c r="V8" s="105">
        <f>IFERROR(lifespans_all!V8*DTE_mission_minutes!V8,"-")</f>
        <v>392.20349666666669</v>
      </c>
    </row>
    <row r="9" spans="1:22" x14ac:dyDescent="0.25">
      <c r="A9" s="29" t="s">
        <v>53</v>
      </c>
      <c r="B9" s="30" t="s">
        <v>41</v>
      </c>
      <c r="C9" s="105">
        <f>IFERROR(lifespans_all!C9*DTE_mission_minutes!C9,"-")</f>
        <v>0</v>
      </c>
      <c r="D9" s="105">
        <f>IFERROR(lifespans_all!D9*DTE_mission_minutes!D9,"-")</f>
        <v>0</v>
      </c>
      <c r="E9" s="105">
        <f>IFERROR(lifespans_all!E9*DTE_mission_minutes!E9,"-")</f>
        <v>0</v>
      </c>
      <c r="F9" s="105">
        <f>IFERROR(lifespans_all!F9*DTE_mission_minutes!F9,"-")</f>
        <v>0</v>
      </c>
      <c r="G9" s="105">
        <f>IFERROR(lifespans_all!G9*DTE_mission_minutes!G9,"-")</f>
        <v>0</v>
      </c>
      <c r="H9" s="105">
        <f>IFERROR(lifespans_all!H9*DTE_mission_minutes!H9,"-")</f>
        <v>0</v>
      </c>
      <c r="I9" s="105">
        <f>IFERROR(lifespans_all!I9*DTE_mission_minutes!I9,"-")</f>
        <v>0</v>
      </c>
      <c r="J9" s="105">
        <f>IFERROR(lifespans_all!J9*DTE_mission_minutes!J9,"-")</f>
        <v>0</v>
      </c>
      <c r="K9" s="105">
        <f>IFERROR(lifespans_all!K9*DTE_mission_minutes!K9,"-")</f>
        <v>0</v>
      </c>
      <c r="L9" s="105">
        <f>IFERROR(lifespans_all!L9*DTE_mission_minutes!L9,"-")</f>
        <v>0</v>
      </c>
      <c r="M9" s="105">
        <f>IFERROR(lifespans_all!M9*DTE_mission_minutes!M9,"-")</f>
        <v>0</v>
      </c>
      <c r="N9" s="105">
        <f>IFERROR(lifespans_all!N9*DTE_mission_minutes!N9,"-")</f>
        <v>0</v>
      </c>
      <c r="O9" s="105">
        <f>IFERROR(lifespans_all!O9*DTE_mission_minutes!O9,"-")</f>
        <v>0</v>
      </c>
      <c r="P9" s="105">
        <f>IFERROR(lifespans_all!P9*DTE_mission_minutes!P9,"-")</f>
        <v>0</v>
      </c>
      <c r="Q9" s="105">
        <f>IFERROR(lifespans_all!Q9*DTE_mission_minutes!Q9,"-")</f>
        <v>0</v>
      </c>
      <c r="R9" s="105">
        <f>IFERROR(lifespans_all!R9*DTE_mission_minutes!R9,"-")</f>
        <v>0</v>
      </c>
      <c r="S9" s="105">
        <f>IFERROR(lifespans_all!S9*DTE_mission_minutes!S9,"-")</f>
        <v>0</v>
      </c>
      <c r="T9" s="105">
        <f>IFERROR(lifespans_all!T9*DTE_mission_minutes!T9,"-")</f>
        <v>0</v>
      </c>
      <c r="U9" s="105">
        <f>IFERROR(lifespans_all!U9*DTE_mission_minutes!U9,"-")</f>
        <v>0</v>
      </c>
      <c r="V9" s="105">
        <f>IFERROR(lifespans_all!V9*DTE_mission_minutes!V9,"-")</f>
        <v>0</v>
      </c>
    </row>
    <row r="10" spans="1:22" x14ac:dyDescent="0.25">
      <c r="A10" s="29" t="s">
        <v>54</v>
      </c>
      <c r="B10" s="37" t="s">
        <v>43</v>
      </c>
      <c r="C10" s="105">
        <f>IFERROR(lifespans_all!C10*DTE_mission_minutes!C10,"-")</f>
        <v>1178.5658305555555</v>
      </c>
      <c r="D10" s="105">
        <f>IFERROR(lifespans_all!D10*DTE_mission_minutes!D10,"-")</f>
        <v>779.39891388888896</v>
      </c>
      <c r="E10" s="105">
        <f>IFERROR(lifespans_all!E10*DTE_mission_minutes!E10,"-")</f>
        <v>4.2386111111111111</v>
      </c>
      <c r="F10" s="105">
        <f>IFERROR(lifespans_all!F10*DTE_mission_minutes!F10,"-")</f>
        <v>871.54136999999992</v>
      </c>
      <c r="G10" s="105">
        <f>IFERROR(lifespans_all!G10*DTE_mission_minutes!G10,"-")</f>
        <v>871.54136999999992</v>
      </c>
      <c r="H10" s="105">
        <f>IFERROR(lifespans_all!H10*DTE_mission_minutes!H10,"-")</f>
        <v>871.54136999999992</v>
      </c>
      <c r="I10" s="105">
        <f>IFERROR(lifespans_all!I10*DTE_mission_minutes!I10,"-")</f>
        <v>871.54136999999992</v>
      </c>
      <c r="J10" s="105">
        <f>IFERROR(lifespans_all!J10*DTE_mission_minutes!J10,"-")</f>
        <v>871.54136999999992</v>
      </c>
      <c r="K10" s="105">
        <f>IFERROR(lifespans_all!K10*DTE_mission_minutes!K10,"-")</f>
        <v>871.54136999999992</v>
      </c>
      <c r="L10" s="105">
        <f>IFERROR(lifespans_all!L10*DTE_mission_minutes!L10,"-")</f>
        <v>871.54136999999992</v>
      </c>
      <c r="M10" s="105">
        <f>IFERROR(lifespans_all!M10*DTE_mission_minutes!M10,"-")</f>
        <v>0</v>
      </c>
      <c r="N10" s="105">
        <f>IFERROR(lifespans_all!N10*DTE_mission_minutes!N10,"-")</f>
        <v>0</v>
      </c>
      <c r="O10" s="105">
        <f>IFERROR(lifespans_all!O10*DTE_mission_minutes!O10,"-")</f>
        <v>0</v>
      </c>
      <c r="P10" s="105">
        <f>IFERROR(lifespans_all!P10*DTE_mission_minutes!P10,"-")</f>
        <v>0</v>
      </c>
      <c r="Q10" s="105">
        <f>IFERROR(lifespans_all!Q10*DTE_mission_minutes!Q10,"-")</f>
        <v>0</v>
      </c>
      <c r="R10" s="105">
        <f>IFERROR(lifespans_all!R10*DTE_mission_minutes!R10,"-")</f>
        <v>0</v>
      </c>
      <c r="S10" s="105">
        <f>IFERROR(lifespans_all!S10*DTE_mission_minutes!S10,"-")</f>
        <v>0</v>
      </c>
      <c r="T10" s="105">
        <f>IFERROR(lifespans_all!T10*DTE_mission_minutes!T10,"-")</f>
        <v>0</v>
      </c>
      <c r="U10" s="105">
        <f>IFERROR(lifespans_all!U10*DTE_mission_minutes!U10,"-")</f>
        <v>0</v>
      </c>
      <c r="V10" s="105">
        <f>IFERROR(lifespans_all!V10*DTE_mission_minutes!V10,"-")</f>
        <v>0</v>
      </c>
    </row>
    <row r="11" spans="1:22" x14ac:dyDescent="0.25">
      <c r="A11" s="29" t="s">
        <v>55</v>
      </c>
      <c r="B11" s="37" t="s">
        <v>42</v>
      </c>
      <c r="C11" s="105">
        <f>IFERROR(lifespans_all!C11*DTE_mission_minutes!C11,"-")</f>
        <v>721.11352444444435</v>
      </c>
      <c r="D11" s="105">
        <f>IFERROR(lifespans_all!D11*DTE_mission_minutes!D11,"-")</f>
        <v>721.11352444444435</v>
      </c>
      <c r="E11" s="105">
        <f>IFERROR(lifespans_all!E11*DTE_mission_minutes!E11,"-")</f>
        <v>721.11352444444435</v>
      </c>
      <c r="F11" s="105">
        <f>IFERROR(lifespans_all!F11*DTE_mission_minutes!F11,"-")</f>
        <v>721.11352444444435</v>
      </c>
      <c r="G11" s="105">
        <f>IFERROR(lifespans_all!G11*DTE_mission_minutes!G11,"-")</f>
        <v>721.11352444444435</v>
      </c>
      <c r="H11" s="105">
        <f>IFERROR(lifespans_all!H11*DTE_mission_minutes!H11,"-")</f>
        <v>721.11352444444435</v>
      </c>
      <c r="I11" s="105">
        <f>IFERROR(lifespans_all!I11*DTE_mission_minutes!I11,"-")</f>
        <v>721.11352444444435</v>
      </c>
      <c r="J11" s="105">
        <f>IFERROR(lifespans_all!J11*DTE_mission_minutes!J11,"-")</f>
        <v>721.11352444444435</v>
      </c>
      <c r="K11" s="105">
        <f>IFERROR(lifespans_all!K11*DTE_mission_minutes!K11,"-")</f>
        <v>721.11352444444435</v>
      </c>
      <c r="L11" s="105">
        <f>IFERROR(lifespans_all!L11*DTE_mission_minutes!L11,"-")</f>
        <v>721.11352444444435</v>
      </c>
      <c r="M11" s="105">
        <f>IFERROR(lifespans_all!M11*DTE_mission_minutes!M11,"-")</f>
        <v>721.11352444444435</v>
      </c>
      <c r="N11" s="105">
        <f>IFERROR(lifespans_all!N11*DTE_mission_minutes!N11,"-")</f>
        <v>721.11352444444435</v>
      </c>
      <c r="O11" s="105">
        <f>IFERROR(lifespans_all!O11*DTE_mission_minutes!O11,"-")</f>
        <v>721.11352444444435</v>
      </c>
      <c r="P11" s="105">
        <f>IFERROR(lifespans_all!P11*DTE_mission_minutes!P11,"-")</f>
        <v>721.11352444444435</v>
      </c>
      <c r="Q11" s="105">
        <f>IFERROR(lifespans_all!Q11*DTE_mission_minutes!Q11,"-")</f>
        <v>721.11352444444435</v>
      </c>
      <c r="R11" s="105">
        <f>IFERROR(lifespans_all!R11*DTE_mission_minutes!R11,"-")</f>
        <v>721.11352444444435</v>
      </c>
      <c r="S11" s="105">
        <f>IFERROR(lifespans_all!S11*DTE_mission_minutes!S11,"-")</f>
        <v>721.11352444444435</v>
      </c>
      <c r="T11" s="105">
        <f>IFERROR(lifespans_all!T11*DTE_mission_minutes!T11,"-")</f>
        <v>721.11352444444435</v>
      </c>
      <c r="U11" s="105">
        <f>IFERROR(lifespans_all!U11*DTE_mission_minutes!U11,"-")</f>
        <v>721.11352444444435</v>
      </c>
      <c r="V11" s="105">
        <f>IFERROR(lifespans_all!V11*DTE_mission_minutes!V11,"-")</f>
        <v>721.11352444444435</v>
      </c>
    </row>
    <row r="12" spans="1:22" x14ac:dyDescent="0.25">
      <c r="A12" s="29" t="s">
        <v>56</v>
      </c>
      <c r="B12" s="36" t="s">
        <v>43</v>
      </c>
      <c r="C12" s="105">
        <f>IFERROR(lifespans_all!C12*DTE_mission_minutes!C12,"-")</f>
        <v>171572.29579277776</v>
      </c>
      <c r="D12" s="105">
        <f>IFERROR(lifespans_all!D12*DTE_mission_minutes!D12,"-")</f>
        <v>171572.29579277776</v>
      </c>
      <c r="E12" s="105">
        <f>IFERROR(lifespans_all!E12*DTE_mission_minutes!E12,"-")</f>
        <v>171572.29579277776</v>
      </c>
      <c r="F12" s="105">
        <f>IFERROR(lifespans_all!F12*DTE_mission_minutes!F12,"-")</f>
        <v>171572.29579277776</v>
      </c>
      <c r="G12" s="105">
        <f>IFERROR(lifespans_all!G12*DTE_mission_minutes!G12,"-")</f>
        <v>171572.29579277776</v>
      </c>
      <c r="H12" s="105">
        <f>IFERROR(lifespans_all!H12*DTE_mission_minutes!H12,"-")</f>
        <v>171572.29579277776</v>
      </c>
      <c r="I12" s="105">
        <f>IFERROR(lifespans_all!I12*DTE_mission_minutes!I12,"-")</f>
        <v>171572.29579277776</v>
      </c>
      <c r="J12" s="105">
        <f>IFERROR(lifespans_all!J12*DTE_mission_minutes!J12,"-")</f>
        <v>171572.29579277776</v>
      </c>
      <c r="K12" s="105">
        <f>IFERROR(lifespans_all!K12*DTE_mission_minutes!K12,"-")</f>
        <v>171572.29579277776</v>
      </c>
      <c r="L12" s="105">
        <f>IFERROR(lifespans_all!L12*DTE_mission_minutes!L12,"-")</f>
        <v>171572.29579277776</v>
      </c>
      <c r="M12" s="105">
        <f>IFERROR(lifespans_all!M12*DTE_mission_minutes!M12,"-")</f>
        <v>171572.29579277776</v>
      </c>
      <c r="N12" s="105">
        <f>IFERROR(lifespans_all!N12*DTE_mission_minutes!N12,"-")</f>
        <v>171572.29579277776</v>
      </c>
      <c r="O12" s="105">
        <f>IFERROR(lifespans_all!O12*DTE_mission_minutes!O12,"-")</f>
        <v>171572.29579277776</v>
      </c>
      <c r="P12" s="105">
        <f>IFERROR(lifespans_all!P12*DTE_mission_minutes!P12,"-")</f>
        <v>171572.29579277776</v>
      </c>
      <c r="Q12" s="105">
        <f>IFERROR(lifespans_all!Q12*DTE_mission_minutes!Q12,"-")</f>
        <v>171572.29579277776</v>
      </c>
      <c r="R12" s="105">
        <f>IFERROR(lifespans_all!R12*DTE_mission_minutes!R12,"-")</f>
        <v>171572.29579277776</v>
      </c>
      <c r="S12" s="105">
        <f>IFERROR(lifespans_all!S12*DTE_mission_minutes!S12,"-")</f>
        <v>171572.29579277776</v>
      </c>
      <c r="T12" s="105">
        <f>IFERROR(lifespans_all!T12*DTE_mission_minutes!T12,"-")</f>
        <v>171572.29579277776</v>
      </c>
      <c r="U12" s="105">
        <f>IFERROR(lifespans_all!U12*DTE_mission_minutes!U12,"-")</f>
        <v>171572.29579277776</v>
      </c>
      <c r="V12" s="105">
        <f>IFERROR(lifespans_all!V12*DTE_mission_minutes!V12,"-")</f>
        <v>171572.29579277776</v>
      </c>
    </row>
    <row r="13" spans="1:22" x14ac:dyDescent="0.25">
      <c r="A13" s="29" t="s">
        <v>66</v>
      </c>
      <c r="B13" s="38" t="s">
        <v>48</v>
      </c>
      <c r="C13" s="105" t="str">
        <f>IFERROR(lifespans_all!C13*DTE_mission_minutes!C13,"-")</f>
        <v>-</v>
      </c>
      <c r="D13" s="105" t="str">
        <f>IFERROR(lifespans_all!D13*DTE_mission_minutes!D13,"-")</f>
        <v>-</v>
      </c>
      <c r="E13" s="105" t="str">
        <f>IFERROR(lifespans_all!E13*DTE_mission_minutes!E13,"-")</f>
        <v>-</v>
      </c>
      <c r="F13" s="105" t="str">
        <f>IFERROR(lifespans_all!F13*DTE_mission_minutes!F13,"-")</f>
        <v>-</v>
      </c>
      <c r="G13" s="105" t="str">
        <f>IFERROR(lifespans_all!G13*DTE_mission_minutes!G13,"-")</f>
        <v>-</v>
      </c>
      <c r="H13" s="105" t="str">
        <f>IFERROR(lifespans_all!H13*DTE_mission_minutes!H13,"-")</f>
        <v>-</v>
      </c>
      <c r="I13" s="105" t="str">
        <f>IFERROR(lifespans_all!I13*DTE_mission_minutes!I13,"-")</f>
        <v>-</v>
      </c>
      <c r="J13" s="105" t="str">
        <f>IFERROR(lifespans_all!J13*DTE_mission_minutes!J13,"-")</f>
        <v>-</v>
      </c>
      <c r="K13" s="105" t="str">
        <f>IFERROR(lifespans_all!K13*DTE_mission_minutes!K13,"-")</f>
        <v>-</v>
      </c>
      <c r="L13" s="105" t="str">
        <f>IFERROR(lifespans_all!L13*DTE_mission_minutes!L13,"-")</f>
        <v>-</v>
      </c>
      <c r="M13" s="105" t="str">
        <f>IFERROR(lifespans_all!M13*DTE_mission_minutes!M13,"-")</f>
        <v>-</v>
      </c>
      <c r="N13" s="105" t="str">
        <f>IFERROR(lifespans_all!N13*DTE_mission_minutes!N13,"-")</f>
        <v>-</v>
      </c>
      <c r="O13" s="105" t="str">
        <f>IFERROR(lifespans_all!O13*DTE_mission_minutes!O13,"-")</f>
        <v>-</v>
      </c>
      <c r="P13" s="105" t="str">
        <f>IFERROR(lifespans_all!P13*DTE_mission_minutes!P13,"-")</f>
        <v>-</v>
      </c>
      <c r="Q13" s="105" t="str">
        <f>IFERROR(lifespans_all!Q13*DTE_mission_minutes!Q13,"-")</f>
        <v>-</v>
      </c>
      <c r="R13" s="105" t="str">
        <f>IFERROR(lifespans_all!R13*DTE_mission_minutes!R13,"-")</f>
        <v>-</v>
      </c>
      <c r="S13" s="105" t="str">
        <f>IFERROR(lifespans_all!S13*DTE_mission_minutes!S13,"-")</f>
        <v>-</v>
      </c>
      <c r="T13" s="105" t="str">
        <f>IFERROR(lifespans_all!T13*DTE_mission_minutes!T13,"-")</f>
        <v>-</v>
      </c>
      <c r="U13" s="105" t="str">
        <f>IFERROR(lifespans_all!U13*DTE_mission_minutes!U13,"-")</f>
        <v>-</v>
      </c>
      <c r="V13" s="105" t="str">
        <f>IFERROR(lifespans_all!V13*DTE_mission_minutes!V13,"-")</f>
        <v>-</v>
      </c>
    </row>
    <row r="14" spans="1:22" x14ac:dyDescent="0.25">
      <c r="A14" s="29" t="s">
        <v>19</v>
      </c>
      <c r="B14" s="30" t="s">
        <v>41</v>
      </c>
      <c r="C14" s="105">
        <f>IFERROR(lifespans_all!C14*DTE_mission_minutes!C14,"-")</f>
        <v>851.36055555555549</v>
      </c>
      <c r="D14" s="105">
        <f>IFERROR(lifespans_all!D14*DTE_mission_minutes!D14,"-")</f>
        <v>921.41561944444436</v>
      </c>
      <c r="E14" s="105">
        <f>IFERROR(lifespans_all!E14*DTE_mission_minutes!E14,"-")</f>
        <v>793.34499999999991</v>
      </c>
      <c r="F14" s="105">
        <f>IFERROR(lifespans_all!F14*DTE_mission_minutes!F14,"-")</f>
        <v>796.60534611111109</v>
      </c>
      <c r="G14" s="105">
        <f>IFERROR(lifespans_all!G14*DTE_mission_minutes!G14,"-")</f>
        <v>796.60534611111109</v>
      </c>
      <c r="H14" s="105">
        <f>IFERROR(lifespans_all!H14*DTE_mission_minutes!H14,"-")</f>
        <v>796.60534611111109</v>
      </c>
      <c r="I14" s="105">
        <f>IFERROR(lifespans_all!I14*DTE_mission_minutes!I14,"-")</f>
        <v>796.60534611111109</v>
      </c>
      <c r="J14" s="105">
        <f>IFERROR(lifespans_all!J14*DTE_mission_minutes!J14,"-")</f>
        <v>0</v>
      </c>
      <c r="K14" s="105">
        <f>IFERROR(lifespans_all!K14*DTE_mission_minutes!K14,"-")</f>
        <v>0</v>
      </c>
      <c r="L14" s="105">
        <f>IFERROR(lifespans_all!L14*DTE_mission_minutes!L14,"-")</f>
        <v>0</v>
      </c>
      <c r="M14" s="105">
        <f>IFERROR(lifespans_all!M14*DTE_mission_minutes!M14,"-")</f>
        <v>0</v>
      </c>
      <c r="N14" s="105">
        <f>IFERROR(lifespans_all!N14*DTE_mission_minutes!N14,"-")</f>
        <v>0</v>
      </c>
      <c r="O14" s="105">
        <f>IFERROR(lifespans_all!O14*DTE_mission_minutes!O14,"-")</f>
        <v>0</v>
      </c>
      <c r="P14" s="105">
        <f>IFERROR(lifespans_all!P14*DTE_mission_minutes!P14,"-")</f>
        <v>0</v>
      </c>
      <c r="Q14" s="105">
        <f>IFERROR(lifespans_all!Q14*DTE_mission_minutes!Q14,"-")</f>
        <v>0</v>
      </c>
      <c r="R14" s="105">
        <f>IFERROR(lifespans_all!R14*DTE_mission_minutes!R14,"-")</f>
        <v>0</v>
      </c>
      <c r="S14" s="105">
        <f>IFERROR(lifespans_all!S14*DTE_mission_minutes!S14,"-")</f>
        <v>0</v>
      </c>
      <c r="T14" s="105">
        <f>IFERROR(lifespans_all!T14*DTE_mission_minutes!T14,"-")</f>
        <v>0</v>
      </c>
      <c r="U14" s="105">
        <f>IFERROR(lifespans_all!U14*DTE_mission_minutes!U14,"-")</f>
        <v>0</v>
      </c>
      <c r="V14" s="105">
        <f>IFERROR(lifespans_all!V14*DTE_mission_minutes!V14,"-")</f>
        <v>0</v>
      </c>
    </row>
    <row r="15" spans="1:22" x14ac:dyDescent="0.25">
      <c r="A15" s="41" t="s">
        <v>67</v>
      </c>
      <c r="B15" s="30" t="s">
        <v>40</v>
      </c>
      <c r="C15" s="105">
        <f>IFERROR(lifespans_all!C15*DTE_mission_minutes!C15,"-")</f>
        <v>2140.4341038095235</v>
      </c>
      <c r="D15" s="105">
        <f>IFERROR(lifespans_all!D15*DTE_mission_minutes!D15,"-")</f>
        <v>2140.4341038095235</v>
      </c>
      <c r="E15" s="105">
        <f>IFERROR(lifespans_all!E15*DTE_mission_minutes!E15,"-")</f>
        <v>2140.4341038095235</v>
      </c>
      <c r="F15" s="105">
        <f>IFERROR(lifespans_all!F15*DTE_mission_minutes!F15,"-")</f>
        <v>2140.4341038095235</v>
      </c>
      <c r="G15" s="105">
        <f>IFERROR(lifespans_all!G15*DTE_mission_minutes!G15,"-")</f>
        <v>2140.4341038095235</v>
      </c>
      <c r="H15" s="105">
        <f>IFERROR(lifespans_all!H15*DTE_mission_minutes!H15,"-")</f>
        <v>2140.4341038095235</v>
      </c>
      <c r="I15" s="105">
        <f>IFERROR(lifespans_all!I15*DTE_mission_minutes!I15,"-")</f>
        <v>2140.4341038095235</v>
      </c>
      <c r="J15" s="105">
        <f>IFERROR(lifespans_all!J15*DTE_mission_minutes!J15,"-")</f>
        <v>2140.4341038095235</v>
      </c>
      <c r="K15" s="105">
        <f>IFERROR(lifespans_all!K15*DTE_mission_minutes!K15,"-")</f>
        <v>2140.4341038095235</v>
      </c>
      <c r="L15" s="105">
        <f>IFERROR(lifespans_all!L15*DTE_mission_minutes!L15,"-")</f>
        <v>2140.4341038095235</v>
      </c>
      <c r="M15" s="105">
        <f>IFERROR(lifespans_all!M15*DTE_mission_minutes!M15,"-")</f>
        <v>2140.4341038095235</v>
      </c>
      <c r="N15" s="105">
        <f>IFERROR(lifespans_all!N15*DTE_mission_minutes!N15,"-")</f>
        <v>2140.4341038095235</v>
      </c>
      <c r="O15" s="105">
        <f>IFERROR(lifespans_all!O15*DTE_mission_minutes!O15,"-")</f>
        <v>2140.4341038095235</v>
      </c>
      <c r="P15" s="105">
        <f>IFERROR(lifespans_all!P15*DTE_mission_minutes!P15,"-")</f>
        <v>2140.4341038095235</v>
      </c>
      <c r="Q15" s="105">
        <f>IFERROR(lifespans_all!Q15*DTE_mission_minutes!Q15,"-")</f>
        <v>2140.4341038095235</v>
      </c>
      <c r="R15" s="105">
        <f>IFERROR(lifespans_all!R15*DTE_mission_minutes!R15,"-")</f>
        <v>2140.4341038095235</v>
      </c>
      <c r="S15" s="105">
        <f>IFERROR(lifespans_all!S15*DTE_mission_minutes!S15,"-")</f>
        <v>2140.4341038095235</v>
      </c>
      <c r="T15" s="105">
        <f>IFERROR(lifespans_all!T15*DTE_mission_minutes!T15,"-")</f>
        <v>2140.4341038095235</v>
      </c>
      <c r="U15" s="105">
        <f>IFERROR(lifespans_all!U15*DTE_mission_minutes!U15,"-")</f>
        <v>2140.4341038095235</v>
      </c>
      <c r="V15" s="105">
        <f>IFERROR(lifespans_all!V15*DTE_mission_minutes!V15,"-")</f>
        <v>2140.4341038095235</v>
      </c>
    </row>
    <row r="16" spans="1:22" x14ac:dyDescent="0.25">
      <c r="A16" s="41" t="s">
        <v>68</v>
      </c>
      <c r="B16" s="30" t="s">
        <v>40</v>
      </c>
      <c r="C16" s="105">
        <f>IFERROR(lifespans_all!C16*DTE_mission_minutes!C16,"-")</f>
        <v>2140.4341038095235</v>
      </c>
      <c r="D16" s="105">
        <f>IFERROR(lifespans_all!D16*DTE_mission_minutes!D16,"-")</f>
        <v>2140.4341038095235</v>
      </c>
      <c r="E16" s="105">
        <f>IFERROR(lifespans_all!E16*DTE_mission_minutes!E16,"-")</f>
        <v>2140.4341038095235</v>
      </c>
      <c r="F16" s="105">
        <f>IFERROR(lifespans_all!F16*DTE_mission_minutes!F16,"-")</f>
        <v>2140.4341038095235</v>
      </c>
      <c r="G16" s="105">
        <f>IFERROR(lifespans_all!G16*DTE_mission_minutes!G16,"-")</f>
        <v>2140.4341038095235</v>
      </c>
      <c r="H16" s="105">
        <f>IFERROR(lifespans_all!H16*DTE_mission_minutes!H16,"-")</f>
        <v>2140.4341038095235</v>
      </c>
      <c r="I16" s="105">
        <f>IFERROR(lifespans_all!I16*DTE_mission_minutes!I16,"-")</f>
        <v>2140.4341038095235</v>
      </c>
      <c r="J16" s="105">
        <f>IFERROR(lifespans_all!J16*DTE_mission_minutes!J16,"-")</f>
        <v>2140.4341038095235</v>
      </c>
      <c r="K16" s="105">
        <f>IFERROR(lifespans_all!K16*DTE_mission_minutes!K16,"-")</f>
        <v>2140.4341038095235</v>
      </c>
      <c r="L16" s="105">
        <f>IFERROR(lifespans_all!L16*DTE_mission_minutes!L16,"-")</f>
        <v>2140.4341038095235</v>
      </c>
      <c r="M16" s="105">
        <f>IFERROR(lifespans_all!M16*DTE_mission_minutes!M16,"-")</f>
        <v>2140.4341038095235</v>
      </c>
      <c r="N16" s="105">
        <f>IFERROR(lifespans_all!N16*DTE_mission_minutes!N16,"-")</f>
        <v>2140.4341038095235</v>
      </c>
      <c r="O16" s="105">
        <f>IFERROR(lifespans_all!O16*DTE_mission_minutes!O16,"-")</f>
        <v>2140.4341038095235</v>
      </c>
      <c r="P16" s="105">
        <f>IFERROR(lifespans_all!P16*DTE_mission_minutes!P16,"-")</f>
        <v>2140.4341038095235</v>
      </c>
      <c r="Q16" s="105">
        <f>IFERROR(lifespans_all!Q16*DTE_mission_minutes!Q16,"-")</f>
        <v>2140.4341038095235</v>
      </c>
      <c r="R16" s="105">
        <f>IFERROR(lifespans_all!R16*DTE_mission_minutes!R16,"-")</f>
        <v>2140.4341038095235</v>
      </c>
      <c r="S16" s="105">
        <f>IFERROR(lifespans_all!S16*DTE_mission_minutes!S16,"-")</f>
        <v>2140.4341038095235</v>
      </c>
      <c r="T16" s="105">
        <f>IFERROR(lifespans_all!T16*DTE_mission_minutes!T16,"-")</f>
        <v>2140.4341038095235</v>
      </c>
      <c r="U16" s="105">
        <f>IFERROR(lifespans_all!U16*DTE_mission_minutes!U16,"-")</f>
        <v>2140.4341038095235</v>
      </c>
      <c r="V16" s="105">
        <f>IFERROR(lifespans_all!V16*DTE_mission_minutes!V16,"-")</f>
        <v>2140.4341038095235</v>
      </c>
    </row>
    <row r="17" spans="1:22" x14ac:dyDescent="0.25">
      <c r="A17" s="41" t="s">
        <v>69</v>
      </c>
      <c r="B17" s="30" t="s">
        <v>40</v>
      </c>
      <c r="C17" s="105">
        <f>IFERROR(lifespans_all!C17*DTE_mission_minutes!C17,"-")</f>
        <v>2140.4341038095235</v>
      </c>
      <c r="D17" s="105">
        <f>IFERROR(lifespans_all!D17*DTE_mission_minutes!D17,"-")</f>
        <v>2140.4341038095235</v>
      </c>
      <c r="E17" s="105">
        <f>IFERROR(lifespans_all!E17*DTE_mission_minutes!E17,"-")</f>
        <v>2140.4341038095235</v>
      </c>
      <c r="F17" s="105">
        <f>IFERROR(lifespans_all!F17*DTE_mission_minutes!F17,"-")</f>
        <v>2140.4341038095235</v>
      </c>
      <c r="G17" s="105">
        <f>IFERROR(lifespans_all!G17*DTE_mission_minutes!G17,"-")</f>
        <v>2140.4341038095235</v>
      </c>
      <c r="H17" s="105">
        <f>IFERROR(lifespans_all!H17*DTE_mission_minutes!H17,"-")</f>
        <v>2140.4341038095235</v>
      </c>
      <c r="I17" s="105">
        <f>IFERROR(lifespans_all!I17*DTE_mission_minutes!I17,"-")</f>
        <v>2140.4341038095235</v>
      </c>
      <c r="J17" s="105">
        <f>IFERROR(lifespans_all!J17*DTE_mission_minutes!J17,"-")</f>
        <v>2140.4341038095235</v>
      </c>
      <c r="K17" s="105">
        <f>IFERROR(lifespans_all!K17*DTE_mission_minutes!K17,"-")</f>
        <v>2140.4341038095235</v>
      </c>
      <c r="L17" s="105">
        <f>IFERROR(lifespans_all!L17*DTE_mission_minutes!L17,"-")</f>
        <v>2140.4341038095235</v>
      </c>
      <c r="M17" s="105">
        <f>IFERROR(lifespans_all!M17*DTE_mission_minutes!M17,"-")</f>
        <v>2140.4341038095235</v>
      </c>
      <c r="N17" s="105">
        <f>IFERROR(lifespans_all!N17*DTE_mission_minutes!N17,"-")</f>
        <v>2140.4341038095235</v>
      </c>
      <c r="O17" s="105">
        <f>IFERROR(lifespans_all!O17*DTE_mission_minutes!O17,"-")</f>
        <v>2140.4341038095235</v>
      </c>
      <c r="P17" s="105">
        <f>IFERROR(lifespans_all!P17*DTE_mission_minutes!P17,"-")</f>
        <v>2140.4341038095235</v>
      </c>
      <c r="Q17" s="105">
        <f>IFERROR(lifespans_all!Q17*DTE_mission_minutes!Q17,"-")</f>
        <v>2140.4341038095235</v>
      </c>
      <c r="R17" s="105">
        <f>IFERROR(lifespans_all!R17*DTE_mission_minutes!R17,"-")</f>
        <v>2140.4341038095235</v>
      </c>
      <c r="S17" s="105">
        <f>IFERROR(lifespans_all!S17*DTE_mission_minutes!S17,"-")</f>
        <v>2140.4341038095235</v>
      </c>
      <c r="T17" s="105">
        <f>IFERROR(lifespans_all!T17*DTE_mission_minutes!T17,"-")</f>
        <v>2140.4341038095235</v>
      </c>
      <c r="U17" s="105">
        <f>IFERROR(lifespans_all!U17*DTE_mission_minutes!U17,"-")</f>
        <v>2140.4341038095235</v>
      </c>
      <c r="V17" s="105">
        <f>IFERROR(lifespans_all!V17*DTE_mission_minutes!V17,"-")</f>
        <v>2140.4341038095235</v>
      </c>
    </row>
    <row r="18" spans="1:22" x14ac:dyDescent="0.25">
      <c r="A18" s="41" t="s">
        <v>70</v>
      </c>
      <c r="B18" s="30" t="s">
        <v>40</v>
      </c>
      <c r="C18" s="105">
        <f>IFERROR(lifespans_all!C18*DTE_mission_minutes!C18,"-")</f>
        <v>2140.4341038095235</v>
      </c>
      <c r="D18" s="105">
        <f>IFERROR(lifespans_all!D18*DTE_mission_minutes!D18,"-")</f>
        <v>2140.4341038095235</v>
      </c>
      <c r="E18" s="105">
        <f>IFERROR(lifespans_all!E18*DTE_mission_minutes!E18,"-")</f>
        <v>2140.4341038095235</v>
      </c>
      <c r="F18" s="105">
        <f>IFERROR(lifespans_all!F18*DTE_mission_minutes!F18,"-")</f>
        <v>2140.4341038095235</v>
      </c>
      <c r="G18" s="105">
        <f>IFERROR(lifespans_all!G18*DTE_mission_minutes!G18,"-")</f>
        <v>2140.4341038095235</v>
      </c>
      <c r="H18" s="105">
        <f>IFERROR(lifespans_all!H18*DTE_mission_minutes!H18,"-")</f>
        <v>2140.4341038095235</v>
      </c>
      <c r="I18" s="105">
        <f>IFERROR(lifespans_all!I18*DTE_mission_minutes!I18,"-")</f>
        <v>2140.4341038095235</v>
      </c>
      <c r="J18" s="105">
        <f>IFERROR(lifespans_all!J18*DTE_mission_minutes!J18,"-")</f>
        <v>2140.4341038095235</v>
      </c>
      <c r="K18" s="105">
        <f>IFERROR(lifespans_all!K18*DTE_mission_minutes!K18,"-")</f>
        <v>2140.4341038095235</v>
      </c>
      <c r="L18" s="105">
        <f>IFERROR(lifespans_all!L18*DTE_mission_minutes!L18,"-")</f>
        <v>2140.4341038095235</v>
      </c>
      <c r="M18" s="105">
        <f>IFERROR(lifespans_all!M18*DTE_mission_minutes!M18,"-")</f>
        <v>2140.4341038095235</v>
      </c>
      <c r="N18" s="105">
        <f>IFERROR(lifespans_all!N18*DTE_mission_minutes!N18,"-")</f>
        <v>2140.4341038095235</v>
      </c>
      <c r="O18" s="105">
        <f>IFERROR(lifespans_all!O18*DTE_mission_minutes!O18,"-")</f>
        <v>2140.4341038095235</v>
      </c>
      <c r="P18" s="105">
        <f>IFERROR(lifespans_all!P18*DTE_mission_minutes!P18,"-")</f>
        <v>2140.4341038095235</v>
      </c>
      <c r="Q18" s="105">
        <f>IFERROR(lifespans_all!Q18*DTE_mission_minutes!Q18,"-")</f>
        <v>2140.4341038095235</v>
      </c>
      <c r="R18" s="105">
        <f>IFERROR(lifespans_all!R18*DTE_mission_minutes!R18,"-")</f>
        <v>2140.4341038095235</v>
      </c>
      <c r="S18" s="105">
        <f>IFERROR(lifespans_all!S18*DTE_mission_minutes!S18,"-")</f>
        <v>2140.4341038095235</v>
      </c>
      <c r="T18" s="105">
        <f>IFERROR(lifespans_all!T18*DTE_mission_minutes!T18,"-")</f>
        <v>2140.4341038095235</v>
      </c>
      <c r="U18" s="105">
        <f>IFERROR(lifespans_all!U18*DTE_mission_minutes!U18,"-")</f>
        <v>2140.4341038095235</v>
      </c>
      <c r="V18" s="105">
        <f>IFERROR(lifespans_all!V18*DTE_mission_minutes!V18,"-")</f>
        <v>2140.4341038095235</v>
      </c>
    </row>
    <row r="19" spans="1:22" x14ac:dyDescent="0.25">
      <c r="A19" s="29" t="s">
        <v>20</v>
      </c>
      <c r="B19" s="30" t="s">
        <v>41</v>
      </c>
      <c r="C19" s="105">
        <f>IFERROR(lifespans_all!C19*DTE_mission_minutes!C19,"-")</f>
        <v>3121.1464916666664</v>
      </c>
      <c r="D19" s="105">
        <f>IFERROR(lifespans_all!D19*DTE_mission_minutes!D19,"-")</f>
        <v>3157.8943527777778</v>
      </c>
      <c r="E19" s="105">
        <f>IFERROR(lifespans_all!E19*DTE_mission_minutes!E19,"-")</f>
        <v>2937.5030555555554</v>
      </c>
      <c r="F19" s="105">
        <f>IFERROR(lifespans_all!F19*DTE_mission_minutes!F19,"-")</f>
        <v>3137.9728877777775</v>
      </c>
      <c r="G19" s="105">
        <f>IFERROR(lifespans_all!G19*DTE_mission_minutes!G19,"-")</f>
        <v>3137.9728877777775</v>
      </c>
      <c r="H19" s="105">
        <f>IFERROR(lifespans_all!H19*DTE_mission_minutes!H19,"-")</f>
        <v>3137.9728877777775</v>
      </c>
      <c r="I19" s="105">
        <f>IFERROR(lifespans_all!I19*DTE_mission_minutes!I19,"-")</f>
        <v>3137.9728877777775</v>
      </c>
      <c r="J19" s="105">
        <f>IFERROR(lifespans_all!J19*DTE_mission_minutes!J19,"-")</f>
        <v>3137.9728877777775</v>
      </c>
      <c r="K19" s="105">
        <f>IFERROR(lifespans_all!K19*DTE_mission_minutes!K19,"-")</f>
        <v>3137.9728877777775</v>
      </c>
      <c r="L19" s="105">
        <f>IFERROR(lifespans_all!L19*DTE_mission_minutes!L19,"-")</f>
        <v>3137.9728877777775</v>
      </c>
      <c r="M19" s="105">
        <f>IFERROR(lifespans_all!M19*DTE_mission_minutes!M19,"-")</f>
        <v>3137.9728877777775</v>
      </c>
      <c r="N19" s="105">
        <f>IFERROR(lifespans_all!N19*DTE_mission_minutes!N19,"-")</f>
        <v>3137.9728877777775</v>
      </c>
      <c r="O19" s="105">
        <f>IFERROR(lifespans_all!O19*DTE_mission_minutes!O19,"-")</f>
        <v>3137.9728877777775</v>
      </c>
      <c r="P19" s="105">
        <f>IFERROR(lifespans_all!P19*DTE_mission_minutes!P19,"-")</f>
        <v>3137.9728877777775</v>
      </c>
      <c r="Q19" s="105">
        <f>IFERROR(lifespans_all!Q19*DTE_mission_minutes!Q19,"-")</f>
        <v>3137.9728877777775</v>
      </c>
      <c r="R19" s="105">
        <f>IFERROR(lifespans_all!R19*DTE_mission_minutes!R19,"-")</f>
        <v>3137.9728877777775</v>
      </c>
      <c r="S19" s="105">
        <f>IFERROR(lifespans_all!S19*DTE_mission_minutes!S19,"-")</f>
        <v>3137.9728877777775</v>
      </c>
      <c r="T19" s="105">
        <f>IFERROR(lifespans_all!T19*DTE_mission_minutes!T19,"-")</f>
        <v>3137.9728877777775</v>
      </c>
      <c r="U19" s="105">
        <f>IFERROR(lifespans_all!U19*DTE_mission_minutes!U19,"-")</f>
        <v>3137.9728877777775</v>
      </c>
      <c r="V19" s="105">
        <f>IFERROR(lifespans_all!V19*DTE_mission_minutes!V19,"-")</f>
        <v>3137.9728877777775</v>
      </c>
    </row>
    <row r="20" spans="1:22" x14ac:dyDescent="0.25">
      <c r="A20" s="29" t="s">
        <v>21</v>
      </c>
      <c r="B20" s="30" t="s">
        <v>41</v>
      </c>
      <c r="C20" s="105">
        <f>IFERROR(lifespans_all!C20*DTE_mission_minutes!C20,"-")</f>
        <v>3653.0924999999997</v>
      </c>
      <c r="D20" s="105">
        <f>IFERROR(lifespans_all!D20*DTE_mission_minutes!D20,"-")</f>
        <v>3468.0533333333337</v>
      </c>
      <c r="E20" s="105">
        <f>IFERROR(lifespans_all!E20*DTE_mission_minutes!E20,"-")</f>
        <v>3224.0014777777778</v>
      </c>
      <c r="F20" s="105">
        <f>IFERROR(lifespans_all!F20*DTE_mission_minutes!F20,"-")</f>
        <v>3454.7784394444448</v>
      </c>
      <c r="G20" s="105">
        <f>IFERROR(lifespans_all!G20*DTE_mission_minutes!G20,"-")</f>
        <v>3454.7784394444448</v>
      </c>
      <c r="H20" s="105">
        <f>IFERROR(lifespans_all!H20*DTE_mission_minutes!H20,"-")</f>
        <v>0</v>
      </c>
      <c r="I20" s="105">
        <f>IFERROR(lifespans_all!I20*DTE_mission_minutes!I20,"-")</f>
        <v>0</v>
      </c>
      <c r="J20" s="105">
        <f>IFERROR(lifespans_all!J20*DTE_mission_minutes!J20,"-")</f>
        <v>0</v>
      </c>
      <c r="K20" s="105">
        <f>IFERROR(lifespans_all!K20*DTE_mission_minutes!K20,"-")</f>
        <v>0</v>
      </c>
      <c r="L20" s="105">
        <f>IFERROR(lifespans_all!L20*DTE_mission_minutes!L20,"-")</f>
        <v>0</v>
      </c>
      <c r="M20" s="105">
        <f>IFERROR(lifespans_all!M20*DTE_mission_minutes!M20,"-")</f>
        <v>0</v>
      </c>
      <c r="N20" s="105">
        <f>IFERROR(lifespans_all!N20*DTE_mission_minutes!N20,"-")</f>
        <v>0</v>
      </c>
      <c r="O20" s="105">
        <f>IFERROR(lifespans_all!O20*DTE_mission_minutes!O20,"-")</f>
        <v>0</v>
      </c>
      <c r="P20" s="105">
        <f>IFERROR(lifespans_all!P20*DTE_mission_minutes!P20,"-")</f>
        <v>0</v>
      </c>
      <c r="Q20" s="105">
        <f>IFERROR(lifespans_all!Q20*DTE_mission_minutes!Q20,"-")</f>
        <v>0</v>
      </c>
      <c r="R20" s="105">
        <f>IFERROR(lifespans_all!R20*DTE_mission_minutes!R20,"-")</f>
        <v>0</v>
      </c>
      <c r="S20" s="105">
        <f>IFERROR(lifespans_all!S20*DTE_mission_minutes!S20,"-")</f>
        <v>0</v>
      </c>
      <c r="T20" s="105">
        <f>IFERROR(lifespans_all!T20*DTE_mission_minutes!T20,"-")</f>
        <v>0</v>
      </c>
      <c r="U20" s="105">
        <f>IFERROR(lifespans_all!U20*DTE_mission_minutes!U20,"-")</f>
        <v>0</v>
      </c>
      <c r="V20" s="105">
        <f>IFERROR(lifespans_all!V20*DTE_mission_minutes!V20,"-")</f>
        <v>0</v>
      </c>
    </row>
    <row r="21" spans="1:22" x14ac:dyDescent="0.25">
      <c r="A21" s="29" t="s">
        <v>24</v>
      </c>
      <c r="B21" s="42" t="s">
        <v>42</v>
      </c>
      <c r="C21" s="105">
        <f>IFERROR(lifespans_all!C21*DTE_mission_minutes!C21,"-")</f>
        <v>0</v>
      </c>
      <c r="D21" s="105">
        <f>IFERROR(lifespans_all!D21*DTE_mission_minutes!D21,"-")</f>
        <v>0</v>
      </c>
      <c r="E21" s="105">
        <f>IFERROR(lifespans_all!E21*DTE_mission_minutes!E21,"-")</f>
        <v>0</v>
      </c>
      <c r="F21" s="105">
        <f>IFERROR(lifespans_all!F21*DTE_mission_minutes!F21,"-")</f>
        <v>0</v>
      </c>
      <c r="G21" s="105">
        <f>IFERROR(lifespans_all!G21*DTE_mission_minutes!G21,"-")</f>
        <v>0</v>
      </c>
      <c r="H21" s="105">
        <f>IFERROR(lifespans_all!H21*DTE_mission_minutes!H21,"-")</f>
        <v>0</v>
      </c>
      <c r="I21" s="105">
        <f>IFERROR(lifespans_all!I21*DTE_mission_minutes!I21,"-")</f>
        <v>0</v>
      </c>
      <c r="J21" s="105">
        <f>IFERROR(lifespans_all!J21*DTE_mission_minutes!J21,"-")</f>
        <v>0</v>
      </c>
      <c r="K21" s="105">
        <f>IFERROR(lifespans_all!K21*DTE_mission_minutes!K21,"-")</f>
        <v>0</v>
      </c>
      <c r="L21" s="105">
        <f>IFERROR(lifespans_all!L21*DTE_mission_minutes!L21,"-")</f>
        <v>0</v>
      </c>
      <c r="M21" s="105">
        <f>IFERROR(lifespans_all!M21*DTE_mission_minutes!M21,"-")</f>
        <v>0</v>
      </c>
      <c r="N21" s="105">
        <f>IFERROR(lifespans_all!N21*DTE_mission_minutes!N21,"-")</f>
        <v>0</v>
      </c>
      <c r="O21" s="105">
        <f>IFERROR(lifespans_all!O21*DTE_mission_minutes!O21,"-")</f>
        <v>0</v>
      </c>
      <c r="P21" s="105">
        <f>IFERROR(lifespans_all!P21*DTE_mission_minutes!P21,"-")</f>
        <v>0</v>
      </c>
      <c r="Q21" s="105">
        <f>IFERROR(lifespans_all!Q21*DTE_mission_minutes!Q21,"-")</f>
        <v>0</v>
      </c>
      <c r="R21" s="105">
        <f>IFERROR(lifespans_all!R21*DTE_mission_minutes!R21,"-")</f>
        <v>0</v>
      </c>
      <c r="S21" s="105">
        <f>IFERROR(lifespans_all!S21*DTE_mission_minutes!S21,"-")</f>
        <v>0</v>
      </c>
      <c r="T21" s="105">
        <f>IFERROR(lifespans_all!T21*DTE_mission_minutes!T21,"-")</f>
        <v>0</v>
      </c>
      <c r="U21" s="105">
        <f>IFERROR(lifespans_all!U21*DTE_mission_minutes!U21,"-")</f>
        <v>0</v>
      </c>
      <c r="V21" s="105">
        <f>IFERROR(lifespans_all!V21*DTE_mission_minutes!V21,"-")</f>
        <v>0</v>
      </c>
    </row>
    <row r="22" spans="1:22" x14ac:dyDescent="0.25">
      <c r="A22" s="29" t="s">
        <v>57</v>
      </c>
      <c r="B22" s="30" t="s">
        <v>41</v>
      </c>
      <c r="C22" s="105">
        <f>IFERROR(lifespans_all!C22*DTE_mission_minutes!C22,"-")</f>
        <v>133409.35004928565</v>
      </c>
      <c r="D22" s="105">
        <f>IFERROR(lifespans_all!D22*DTE_mission_minutes!D22,"-")</f>
        <v>133409.35004928565</v>
      </c>
      <c r="E22" s="105">
        <f>IFERROR(lifespans_all!E22*DTE_mission_minutes!E22,"-")</f>
        <v>133409.35004928565</v>
      </c>
      <c r="F22" s="105">
        <f>IFERROR(lifespans_all!F22*DTE_mission_minutes!F22,"-")</f>
        <v>133409.35004928565</v>
      </c>
      <c r="G22" s="105">
        <f>IFERROR(lifespans_all!G22*DTE_mission_minutes!G22,"-")</f>
        <v>133409.35004928565</v>
      </c>
      <c r="H22" s="105">
        <f>IFERROR(lifespans_all!H22*DTE_mission_minutes!H22,"-")</f>
        <v>0</v>
      </c>
      <c r="I22" s="105">
        <f>IFERROR(lifespans_all!I22*DTE_mission_minutes!I22,"-")</f>
        <v>0</v>
      </c>
      <c r="J22" s="105">
        <f>IFERROR(lifespans_all!J22*DTE_mission_minutes!J22,"-")</f>
        <v>0</v>
      </c>
      <c r="K22" s="105">
        <f>IFERROR(lifespans_all!K22*DTE_mission_minutes!K22,"-")</f>
        <v>0</v>
      </c>
      <c r="L22" s="105">
        <f>IFERROR(lifespans_all!L22*DTE_mission_minutes!L22,"-")</f>
        <v>0</v>
      </c>
      <c r="M22" s="105">
        <f>IFERROR(lifespans_all!M22*DTE_mission_minutes!M22,"-")</f>
        <v>0</v>
      </c>
      <c r="N22" s="105">
        <f>IFERROR(lifespans_all!N22*DTE_mission_minutes!N22,"-")</f>
        <v>0</v>
      </c>
      <c r="O22" s="105">
        <f>IFERROR(lifespans_all!O22*DTE_mission_minutes!O22,"-")</f>
        <v>0</v>
      </c>
      <c r="P22" s="105">
        <f>IFERROR(lifespans_all!P22*DTE_mission_minutes!P22,"-")</f>
        <v>0</v>
      </c>
      <c r="Q22" s="105">
        <f>IFERROR(lifespans_all!Q22*DTE_mission_minutes!Q22,"-")</f>
        <v>0</v>
      </c>
      <c r="R22" s="105">
        <f>IFERROR(lifespans_all!R22*DTE_mission_minutes!R22,"-")</f>
        <v>0</v>
      </c>
      <c r="S22" s="105">
        <f>IFERROR(lifespans_all!S22*DTE_mission_minutes!S22,"-")</f>
        <v>0</v>
      </c>
      <c r="T22" s="105">
        <f>IFERROR(lifespans_all!T22*DTE_mission_minutes!T22,"-")</f>
        <v>0</v>
      </c>
      <c r="U22" s="105">
        <f>IFERROR(lifespans_all!U22*DTE_mission_minutes!U22,"-")</f>
        <v>0</v>
      </c>
      <c r="V22" s="105">
        <f>IFERROR(lifespans_all!V22*DTE_mission_minutes!V22,"-")</f>
        <v>0</v>
      </c>
    </row>
    <row r="23" spans="1:22" x14ac:dyDescent="0.25">
      <c r="A23" s="29" t="s">
        <v>22</v>
      </c>
      <c r="B23" s="30" t="s">
        <v>41</v>
      </c>
      <c r="C23" s="105">
        <f>IFERROR(lifespans_all!C23*DTE_mission_minutes!C23,"-")</f>
        <v>21.986611111111113</v>
      </c>
      <c r="D23" s="105">
        <f>IFERROR(lifespans_all!D23*DTE_mission_minutes!D23,"-")</f>
        <v>1.1333333333333333</v>
      </c>
      <c r="E23" s="105">
        <f>IFERROR(lifespans_all!E23*DTE_mission_minutes!E23,"-")</f>
        <v>3.7333333333333334</v>
      </c>
      <c r="F23" s="105">
        <f>IFERROR(lifespans_all!F23*DTE_mission_minutes!F23,"-")</f>
        <v>23.303841111111115</v>
      </c>
      <c r="G23" s="105">
        <f>IFERROR(lifespans_all!G23*DTE_mission_minutes!G23,"-")</f>
        <v>0</v>
      </c>
      <c r="H23" s="105">
        <f>IFERROR(lifespans_all!H23*DTE_mission_minutes!H23,"-")</f>
        <v>0</v>
      </c>
      <c r="I23" s="105">
        <f>IFERROR(lifespans_all!I23*DTE_mission_minutes!I23,"-")</f>
        <v>0</v>
      </c>
      <c r="J23" s="105">
        <f>IFERROR(lifespans_all!J23*DTE_mission_minutes!J23,"-")</f>
        <v>0</v>
      </c>
      <c r="K23" s="105">
        <f>IFERROR(lifespans_all!K23*DTE_mission_minutes!K23,"-")</f>
        <v>0</v>
      </c>
      <c r="L23" s="105">
        <f>IFERROR(lifespans_all!L23*DTE_mission_minutes!L23,"-")</f>
        <v>0</v>
      </c>
      <c r="M23" s="105">
        <f>IFERROR(lifespans_all!M23*DTE_mission_minutes!M23,"-")</f>
        <v>0</v>
      </c>
      <c r="N23" s="105">
        <f>IFERROR(lifespans_all!N23*DTE_mission_minutes!N23,"-")</f>
        <v>0</v>
      </c>
      <c r="O23" s="105">
        <f>IFERROR(lifespans_all!O23*DTE_mission_minutes!O23,"-")</f>
        <v>0</v>
      </c>
      <c r="P23" s="105">
        <f>IFERROR(lifespans_all!P23*DTE_mission_minutes!P23,"-")</f>
        <v>0</v>
      </c>
      <c r="Q23" s="105">
        <f>IFERROR(lifespans_all!Q23*DTE_mission_minutes!Q23,"-")</f>
        <v>0</v>
      </c>
      <c r="R23" s="105">
        <f>IFERROR(lifespans_all!R23*DTE_mission_minutes!R23,"-")</f>
        <v>0</v>
      </c>
      <c r="S23" s="105">
        <f>IFERROR(lifespans_all!S23*DTE_mission_minutes!S23,"-")</f>
        <v>0</v>
      </c>
      <c r="T23" s="105">
        <f>IFERROR(lifespans_all!T23*DTE_mission_minutes!T23,"-")</f>
        <v>0</v>
      </c>
      <c r="U23" s="105">
        <f>IFERROR(lifespans_all!U23*DTE_mission_minutes!U23,"-")</f>
        <v>0</v>
      </c>
      <c r="V23" s="105">
        <f>IFERROR(lifespans_all!V23*DTE_mission_minutes!V23,"-")</f>
        <v>0</v>
      </c>
    </row>
    <row r="24" spans="1:22" s="60" customFormat="1" x14ac:dyDescent="0.25">
      <c r="A24" s="100" t="s">
        <v>23</v>
      </c>
      <c r="B24" s="101" t="s">
        <v>43</v>
      </c>
      <c r="C24" s="105">
        <f>IFERROR(lifespans_all!C24*DTE_mission_minutes!C24,"-")</f>
        <v>7757.52</v>
      </c>
      <c r="D24" s="105">
        <f>IFERROR(lifespans_all!D24*DTE_mission_minutes!D24,"-")</f>
        <v>7884.0724999999993</v>
      </c>
      <c r="E24" s="105">
        <f>IFERROR(lifespans_all!E24*DTE_mission_minutes!E24,"-")</f>
        <v>7411.0455555555554</v>
      </c>
      <c r="F24" s="105">
        <f>IFERROR(lifespans_all!F24*DTE_mission_minutes!F24,"-")</f>
        <v>7749.4853583333334</v>
      </c>
      <c r="G24" s="105">
        <f>IFERROR(lifespans_all!G24*DTE_mission_minutes!G24,"-")</f>
        <v>7749.4853583333334</v>
      </c>
      <c r="H24" s="105">
        <f>IFERROR(lifespans_all!H24*DTE_mission_minutes!H24,"-")</f>
        <v>7749.4853583333334</v>
      </c>
      <c r="I24" s="105">
        <f>IFERROR(lifespans_all!I24*DTE_mission_minutes!I24,"-")</f>
        <v>7749.4853583333334</v>
      </c>
      <c r="J24" s="105">
        <f>IFERROR(lifespans_all!J24*DTE_mission_minutes!J24,"-")</f>
        <v>7749.4853583333334</v>
      </c>
      <c r="K24" s="105">
        <f>IFERROR(lifespans_all!K24*DTE_mission_minutes!K24,"-")</f>
        <v>7749.4853583333334</v>
      </c>
      <c r="L24" s="105">
        <f>IFERROR(lifespans_all!L24*DTE_mission_minutes!L24,"-")</f>
        <v>7749.4853583333334</v>
      </c>
      <c r="M24" s="105">
        <f>IFERROR(lifespans_all!M24*DTE_mission_minutes!M24,"-")</f>
        <v>0</v>
      </c>
      <c r="N24" s="105">
        <f>IFERROR(lifespans_all!N24*DTE_mission_minutes!N24,"-")</f>
        <v>0</v>
      </c>
      <c r="O24" s="105">
        <f>IFERROR(lifespans_all!O24*DTE_mission_minutes!O24,"-")</f>
        <v>0</v>
      </c>
      <c r="P24" s="105">
        <f>IFERROR(lifespans_all!P24*DTE_mission_minutes!P24,"-")</f>
        <v>0</v>
      </c>
      <c r="Q24" s="105">
        <f>IFERROR(lifespans_all!Q24*DTE_mission_minutes!Q24,"-")</f>
        <v>0</v>
      </c>
      <c r="R24" s="105">
        <f>IFERROR(lifespans_all!R24*DTE_mission_minutes!R24,"-")</f>
        <v>0</v>
      </c>
      <c r="S24" s="105">
        <f>IFERROR(lifespans_all!S24*DTE_mission_minutes!S24,"-")</f>
        <v>0</v>
      </c>
      <c r="T24" s="105">
        <f>IFERROR(lifespans_all!T24*DTE_mission_minutes!T24,"-")</f>
        <v>0</v>
      </c>
      <c r="U24" s="105">
        <f>IFERROR(lifespans_all!U24*DTE_mission_minutes!U24,"-")</f>
        <v>0</v>
      </c>
      <c r="V24" s="105">
        <f>IFERROR(lifespans_all!V24*DTE_mission_minutes!V24,"-")</f>
        <v>0</v>
      </c>
    </row>
    <row r="25" spans="1:22" x14ac:dyDescent="0.25">
      <c r="A25" s="29" t="s">
        <v>25</v>
      </c>
      <c r="B25" s="30" t="s">
        <v>44</v>
      </c>
      <c r="C25" s="105">
        <f>IFERROR(lifespans_all!C25*DTE_mission_minutes!C25,"-")</f>
        <v>0</v>
      </c>
      <c r="D25" s="105">
        <f>IFERROR(lifespans_all!D25*DTE_mission_minutes!D25,"-")</f>
        <v>0</v>
      </c>
      <c r="E25" s="105">
        <f>IFERROR(lifespans_all!E25*DTE_mission_minutes!E25,"-")</f>
        <v>0</v>
      </c>
      <c r="F25" s="105">
        <f>IFERROR(lifespans_all!F25*DTE_mission_minutes!F25,"-")</f>
        <v>0</v>
      </c>
      <c r="G25" s="105">
        <f>IFERROR(lifespans_all!G25*DTE_mission_minutes!G25,"-")</f>
        <v>0</v>
      </c>
      <c r="H25" s="105">
        <f>IFERROR(lifespans_all!H25*DTE_mission_minutes!H25,"-")</f>
        <v>0</v>
      </c>
      <c r="I25" s="105">
        <f>IFERROR(lifespans_all!I25*DTE_mission_minutes!I25,"-")</f>
        <v>0</v>
      </c>
      <c r="J25" s="105">
        <f>IFERROR(lifespans_all!J25*DTE_mission_minutes!J25,"-")</f>
        <v>0</v>
      </c>
      <c r="K25" s="105">
        <f>IFERROR(lifespans_all!K25*DTE_mission_minutes!K25,"-")</f>
        <v>0</v>
      </c>
      <c r="L25" s="105">
        <f>IFERROR(lifespans_all!L25*DTE_mission_minutes!L25,"-")</f>
        <v>0</v>
      </c>
      <c r="M25" s="105">
        <f>IFERROR(lifespans_all!M25*DTE_mission_minutes!M25,"-")</f>
        <v>0</v>
      </c>
      <c r="N25" s="105">
        <f>IFERROR(lifespans_all!N25*DTE_mission_minutes!N25,"-")</f>
        <v>0</v>
      </c>
      <c r="O25" s="105">
        <f>IFERROR(lifespans_all!O25*DTE_mission_minutes!O25,"-")</f>
        <v>0</v>
      </c>
      <c r="P25" s="105">
        <f>IFERROR(lifespans_all!P25*DTE_mission_minutes!P25,"-")</f>
        <v>0</v>
      </c>
      <c r="Q25" s="105">
        <f>IFERROR(lifespans_all!Q25*DTE_mission_minutes!Q25,"-")</f>
        <v>0</v>
      </c>
      <c r="R25" s="105">
        <f>IFERROR(lifespans_all!R25*DTE_mission_minutes!R25,"-")</f>
        <v>0</v>
      </c>
      <c r="S25" s="105">
        <f>IFERROR(lifespans_all!S25*DTE_mission_minutes!S25,"-")</f>
        <v>0</v>
      </c>
      <c r="T25" s="105">
        <f>IFERROR(lifespans_all!T25*DTE_mission_minutes!T25,"-")</f>
        <v>0</v>
      </c>
      <c r="U25" s="105">
        <f>IFERROR(lifespans_all!U25*DTE_mission_minutes!U25,"-")</f>
        <v>0</v>
      </c>
      <c r="V25" s="105">
        <f>IFERROR(lifespans_all!V25*DTE_mission_minutes!V25,"-")</f>
        <v>0</v>
      </c>
    </row>
    <row r="26" spans="1:22" x14ac:dyDescent="0.25">
      <c r="A26" s="29" t="s">
        <v>58</v>
      </c>
      <c r="B26" s="30" t="s">
        <v>41</v>
      </c>
      <c r="C26" s="105">
        <f>IFERROR(lifespans_all!C26*DTE_mission_minutes!C26,"-")</f>
        <v>133409.35004928565</v>
      </c>
      <c r="D26" s="105">
        <f>IFERROR(lifespans_all!D26*DTE_mission_minutes!D26,"-")</f>
        <v>0</v>
      </c>
      <c r="E26" s="105">
        <f>IFERROR(lifespans_all!E26*DTE_mission_minutes!E26,"-")</f>
        <v>0</v>
      </c>
      <c r="F26" s="105">
        <f>IFERROR(lifespans_all!F26*DTE_mission_minutes!F26,"-")</f>
        <v>0</v>
      </c>
      <c r="G26" s="105">
        <f>IFERROR(lifespans_all!G26*DTE_mission_minutes!G26,"-")</f>
        <v>0</v>
      </c>
      <c r="H26" s="105">
        <f>IFERROR(lifespans_all!H26*DTE_mission_minutes!H26,"-")</f>
        <v>0</v>
      </c>
      <c r="I26" s="105">
        <f>IFERROR(lifespans_all!I26*DTE_mission_minutes!I26,"-")</f>
        <v>0</v>
      </c>
      <c r="J26" s="105">
        <f>IFERROR(lifespans_all!J26*DTE_mission_minutes!J26,"-")</f>
        <v>0</v>
      </c>
      <c r="K26" s="105">
        <f>IFERROR(lifespans_all!K26*DTE_mission_minutes!K26,"-")</f>
        <v>0</v>
      </c>
      <c r="L26" s="105">
        <f>IFERROR(lifespans_all!L26*DTE_mission_minutes!L26,"-")</f>
        <v>0</v>
      </c>
      <c r="M26" s="105">
        <f>IFERROR(lifespans_all!M26*DTE_mission_minutes!M26,"-")</f>
        <v>0</v>
      </c>
      <c r="N26" s="105">
        <f>IFERROR(lifespans_all!N26*DTE_mission_minutes!N26,"-")</f>
        <v>0</v>
      </c>
      <c r="O26" s="105">
        <f>IFERROR(lifespans_all!O26*DTE_mission_minutes!O26,"-")</f>
        <v>0</v>
      </c>
      <c r="P26" s="105">
        <f>IFERROR(lifespans_all!P26*DTE_mission_minutes!P26,"-")</f>
        <v>0</v>
      </c>
      <c r="Q26" s="105">
        <f>IFERROR(lifespans_all!Q26*DTE_mission_minutes!Q26,"-")</f>
        <v>0</v>
      </c>
      <c r="R26" s="105">
        <f>IFERROR(lifespans_all!R26*DTE_mission_minutes!R26,"-")</f>
        <v>0</v>
      </c>
      <c r="S26" s="105">
        <f>IFERROR(lifespans_all!S26*DTE_mission_minutes!S26,"-")</f>
        <v>0</v>
      </c>
      <c r="T26" s="105">
        <f>IFERROR(lifespans_all!T26*DTE_mission_minutes!T26,"-")</f>
        <v>0</v>
      </c>
      <c r="U26" s="105">
        <f>IFERROR(lifespans_all!U26*DTE_mission_minutes!U26,"-")</f>
        <v>0</v>
      </c>
      <c r="V26" s="105">
        <f>IFERROR(lifespans_all!V26*DTE_mission_minutes!V26,"-")</f>
        <v>0</v>
      </c>
    </row>
    <row r="27" spans="1:22" x14ac:dyDescent="0.25">
      <c r="A27" s="29" t="s">
        <v>59</v>
      </c>
      <c r="B27" s="30" t="s">
        <v>41</v>
      </c>
      <c r="C27" s="105">
        <f>IFERROR(lifespans_all!C27*DTE_mission_minutes!C27,"-")</f>
        <v>133409.35004928565</v>
      </c>
      <c r="D27" s="105">
        <f>IFERROR(lifespans_all!D27*DTE_mission_minutes!D27,"-")</f>
        <v>133409.35004928565</v>
      </c>
      <c r="E27" s="105">
        <f>IFERROR(lifespans_all!E27*DTE_mission_minutes!E27,"-")</f>
        <v>133409.35004928565</v>
      </c>
      <c r="F27" s="105">
        <f>IFERROR(lifespans_all!F27*DTE_mission_minutes!F27,"-")</f>
        <v>0</v>
      </c>
      <c r="G27" s="105">
        <f>IFERROR(lifespans_all!G27*DTE_mission_minutes!G27,"-")</f>
        <v>0</v>
      </c>
      <c r="H27" s="105">
        <f>IFERROR(lifespans_all!H27*DTE_mission_minutes!H27,"-")</f>
        <v>0</v>
      </c>
      <c r="I27" s="105">
        <f>IFERROR(lifespans_all!I27*DTE_mission_minutes!I27,"-")</f>
        <v>0</v>
      </c>
      <c r="J27" s="105">
        <f>IFERROR(lifespans_all!J27*DTE_mission_minutes!J27,"-")</f>
        <v>0</v>
      </c>
      <c r="K27" s="105">
        <f>IFERROR(lifespans_all!K27*DTE_mission_minutes!K27,"-")</f>
        <v>0</v>
      </c>
      <c r="L27" s="105">
        <f>IFERROR(lifespans_all!L27*DTE_mission_minutes!L27,"-")</f>
        <v>0</v>
      </c>
      <c r="M27" s="105">
        <f>IFERROR(lifespans_all!M27*DTE_mission_minutes!M27,"-")</f>
        <v>0</v>
      </c>
      <c r="N27" s="105">
        <f>IFERROR(lifespans_all!N27*DTE_mission_minutes!N27,"-")</f>
        <v>0</v>
      </c>
      <c r="O27" s="105">
        <f>IFERROR(lifespans_all!O27*DTE_mission_minutes!O27,"-")</f>
        <v>0</v>
      </c>
      <c r="P27" s="105">
        <f>IFERROR(lifespans_all!P27*DTE_mission_minutes!P27,"-")</f>
        <v>0</v>
      </c>
      <c r="Q27" s="105">
        <f>IFERROR(lifespans_all!Q27*DTE_mission_minutes!Q27,"-")</f>
        <v>0</v>
      </c>
      <c r="R27" s="105">
        <f>IFERROR(lifespans_all!R27*DTE_mission_minutes!R27,"-")</f>
        <v>0</v>
      </c>
      <c r="S27" s="105">
        <f>IFERROR(lifespans_all!S27*DTE_mission_minutes!S27,"-")</f>
        <v>0</v>
      </c>
      <c r="T27" s="105">
        <f>IFERROR(lifespans_all!T27*DTE_mission_minutes!T27,"-")</f>
        <v>0</v>
      </c>
      <c r="U27" s="105">
        <f>IFERROR(lifespans_all!U27*DTE_mission_minutes!U27,"-")</f>
        <v>0</v>
      </c>
      <c r="V27" s="105">
        <f>IFERROR(lifespans_all!V27*DTE_mission_minutes!V27,"-")</f>
        <v>0</v>
      </c>
    </row>
    <row r="28" spans="1:22" x14ac:dyDescent="0.25">
      <c r="A28" s="29" t="s">
        <v>60</v>
      </c>
      <c r="B28" s="30" t="s">
        <v>41</v>
      </c>
      <c r="C28" s="105">
        <f>IFERROR(lifespans_all!C28*DTE_mission_minutes!C28,"-")</f>
        <v>133409.35004928565</v>
      </c>
      <c r="D28" s="105">
        <f>IFERROR(lifespans_all!D28*DTE_mission_minutes!D28,"-")</f>
        <v>133409.35004928565</v>
      </c>
      <c r="E28" s="105">
        <f>IFERROR(lifespans_all!E28*DTE_mission_minutes!E28,"-")</f>
        <v>133409.35004928565</v>
      </c>
      <c r="F28" s="105">
        <f>IFERROR(lifespans_all!F28*DTE_mission_minutes!F28,"-")</f>
        <v>133409.35004928565</v>
      </c>
      <c r="G28" s="105">
        <f>IFERROR(lifespans_all!G28*DTE_mission_minutes!G28,"-")</f>
        <v>133409.35004928565</v>
      </c>
      <c r="H28" s="105">
        <f>IFERROR(lifespans_all!H28*DTE_mission_minutes!H28,"-")</f>
        <v>133409.35004928565</v>
      </c>
      <c r="I28" s="105">
        <f>IFERROR(lifespans_all!I28*DTE_mission_minutes!I28,"-")</f>
        <v>0</v>
      </c>
      <c r="J28" s="105">
        <f>IFERROR(lifespans_all!J28*DTE_mission_minutes!J28,"-")</f>
        <v>0</v>
      </c>
      <c r="K28" s="105">
        <f>IFERROR(lifespans_all!K28*DTE_mission_minutes!K28,"-")</f>
        <v>0</v>
      </c>
      <c r="L28" s="105">
        <f>IFERROR(lifespans_all!L28*DTE_mission_minutes!L28,"-")</f>
        <v>0</v>
      </c>
      <c r="M28" s="105">
        <f>IFERROR(lifespans_all!M28*DTE_mission_minutes!M28,"-")</f>
        <v>0</v>
      </c>
      <c r="N28" s="105">
        <f>IFERROR(lifespans_all!N28*DTE_mission_minutes!N28,"-")</f>
        <v>0</v>
      </c>
      <c r="O28" s="105">
        <f>IFERROR(lifespans_all!O28*DTE_mission_minutes!O28,"-")</f>
        <v>0</v>
      </c>
      <c r="P28" s="105">
        <f>IFERROR(lifespans_all!P28*DTE_mission_minutes!P28,"-")</f>
        <v>0</v>
      </c>
      <c r="Q28" s="105">
        <f>IFERROR(lifespans_all!Q28*DTE_mission_minutes!Q28,"-")</f>
        <v>0</v>
      </c>
      <c r="R28" s="105">
        <f>IFERROR(lifespans_all!R28*DTE_mission_minutes!R28,"-")</f>
        <v>0</v>
      </c>
      <c r="S28" s="105">
        <f>IFERROR(lifespans_all!S28*DTE_mission_minutes!S28,"-")</f>
        <v>0</v>
      </c>
      <c r="T28" s="105">
        <f>IFERROR(lifespans_all!T28*DTE_mission_minutes!T28,"-")</f>
        <v>0</v>
      </c>
      <c r="U28" s="105">
        <f>IFERROR(lifespans_all!U28*DTE_mission_minutes!U28,"-")</f>
        <v>0</v>
      </c>
      <c r="V28" s="105">
        <f>IFERROR(lifespans_all!V28*DTE_mission_minutes!V28,"-")</f>
        <v>0</v>
      </c>
    </row>
    <row r="29" spans="1:22" x14ac:dyDescent="0.25">
      <c r="A29" s="29" t="s">
        <v>26</v>
      </c>
      <c r="B29" s="37" t="s">
        <v>45</v>
      </c>
      <c r="C29" s="105">
        <f>IFERROR(lifespans_all!C29*DTE_mission_minutes!C29,"-")</f>
        <v>89453.837836666688</v>
      </c>
      <c r="D29" s="105">
        <f>IFERROR(lifespans_all!D29*DTE_mission_minutes!D29,"-")</f>
        <v>89453.837836666688</v>
      </c>
      <c r="E29" s="105">
        <f>IFERROR(lifespans_all!E29*DTE_mission_minutes!E29,"-")</f>
        <v>89453.837836666688</v>
      </c>
      <c r="F29" s="105">
        <f>IFERROR(lifespans_all!F29*DTE_mission_minutes!F29,"-")</f>
        <v>89453.837836666688</v>
      </c>
      <c r="G29" s="105">
        <f>IFERROR(lifespans_all!G29*DTE_mission_minutes!G29,"-")</f>
        <v>89453.837836666688</v>
      </c>
      <c r="H29" s="105">
        <f>IFERROR(lifespans_all!H29*DTE_mission_minutes!H29,"-")</f>
        <v>89453.837836666688</v>
      </c>
      <c r="I29" s="105">
        <f>IFERROR(lifespans_all!I29*DTE_mission_minutes!I29,"-")</f>
        <v>89453.837836666688</v>
      </c>
      <c r="J29" s="105">
        <f>IFERROR(lifespans_all!J29*DTE_mission_minutes!J29,"-")</f>
        <v>89453.837836666688</v>
      </c>
      <c r="K29" s="105">
        <f>IFERROR(lifespans_all!K29*DTE_mission_minutes!K29,"-")</f>
        <v>89453.837836666688</v>
      </c>
      <c r="L29" s="105">
        <f>IFERROR(lifespans_all!L29*DTE_mission_minutes!L29,"-")</f>
        <v>89453.837836666688</v>
      </c>
      <c r="M29" s="105">
        <f>IFERROR(lifespans_all!M29*DTE_mission_minutes!M29,"-")</f>
        <v>89453.837836666688</v>
      </c>
      <c r="N29" s="105">
        <f>IFERROR(lifespans_all!N29*DTE_mission_minutes!N29,"-")</f>
        <v>89453.837836666688</v>
      </c>
      <c r="O29" s="105">
        <f>IFERROR(lifespans_all!O29*DTE_mission_minutes!O29,"-")</f>
        <v>89453.837836666688</v>
      </c>
      <c r="P29" s="105">
        <f>IFERROR(lifespans_all!P29*DTE_mission_minutes!P29,"-")</f>
        <v>89453.837836666688</v>
      </c>
      <c r="Q29" s="105">
        <f>IFERROR(lifespans_all!Q29*DTE_mission_minutes!Q29,"-")</f>
        <v>89453.837836666688</v>
      </c>
      <c r="R29" s="105">
        <f>IFERROR(lifespans_all!R29*DTE_mission_minutes!R29,"-")</f>
        <v>89453.837836666688</v>
      </c>
      <c r="S29" s="105">
        <f>IFERROR(lifespans_all!S29*DTE_mission_minutes!S29,"-")</f>
        <v>89453.837836666688</v>
      </c>
      <c r="T29" s="105">
        <f>IFERROR(lifespans_all!T29*DTE_mission_minutes!T29,"-")</f>
        <v>89453.837836666688</v>
      </c>
      <c r="U29" s="105">
        <f>IFERROR(lifespans_all!U29*DTE_mission_minutes!U29,"-")</f>
        <v>89453.837836666688</v>
      </c>
      <c r="V29" s="105">
        <f>IFERROR(lifespans_all!V29*DTE_mission_minutes!V29,"-")</f>
        <v>89453.837836666688</v>
      </c>
    </row>
    <row r="30" spans="1:22" x14ac:dyDescent="0.25">
      <c r="A30" s="29" t="s">
        <v>61</v>
      </c>
      <c r="B30" s="37" t="s">
        <v>42</v>
      </c>
      <c r="C30" s="105">
        <f>IFERROR(lifespans_all!C30*DTE_mission_minutes!C30,"-")</f>
        <v>721.11352444444435</v>
      </c>
      <c r="D30" s="105">
        <f>IFERROR(lifespans_all!D30*DTE_mission_minutes!D30,"-")</f>
        <v>721.11352444444435</v>
      </c>
      <c r="E30" s="105">
        <f>IFERROR(lifespans_all!E30*DTE_mission_minutes!E30,"-")</f>
        <v>721.11352444444435</v>
      </c>
      <c r="F30" s="105">
        <f>IFERROR(lifespans_all!F30*DTE_mission_minutes!F30,"-")</f>
        <v>721.11352444444435</v>
      </c>
      <c r="G30" s="105">
        <f>IFERROR(lifespans_all!G30*DTE_mission_minutes!G30,"-")</f>
        <v>721.11352444444435</v>
      </c>
      <c r="H30" s="105">
        <f>IFERROR(lifespans_all!H30*DTE_mission_minutes!H30,"-")</f>
        <v>721.11352444444435</v>
      </c>
      <c r="I30" s="105">
        <f>IFERROR(lifespans_all!I30*DTE_mission_minutes!I30,"-")</f>
        <v>721.11352444444435</v>
      </c>
      <c r="J30" s="105">
        <f>IFERROR(lifespans_all!J30*DTE_mission_minutes!J30,"-")</f>
        <v>721.11352444444435</v>
      </c>
      <c r="K30" s="105">
        <f>IFERROR(lifespans_all!K30*DTE_mission_minutes!K30,"-")</f>
        <v>721.11352444444435</v>
      </c>
      <c r="L30" s="105">
        <f>IFERROR(lifespans_all!L30*DTE_mission_minutes!L30,"-")</f>
        <v>721.11352444444435</v>
      </c>
      <c r="M30" s="105">
        <f>IFERROR(lifespans_all!M30*DTE_mission_minutes!M30,"-")</f>
        <v>721.11352444444435</v>
      </c>
      <c r="N30" s="105">
        <f>IFERROR(lifespans_all!N30*DTE_mission_minutes!N30,"-")</f>
        <v>721.11352444444435</v>
      </c>
      <c r="O30" s="105">
        <f>IFERROR(lifespans_all!O30*DTE_mission_minutes!O30,"-")</f>
        <v>721.11352444444435</v>
      </c>
      <c r="P30" s="105">
        <f>IFERROR(lifespans_all!P30*DTE_mission_minutes!P30,"-")</f>
        <v>721.11352444444435</v>
      </c>
      <c r="Q30" s="105">
        <f>IFERROR(lifespans_all!Q30*DTE_mission_minutes!Q30,"-")</f>
        <v>721.11352444444435</v>
      </c>
      <c r="R30" s="105">
        <f>IFERROR(lifespans_all!R30*DTE_mission_minutes!R30,"-")</f>
        <v>721.11352444444435</v>
      </c>
      <c r="S30" s="105">
        <f>IFERROR(lifespans_all!S30*DTE_mission_minutes!S30,"-")</f>
        <v>721.11352444444435</v>
      </c>
      <c r="T30" s="105">
        <f>IFERROR(lifespans_all!T30*DTE_mission_minutes!T30,"-")</f>
        <v>721.11352444444435</v>
      </c>
      <c r="U30" s="105">
        <f>IFERROR(lifespans_all!U30*DTE_mission_minutes!U30,"-")</f>
        <v>721.11352444444435</v>
      </c>
      <c r="V30" s="105">
        <f>IFERROR(lifespans_all!V30*DTE_mission_minutes!V30,"-")</f>
        <v>721.11352444444435</v>
      </c>
    </row>
    <row r="31" spans="1:22" x14ac:dyDescent="0.25">
      <c r="A31" s="29" t="s">
        <v>71</v>
      </c>
      <c r="B31" s="30" t="s">
        <v>40</v>
      </c>
      <c r="C31" s="105">
        <f>IFERROR(lifespans_all!C31*DTE_mission_minutes!C31,"-")</f>
        <v>221.29177222222222</v>
      </c>
      <c r="D31" s="105">
        <f>IFERROR(lifespans_all!D31*DTE_mission_minutes!D31,"-")</f>
        <v>244.03194444444446</v>
      </c>
      <c r="E31" s="105">
        <f>IFERROR(lifespans_all!E31*DTE_mission_minutes!E31,"-")</f>
        <v>0</v>
      </c>
      <c r="F31" s="105">
        <f>IFERROR(lifespans_all!F31*DTE_mission_minutes!F31,"-")</f>
        <v>0</v>
      </c>
      <c r="G31" s="105">
        <f>IFERROR(lifespans_all!G31*DTE_mission_minutes!G31,"-")</f>
        <v>0</v>
      </c>
      <c r="H31" s="105">
        <f>IFERROR(lifespans_all!H31*DTE_mission_minutes!H31,"-")</f>
        <v>0</v>
      </c>
      <c r="I31" s="105">
        <f>IFERROR(lifespans_all!I31*DTE_mission_minutes!I31,"-")</f>
        <v>0</v>
      </c>
      <c r="J31" s="105">
        <f>IFERROR(lifespans_all!J31*DTE_mission_minutes!J31,"-")</f>
        <v>0</v>
      </c>
      <c r="K31" s="105">
        <f>IFERROR(lifespans_all!K31*DTE_mission_minutes!K31,"-")</f>
        <v>0</v>
      </c>
      <c r="L31" s="105">
        <f>IFERROR(lifespans_all!L31*DTE_mission_minutes!L31,"-")</f>
        <v>0</v>
      </c>
      <c r="M31" s="105">
        <f>IFERROR(lifespans_all!M31*DTE_mission_minutes!M31,"-")</f>
        <v>0</v>
      </c>
      <c r="N31" s="105">
        <f>IFERROR(lifespans_all!N31*DTE_mission_minutes!N31,"-")</f>
        <v>0</v>
      </c>
      <c r="O31" s="105">
        <f>IFERROR(lifespans_all!O31*DTE_mission_minutes!O31,"-")</f>
        <v>0</v>
      </c>
      <c r="P31" s="105">
        <f>IFERROR(lifespans_all!P31*DTE_mission_minutes!P31,"-")</f>
        <v>0</v>
      </c>
      <c r="Q31" s="105">
        <f>IFERROR(lifespans_all!Q31*DTE_mission_minutes!Q31,"-")</f>
        <v>0</v>
      </c>
      <c r="R31" s="105">
        <f>IFERROR(lifespans_all!R31*DTE_mission_minutes!R31,"-")</f>
        <v>0</v>
      </c>
      <c r="S31" s="105">
        <f>IFERROR(lifespans_all!S31*DTE_mission_minutes!S31,"-")</f>
        <v>0</v>
      </c>
      <c r="T31" s="105">
        <f>IFERROR(lifespans_all!T31*DTE_mission_minutes!T31,"-")</f>
        <v>0</v>
      </c>
      <c r="U31" s="105">
        <f>IFERROR(lifespans_all!U31*DTE_mission_minutes!U31,"-")</f>
        <v>0</v>
      </c>
      <c r="V31" s="105">
        <f>IFERROR(lifespans_all!V31*DTE_mission_minutes!V31,"-")</f>
        <v>0</v>
      </c>
    </row>
    <row r="32" spans="1:22" x14ac:dyDescent="0.25">
      <c r="A32" s="29" t="s">
        <v>27</v>
      </c>
      <c r="B32" s="37" t="s">
        <v>45</v>
      </c>
      <c r="C32" s="105">
        <f>IFERROR(lifespans_all!C32*DTE_mission_minutes!C32,"-")</f>
        <v>64.996111111111119</v>
      </c>
      <c r="D32" s="105">
        <f>IFERROR(lifespans_all!D32*DTE_mission_minutes!D32,"-")</f>
        <v>0</v>
      </c>
      <c r="E32" s="105">
        <f>IFERROR(lifespans_all!E32*DTE_mission_minutes!E32,"-")</f>
        <v>0</v>
      </c>
      <c r="F32" s="105">
        <f>IFERROR(lifespans_all!F32*DTE_mission_minutes!F32,"-")</f>
        <v>0</v>
      </c>
      <c r="G32" s="105">
        <f>IFERROR(lifespans_all!G32*DTE_mission_minutes!G32,"-")</f>
        <v>0</v>
      </c>
      <c r="H32" s="105">
        <f>IFERROR(lifespans_all!H32*DTE_mission_minutes!H32,"-")</f>
        <v>0</v>
      </c>
      <c r="I32" s="105">
        <f>IFERROR(lifespans_all!I32*DTE_mission_minutes!I32,"-")</f>
        <v>0</v>
      </c>
      <c r="J32" s="105">
        <f>IFERROR(lifespans_all!J32*DTE_mission_minutes!J32,"-")</f>
        <v>0</v>
      </c>
      <c r="K32" s="105">
        <f>IFERROR(lifespans_all!K32*DTE_mission_minutes!K32,"-")</f>
        <v>0</v>
      </c>
      <c r="L32" s="105">
        <f>IFERROR(lifespans_all!L32*DTE_mission_minutes!L32,"-")</f>
        <v>0</v>
      </c>
      <c r="M32" s="105">
        <f>IFERROR(lifespans_all!M32*DTE_mission_minutes!M32,"-")</f>
        <v>0</v>
      </c>
      <c r="N32" s="105">
        <f>IFERROR(lifespans_all!N32*DTE_mission_minutes!N32,"-")</f>
        <v>0</v>
      </c>
      <c r="O32" s="105">
        <f>IFERROR(lifespans_all!O32*DTE_mission_minutes!O32,"-")</f>
        <v>0</v>
      </c>
      <c r="P32" s="105">
        <f>IFERROR(lifespans_all!P32*DTE_mission_minutes!P32,"-")</f>
        <v>0</v>
      </c>
      <c r="Q32" s="105">
        <f>IFERROR(lifespans_all!Q32*DTE_mission_minutes!Q32,"-")</f>
        <v>0</v>
      </c>
      <c r="R32" s="105">
        <f>IFERROR(lifespans_all!R32*DTE_mission_minutes!R32,"-")</f>
        <v>0</v>
      </c>
      <c r="S32" s="105">
        <f>IFERROR(lifespans_all!S32*DTE_mission_minutes!S32,"-")</f>
        <v>0</v>
      </c>
      <c r="T32" s="105">
        <f>IFERROR(lifespans_all!T32*DTE_mission_minutes!T32,"-")</f>
        <v>0</v>
      </c>
      <c r="U32" s="105">
        <f>IFERROR(lifespans_all!U32*DTE_mission_minutes!U32,"-")</f>
        <v>0</v>
      </c>
      <c r="V32" s="105">
        <f>IFERROR(lifespans_all!V32*DTE_mission_minutes!V32,"-")</f>
        <v>0</v>
      </c>
    </row>
    <row r="33" spans="1:22" x14ac:dyDescent="0.25">
      <c r="A33" s="29" t="s">
        <v>39</v>
      </c>
      <c r="B33" s="30" t="s">
        <v>41</v>
      </c>
      <c r="C33" s="105">
        <f>IFERROR(lifespans_all!C33*DTE_mission_minutes!C33,"-")</f>
        <v>575.81194444444441</v>
      </c>
      <c r="D33" s="105">
        <f>IFERROR(lifespans_all!D33*DTE_mission_minutes!D33,"-")</f>
        <v>580.59861111111104</v>
      </c>
      <c r="E33" s="105">
        <f>IFERROR(lifespans_all!E33*DTE_mission_minutes!E33,"-")</f>
        <v>499.24888888888893</v>
      </c>
      <c r="F33" s="105">
        <f>IFERROR(lifespans_all!F33*DTE_mission_minutes!F33,"-")</f>
        <v>565.82727777777768</v>
      </c>
      <c r="G33" s="105">
        <f>IFERROR(lifespans_all!G33*DTE_mission_minutes!G33,"-")</f>
        <v>0</v>
      </c>
      <c r="H33" s="105">
        <f>IFERROR(lifespans_all!H33*DTE_mission_minutes!H33,"-")</f>
        <v>0</v>
      </c>
      <c r="I33" s="105">
        <f>IFERROR(lifespans_all!I33*DTE_mission_minutes!I33,"-")</f>
        <v>0</v>
      </c>
      <c r="J33" s="105">
        <f>IFERROR(lifespans_all!J33*DTE_mission_minutes!J33,"-")</f>
        <v>0</v>
      </c>
      <c r="K33" s="105">
        <f>IFERROR(lifespans_all!K33*DTE_mission_minutes!K33,"-")</f>
        <v>0</v>
      </c>
      <c r="L33" s="105">
        <f>IFERROR(lifespans_all!L33*DTE_mission_minutes!L33,"-")</f>
        <v>0</v>
      </c>
      <c r="M33" s="105">
        <f>IFERROR(lifespans_all!M33*DTE_mission_minutes!M33,"-")</f>
        <v>0</v>
      </c>
      <c r="N33" s="105">
        <f>IFERROR(lifespans_all!N33*DTE_mission_minutes!N33,"-")</f>
        <v>0</v>
      </c>
      <c r="O33" s="105">
        <f>IFERROR(lifespans_all!O33*DTE_mission_minutes!O33,"-")</f>
        <v>0</v>
      </c>
      <c r="P33" s="105">
        <f>IFERROR(lifespans_all!P33*DTE_mission_minutes!P33,"-")</f>
        <v>0</v>
      </c>
      <c r="Q33" s="105">
        <f>IFERROR(lifespans_all!Q33*DTE_mission_minutes!Q33,"-")</f>
        <v>0</v>
      </c>
      <c r="R33" s="105">
        <f>IFERROR(lifespans_all!R33*DTE_mission_minutes!R33,"-")</f>
        <v>0</v>
      </c>
      <c r="S33" s="105">
        <f>IFERROR(lifespans_all!S33*DTE_mission_minutes!S33,"-")</f>
        <v>0</v>
      </c>
      <c r="T33" s="105">
        <f>IFERROR(lifespans_all!T33*DTE_mission_minutes!T33,"-")</f>
        <v>0</v>
      </c>
      <c r="U33" s="105">
        <f>IFERROR(lifespans_all!U33*DTE_mission_minutes!U33,"-")</f>
        <v>0</v>
      </c>
      <c r="V33" s="105">
        <f>IFERROR(lifespans_all!V33*DTE_mission_minutes!V33,"-")</f>
        <v>0</v>
      </c>
    </row>
    <row r="34" spans="1:22" x14ac:dyDescent="0.25">
      <c r="A34" s="29" t="s">
        <v>28</v>
      </c>
      <c r="B34" s="29"/>
      <c r="C34" s="105" t="str">
        <f>IFERROR(lifespans_all!C34*DTE_mission_minutes!C34,"-")</f>
        <v>-</v>
      </c>
      <c r="D34" s="105" t="str">
        <f>IFERROR(lifespans_all!D34*DTE_mission_minutes!D34,"-")</f>
        <v>-</v>
      </c>
      <c r="E34" s="105" t="str">
        <f>IFERROR(lifespans_all!E34*DTE_mission_minutes!E34,"-")</f>
        <v>-</v>
      </c>
      <c r="F34" s="105" t="str">
        <f>IFERROR(lifespans_all!F34*DTE_mission_minutes!F34,"-")</f>
        <v>-</v>
      </c>
      <c r="G34" s="105" t="str">
        <f>IFERROR(lifespans_all!G34*DTE_mission_minutes!G34,"-")</f>
        <v>-</v>
      </c>
      <c r="H34" s="105" t="str">
        <f>IFERROR(lifespans_all!H34*DTE_mission_minutes!H34,"-")</f>
        <v>-</v>
      </c>
      <c r="I34" s="105" t="str">
        <f>IFERROR(lifespans_all!I34*DTE_mission_minutes!I34,"-")</f>
        <v>-</v>
      </c>
      <c r="J34" s="105" t="str">
        <f>IFERROR(lifespans_all!J34*DTE_mission_minutes!J34,"-")</f>
        <v>-</v>
      </c>
      <c r="K34" s="105" t="str">
        <f>IFERROR(lifespans_all!K34*DTE_mission_minutes!K34,"-")</f>
        <v>-</v>
      </c>
      <c r="L34" s="105" t="str">
        <f>IFERROR(lifespans_all!L34*DTE_mission_minutes!L34,"-")</f>
        <v>-</v>
      </c>
      <c r="M34" s="105" t="str">
        <f>IFERROR(lifespans_all!M34*DTE_mission_minutes!M34,"-")</f>
        <v>-</v>
      </c>
      <c r="N34" s="105" t="str">
        <f>IFERROR(lifespans_all!N34*DTE_mission_minutes!N34,"-")</f>
        <v>-</v>
      </c>
      <c r="O34" s="105" t="str">
        <f>IFERROR(lifespans_all!O34*DTE_mission_minutes!O34,"-")</f>
        <v>-</v>
      </c>
      <c r="P34" s="105" t="str">
        <f>IFERROR(lifespans_all!P34*DTE_mission_minutes!P34,"-")</f>
        <v>-</v>
      </c>
      <c r="Q34" s="105" t="str">
        <f>IFERROR(lifespans_all!Q34*DTE_mission_minutes!Q34,"-")</f>
        <v>-</v>
      </c>
      <c r="R34" s="105" t="str">
        <f>IFERROR(lifespans_all!R34*DTE_mission_minutes!R34,"-")</f>
        <v>-</v>
      </c>
      <c r="S34" s="105" t="str">
        <f>IFERROR(lifespans_all!S34*DTE_mission_minutes!S34,"-")</f>
        <v>-</v>
      </c>
      <c r="T34" s="105" t="str">
        <f>IFERROR(lifespans_all!T34*DTE_mission_minutes!T34,"-")</f>
        <v>-</v>
      </c>
      <c r="U34" s="105" t="str">
        <f>IFERROR(lifespans_all!U34*DTE_mission_minutes!U34,"-")</f>
        <v>-</v>
      </c>
      <c r="V34" s="105" t="str">
        <f>IFERROR(lifespans_all!V34*DTE_mission_minutes!V34,"-")</f>
        <v>-</v>
      </c>
    </row>
    <row r="35" spans="1:22" x14ac:dyDescent="0.25">
      <c r="A35" s="29" t="s">
        <v>62</v>
      </c>
      <c r="B35" s="30" t="s">
        <v>41</v>
      </c>
      <c r="C35" s="105">
        <f>IFERROR(lifespans_all!C35*DTE_mission_minutes!C35,"-")</f>
        <v>64.579722222222216</v>
      </c>
      <c r="D35" s="105">
        <f>IFERROR(lifespans_all!D35*DTE_mission_minutes!D35,"-")</f>
        <v>56.487941666666664</v>
      </c>
      <c r="E35" s="105">
        <f>IFERROR(lifespans_all!E35*DTE_mission_minutes!E35,"-")</f>
        <v>49.259444444444441</v>
      </c>
      <c r="F35" s="105">
        <f>IFERROR(lifespans_all!F35*DTE_mission_minutes!F35,"-")</f>
        <v>60.035777777777774</v>
      </c>
      <c r="G35" s="105">
        <f>IFERROR(lifespans_all!G35*DTE_mission_minutes!G35,"-")</f>
        <v>60.035777777777774</v>
      </c>
      <c r="H35" s="105">
        <f>IFERROR(lifespans_all!H35*DTE_mission_minutes!H35,"-")</f>
        <v>0</v>
      </c>
      <c r="I35" s="105">
        <f>IFERROR(lifespans_all!I35*DTE_mission_minutes!I35,"-")</f>
        <v>0</v>
      </c>
      <c r="J35" s="105">
        <f>IFERROR(lifespans_all!J35*DTE_mission_minutes!J35,"-")</f>
        <v>0</v>
      </c>
      <c r="K35" s="105">
        <f>IFERROR(lifespans_all!K35*DTE_mission_minutes!K35,"-")</f>
        <v>0</v>
      </c>
      <c r="L35" s="105">
        <f>IFERROR(lifespans_all!L35*DTE_mission_minutes!L35,"-")</f>
        <v>0</v>
      </c>
      <c r="M35" s="105">
        <f>IFERROR(lifespans_all!M35*DTE_mission_minutes!M35,"-")</f>
        <v>0</v>
      </c>
      <c r="N35" s="105">
        <f>IFERROR(lifespans_all!N35*DTE_mission_minutes!N35,"-")</f>
        <v>0</v>
      </c>
      <c r="O35" s="105">
        <f>IFERROR(lifespans_all!O35*DTE_mission_minutes!O35,"-")</f>
        <v>0</v>
      </c>
      <c r="P35" s="105">
        <f>IFERROR(lifespans_all!P35*DTE_mission_minutes!P35,"-")</f>
        <v>0</v>
      </c>
      <c r="Q35" s="105">
        <f>IFERROR(lifespans_all!Q35*DTE_mission_minutes!Q35,"-")</f>
        <v>0</v>
      </c>
      <c r="R35" s="105">
        <f>IFERROR(lifespans_all!R35*DTE_mission_minutes!R35,"-")</f>
        <v>0</v>
      </c>
      <c r="S35" s="105">
        <f>IFERROR(lifespans_all!S35*DTE_mission_minutes!S35,"-")</f>
        <v>0</v>
      </c>
      <c r="T35" s="105">
        <f>IFERROR(lifespans_all!T35*DTE_mission_minutes!T35,"-")</f>
        <v>0</v>
      </c>
      <c r="U35" s="105">
        <f>IFERROR(lifespans_all!U35*DTE_mission_minutes!U35,"-")</f>
        <v>0</v>
      </c>
      <c r="V35" s="105">
        <f>IFERROR(lifespans_all!V35*DTE_mission_minutes!V35,"-")</f>
        <v>0</v>
      </c>
    </row>
    <row r="36" spans="1:22" x14ac:dyDescent="0.25">
      <c r="A36" s="29" t="s">
        <v>29</v>
      </c>
      <c r="B36" s="30" t="s">
        <v>41</v>
      </c>
      <c r="C36" s="105">
        <f>IFERROR(lifespans_all!C36*DTE_mission_minutes!C36,"-")</f>
        <v>133409.35004928565</v>
      </c>
      <c r="D36" s="105">
        <f>IFERROR(lifespans_all!D36*DTE_mission_minutes!D36,"-")</f>
        <v>133409.35004928565</v>
      </c>
      <c r="E36" s="105">
        <f>IFERROR(lifespans_all!E36*DTE_mission_minutes!E36,"-")</f>
        <v>133409.35004928565</v>
      </c>
      <c r="F36" s="105">
        <f>IFERROR(lifespans_all!F36*DTE_mission_minutes!F36,"-")</f>
        <v>0</v>
      </c>
      <c r="G36" s="105">
        <f>IFERROR(lifespans_all!G36*DTE_mission_minutes!G36,"-")</f>
        <v>0</v>
      </c>
      <c r="H36" s="105">
        <f>IFERROR(lifespans_all!H36*DTE_mission_minutes!H36,"-")</f>
        <v>0</v>
      </c>
      <c r="I36" s="105">
        <f>IFERROR(lifespans_all!I36*DTE_mission_minutes!I36,"-")</f>
        <v>0</v>
      </c>
      <c r="J36" s="105">
        <f>IFERROR(lifespans_all!J36*DTE_mission_minutes!J36,"-")</f>
        <v>0</v>
      </c>
      <c r="K36" s="105">
        <f>IFERROR(lifespans_all!K36*DTE_mission_minutes!K36,"-")</f>
        <v>0</v>
      </c>
      <c r="L36" s="105">
        <f>IFERROR(lifespans_all!L36*DTE_mission_minutes!L36,"-")</f>
        <v>0</v>
      </c>
      <c r="M36" s="105">
        <f>IFERROR(lifespans_all!M36*DTE_mission_minutes!M36,"-")</f>
        <v>0</v>
      </c>
      <c r="N36" s="105">
        <f>IFERROR(lifespans_all!N36*DTE_mission_minutes!N36,"-")</f>
        <v>0</v>
      </c>
      <c r="O36" s="105">
        <f>IFERROR(lifespans_all!O36*DTE_mission_minutes!O36,"-")</f>
        <v>0</v>
      </c>
      <c r="P36" s="105">
        <f>IFERROR(lifespans_all!P36*DTE_mission_minutes!P36,"-")</f>
        <v>0</v>
      </c>
      <c r="Q36" s="105">
        <f>IFERROR(lifespans_all!Q36*DTE_mission_minutes!Q36,"-")</f>
        <v>0</v>
      </c>
      <c r="R36" s="105">
        <f>IFERROR(lifespans_all!R36*DTE_mission_minutes!R36,"-")</f>
        <v>0</v>
      </c>
      <c r="S36" s="105">
        <f>IFERROR(lifespans_all!S36*DTE_mission_minutes!S36,"-")</f>
        <v>0</v>
      </c>
      <c r="T36" s="105">
        <f>IFERROR(lifespans_all!T36*DTE_mission_minutes!T36,"-")</f>
        <v>0</v>
      </c>
      <c r="U36" s="105">
        <f>IFERROR(lifespans_all!U36*DTE_mission_minutes!U36,"-")</f>
        <v>0</v>
      </c>
      <c r="V36" s="105">
        <f>IFERROR(lifespans_all!V36*DTE_mission_minutes!V36,"-")</f>
        <v>0</v>
      </c>
    </row>
    <row r="37" spans="1:22" x14ac:dyDescent="0.25">
      <c r="A37" s="29" t="s">
        <v>30</v>
      </c>
      <c r="B37" s="37" t="s">
        <v>43</v>
      </c>
      <c r="C37" s="105">
        <f>IFERROR(lifespans_all!C37*DTE_mission_minutes!C37,"-")</f>
        <v>171572.29579277776</v>
      </c>
      <c r="D37" s="105">
        <f>IFERROR(lifespans_all!D37*DTE_mission_minutes!D37,"-")</f>
        <v>171572.29579277776</v>
      </c>
      <c r="E37" s="105">
        <f>IFERROR(lifespans_all!E37*DTE_mission_minutes!E37,"-")</f>
        <v>171572.29579277776</v>
      </c>
      <c r="F37" s="105">
        <f>IFERROR(lifespans_all!F37*DTE_mission_minutes!F37,"-")</f>
        <v>171572.29579277776</v>
      </c>
      <c r="G37" s="105">
        <f>IFERROR(lifespans_all!G37*DTE_mission_minutes!G37,"-")</f>
        <v>171572.29579277776</v>
      </c>
      <c r="H37" s="105">
        <f>IFERROR(lifespans_all!H37*DTE_mission_minutes!H37,"-")</f>
        <v>171572.29579277776</v>
      </c>
      <c r="I37" s="105">
        <f>IFERROR(lifespans_all!I37*DTE_mission_minutes!I37,"-")</f>
        <v>171572.29579277776</v>
      </c>
      <c r="J37" s="105">
        <f>IFERROR(lifespans_all!J37*DTE_mission_minutes!J37,"-")</f>
        <v>171572.29579277776</v>
      </c>
      <c r="K37" s="105">
        <f>IFERROR(lifespans_all!K37*DTE_mission_minutes!K37,"-")</f>
        <v>171572.29579277776</v>
      </c>
      <c r="L37" s="105">
        <f>IFERROR(lifespans_all!L37*DTE_mission_minutes!L37,"-")</f>
        <v>171572.29579277776</v>
      </c>
      <c r="M37" s="105">
        <f>IFERROR(lifespans_all!M37*DTE_mission_minutes!M37,"-")</f>
        <v>171572.29579277776</v>
      </c>
      <c r="N37" s="105">
        <f>IFERROR(lifespans_all!N37*DTE_mission_minutes!N37,"-")</f>
        <v>171572.29579277776</v>
      </c>
      <c r="O37" s="105">
        <f>IFERROR(lifespans_all!O37*DTE_mission_minutes!O37,"-")</f>
        <v>171572.29579277776</v>
      </c>
      <c r="P37" s="105">
        <f>IFERROR(lifespans_all!P37*DTE_mission_minutes!P37,"-")</f>
        <v>171572.29579277776</v>
      </c>
      <c r="Q37" s="105">
        <f>IFERROR(lifespans_all!Q37*DTE_mission_minutes!Q37,"-")</f>
        <v>171572.29579277776</v>
      </c>
      <c r="R37" s="105">
        <f>IFERROR(lifespans_all!R37*DTE_mission_minutes!R37,"-")</f>
        <v>171572.29579277776</v>
      </c>
      <c r="S37" s="105">
        <f>IFERROR(lifespans_all!S37*DTE_mission_minutes!S37,"-")</f>
        <v>171572.29579277776</v>
      </c>
      <c r="T37" s="105">
        <f>IFERROR(lifespans_all!T37*DTE_mission_minutes!T37,"-")</f>
        <v>171572.29579277776</v>
      </c>
      <c r="U37" s="105">
        <f>IFERROR(lifespans_all!U37*DTE_mission_minutes!U37,"-")</f>
        <v>171572.29579277776</v>
      </c>
      <c r="V37" s="105">
        <f>IFERROR(lifespans_all!V37*DTE_mission_minutes!V37,"-")</f>
        <v>171572.29579277776</v>
      </c>
    </row>
    <row r="38" spans="1:22" x14ac:dyDescent="0.25">
      <c r="A38" s="29" t="s">
        <v>31</v>
      </c>
      <c r="B38" s="38" t="s">
        <v>48</v>
      </c>
      <c r="C38" s="105" t="str">
        <f>IFERROR(lifespans_all!C38*DTE_mission_minutes!C38,"-")</f>
        <v>-</v>
      </c>
      <c r="D38" s="105" t="str">
        <f>IFERROR(lifespans_all!D38*DTE_mission_minutes!D38,"-")</f>
        <v>-</v>
      </c>
      <c r="E38" s="105" t="str">
        <f>IFERROR(lifespans_all!E38*DTE_mission_minutes!E38,"-")</f>
        <v>-</v>
      </c>
      <c r="F38" s="105" t="str">
        <f>IFERROR(lifespans_all!F38*DTE_mission_minutes!F38,"-")</f>
        <v>-</v>
      </c>
      <c r="G38" s="105" t="str">
        <f>IFERROR(lifespans_all!G38*DTE_mission_minutes!G38,"-")</f>
        <v>-</v>
      </c>
      <c r="H38" s="105" t="str">
        <f>IFERROR(lifespans_all!H38*DTE_mission_minutes!H38,"-")</f>
        <v>-</v>
      </c>
      <c r="I38" s="105" t="str">
        <f>IFERROR(lifespans_all!I38*DTE_mission_minutes!I38,"-")</f>
        <v>-</v>
      </c>
      <c r="J38" s="105" t="str">
        <f>IFERROR(lifespans_all!J38*DTE_mission_minutes!J38,"-")</f>
        <v>-</v>
      </c>
      <c r="K38" s="105" t="str">
        <f>IFERROR(lifespans_all!K38*DTE_mission_minutes!K38,"-")</f>
        <v>-</v>
      </c>
      <c r="L38" s="105" t="str">
        <f>IFERROR(lifespans_all!L38*DTE_mission_minutes!L38,"-")</f>
        <v>-</v>
      </c>
      <c r="M38" s="105" t="str">
        <f>IFERROR(lifespans_all!M38*DTE_mission_minutes!M38,"-")</f>
        <v>-</v>
      </c>
      <c r="N38" s="105" t="str">
        <f>IFERROR(lifespans_all!N38*DTE_mission_minutes!N38,"-")</f>
        <v>-</v>
      </c>
      <c r="O38" s="105" t="str">
        <f>IFERROR(lifespans_all!O38*DTE_mission_minutes!O38,"-")</f>
        <v>-</v>
      </c>
      <c r="P38" s="105" t="str">
        <f>IFERROR(lifespans_all!P38*DTE_mission_minutes!P38,"-")</f>
        <v>-</v>
      </c>
      <c r="Q38" s="105" t="str">
        <f>IFERROR(lifespans_all!Q38*DTE_mission_minutes!Q38,"-")</f>
        <v>-</v>
      </c>
      <c r="R38" s="105" t="str">
        <f>IFERROR(lifespans_all!R38*DTE_mission_minutes!R38,"-")</f>
        <v>-</v>
      </c>
      <c r="S38" s="105" t="str">
        <f>IFERROR(lifespans_all!S38*DTE_mission_minutes!S38,"-")</f>
        <v>-</v>
      </c>
      <c r="T38" s="105" t="str">
        <f>IFERROR(lifespans_all!T38*DTE_mission_minutes!T38,"-")</f>
        <v>-</v>
      </c>
      <c r="U38" s="105" t="str">
        <f>IFERROR(lifespans_all!U38*DTE_mission_minutes!U38,"-")</f>
        <v>-</v>
      </c>
      <c r="V38" s="105" t="str">
        <f>IFERROR(lifespans_all!V38*DTE_mission_minutes!V38,"-")</f>
        <v>-</v>
      </c>
    </row>
    <row r="39" spans="1:22" x14ac:dyDescent="0.25">
      <c r="A39" s="29" t="s">
        <v>32</v>
      </c>
      <c r="B39" s="38" t="s">
        <v>48</v>
      </c>
      <c r="C39" s="105" t="str">
        <f>IFERROR(lifespans_all!C39*DTE_mission_minutes!C39,"-")</f>
        <v>-</v>
      </c>
      <c r="D39" s="105" t="str">
        <f>IFERROR(lifespans_all!D39*DTE_mission_minutes!D39,"-")</f>
        <v>-</v>
      </c>
      <c r="E39" s="105" t="str">
        <f>IFERROR(lifespans_all!E39*DTE_mission_minutes!E39,"-")</f>
        <v>-</v>
      </c>
      <c r="F39" s="105" t="str">
        <f>IFERROR(lifespans_all!F39*DTE_mission_minutes!F39,"-")</f>
        <v>-</v>
      </c>
      <c r="G39" s="105" t="str">
        <f>IFERROR(lifespans_all!G39*DTE_mission_minutes!G39,"-")</f>
        <v>-</v>
      </c>
      <c r="H39" s="105" t="str">
        <f>IFERROR(lifespans_all!H39*DTE_mission_minutes!H39,"-")</f>
        <v>-</v>
      </c>
      <c r="I39" s="105" t="str">
        <f>IFERROR(lifespans_all!I39*DTE_mission_minutes!I39,"-")</f>
        <v>-</v>
      </c>
      <c r="J39" s="105" t="str">
        <f>IFERROR(lifespans_all!J39*DTE_mission_minutes!J39,"-")</f>
        <v>-</v>
      </c>
      <c r="K39" s="105" t="str">
        <f>IFERROR(lifespans_all!K39*DTE_mission_minutes!K39,"-")</f>
        <v>-</v>
      </c>
      <c r="L39" s="105" t="str">
        <f>IFERROR(lifespans_all!L39*DTE_mission_minutes!L39,"-")</f>
        <v>-</v>
      </c>
      <c r="M39" s="105" t="str">
        <f>IFERROR(lifespans_all!M39*DTE_mission_minutes!M39,"-")</f>
        <v>-</v>
      </c>
      <c r="N39" s="105" t="str">
        <f>IFERROR(lifespans_all!N39*DTE_mission_minutes!N39,"-")</f>
        <v>-</v>
      </c>
      <c r="O39" s="105" t="str">
        <f>IFERROR(lifespans_all!O39*DTE_mission_minutes!O39,"-")</f>
        <v>-</v>
      </c>
      <c r="P39" s="105" t="str">
        <f>IFERROR(lifespans_all!P39*DTE_mission_minutes!P39,"-")</f>
        <v>-</v>
      </c>
      <c r="Q39" s="105" t="str">
        <f>IFERROR(lifespans_all!Q39*DTE_mission_minutes!Q39,"-")</f>
        <v>-</v>
      </c>
      <c r="R39" s="105" t="str">
        <f>IFERROR(lifespans_all!R39*DTE_mission_minutes!R39,"-")</f>
        <v>-</v>
      </c>
      <c r="S39" s="105" t="str">
        <f>IFERROR(lifespans_all!S39*DTE_mission_minutes!S39,"-")</f>
        <v>-</v>
      </c>
      <c r="T39" s="105" t="str">
        <f>IFERROR(lifespans_all!T39*DTE_mission_minutes!T39,"-")</f>
        <v>-</v>
      </c>
      <c r="U39" s="105" t="str">
        <f>IFERROR(lifespans_all!U39*DTE_mission_minutes!U39,"-")</f>
        <v>-</v>
      </c>
      <c r="V39" s="105" t="str">
        <f>IFERROR(lifespans_all!V39*DTE_mission_minutes!V39,"-")</f>
        <v>-</v>
      </c>
    </row>
    <row r="40" spans="1:22" x14ac:dyDescent="0.25">
      <c r="A40" s="29" t="s">
        <v>33</v>
      </c>
      <c r="B40" s="30" t="s">
        <v>41</v>
      </c>
      <c r="C40" s="105">
        <f>IFERROR(lifespans_all!C40*DTE_mission_minutes!C40,"-")</f>
        <v>0</v>
      </c>
      <c r="D40" s="105">
        <f>IFERROR(lifespans_all!D40*DTE_mission_minutes!D40,"-")</f>
        <v>0</v>
      </c>
      <c r="E40" s="105">
        <f>IFERROR(lifespans_all!E40*DTE_mission_minutes!E40,"-")</f>
        <v>0</v>
      </c>
      <c r="F40" s="105">
        <f>IFERROR(lifespans_all!F40*DTE_mission_minutes!F40,"-")</f>
        <v>0</v>
      </c>
      <c r="G40" s="105">
        <f>IFERROR(lifespans_all!G40*DTE_mission_minutes!G40,"-")</f>
        <v>0</v>
      </c>
      <c r="H40" s="105">
        <f>IFERROR(lifespans_all!H40*DTE_mission_minutes!H40,"-")</f>
        <v>0</v>
      </c>
      <c r="I40" s="105">
        <f>IFERROR(lifespans_all!I40*DTE_mission_minutes!I40,"-")</f>
        <v>0</v>
      </c>
      <c r="J40" s="105">
        <f>IFERROR(lifespans_all!J40*DTE_mission_minutes!J40,"-")</f>
        <v>0</v>
      </c>
      <c r="K40" s="105">
        <f>IFERROR(lifespans_all!K40*DTE_mission_minutes!K40,"-")</f>
        <v>0</v>
      </c>
      <c r="L40" s="105">
        <f>IFERROR(lifespans_all!L40*DTE_mission_minutes!L40,"-")</f>
        <v>0</v>
      </c>
      <c r="M40" s="105">
        <f>IFERROR(lifespans_all!M40*DTE_mission_minutes!M40,"-")</f>
        <v>0</v>
      </c>
      <c r="N40" s="105">
        <f>IFERROR(lifespans_all!N40*DTE_mission_minutes!N40,"-")</f>
        <v>0</v>
      </c>
      <c r="O40" s="105">
        <f>IFERROR(lifespans_all!O40*DTE_mission_minutes!O40,"-")</f>
        <v>0</v>
      </c>
      <c r="P40" s="105">
        <f>IFERROR(lifespans_all!P40*DTE_mission_minutes!P40,"-")</f>
        <v>0</v>
      </c>
      <c r="Q40" s="105">
        <f>IFERROR(lifespans_all!Q40*DTE_mission_minutes!Q40,"-")</f>
        <v>0</v>
      </c>
      <c r="R40" s="105">
        <f>IFERROR(lifespans_all!R40*DTE_mission_minutes!R40,"-")</f>
        <v>0</v>
      </c>
      <c r="S40" s="105">
        <f>IFERROR(lifespans_all!S40*DTE_mission_minutes!S40,"-")</f>
        <v>0</v>
      </c>
      <c r="T40" s="105">
        <f>IFERROR(lifespans_all!T40*DTE_mission_minutes!T40,"-")</f>
        <v>0</v>
      </c>
      <c r="U40" s="105">
        <f>IFERROR(lifespans_all!U40*DTE_mission_minutes!U40,"-")</f>
        <v>0</v>
      </c>
      <c r="V40" s="105">
        <f>IFERROR(lifespans_all!V40*DTE_mission_minutes!V40,"-")</f>
        <v>0</v>
      </c>
    </row>
    <row r="41" spans="1:22" x14ac:dyDescent="0.25">
      <c r="A41" s="29" t="s">
        <v>34</v>
      </c>
      <c r="B41" s="37" t="s">
        <v>45</v>
      </c>
      <c r="C41" s="105">
        <f>IFERROR(lifespans_all!C41*DTE_mission_minutes!C41,"-")</f>
        <v>1321.6547222222223</v>
      </c>
      <c r="D41" s="105">
        <f>IFERROR(lifespans_all!D41*DTE_mission_minutes!D41,"-")</f>
        <v>1450.1822222222222</v>
      </c>
      <c r="E41" s="105">
        <f>IFERROR(lifespans_all!E41*DTE_mission_minutes!E41,"-")</f>
        <v>1386.2452777777776</v>
      </c>
      <c r="F41" s="105">
        <f>IFERROR(lifespans_all!F41*DTE_mission_minutes!F41,"-")</f>
        <v>1393.7255555555555</v>
      </c>
      <c r="G41" s="105">
        <f>IFERROR(lifespans_all!G41*DTE_mission_minutes!G41,"-")</f>
        <v>1393.7255555555555</v>
      </c>
      <c r="H41" s="105">
        <f>IFERROR(lifespans_all!H41*DTE_mission_minutes!H41,"-")</f>
        <v>0</v>
      </c>
      <c r="I41" s="105">
        <f>IFERROR(lifespans_all!I41*DTE_mission_minutes!I41,"-")</f>
        <v>0</v>
      </c>
      <c r="J41" s="105">
        <f>IFERROR(lifespans_all!J41*DTE_mission_minutes!J41,"-")</f>
        <v>0</v>
      </c>
      <c r="K41" s="105">
        <f>IFERROR(lifespans_all!K41*DTE_mission_minutes!K41,"-")</f>
        <v>0</v>
      </c>
      <c r="L41" s="105">
        <f>IFERROR(lifespans_all!L41*DTE_mission_minutes!L41,"-")</f>
        <v>0</v>
      </c>
      <c r="M41" s="105">
        <f>IFERROR(lifespans_all!M41*DTE_mission_minutes!M41,"-")</f>
        <v>0</v>
      </c>
      <c r="N41" s="105">
        <f>IFERROR(lifespans_all!N41*DTE_mission_minutes!N41,"-")</f>
        <v>0</v>
      </c>
      <c r="O41" s="105">
        <f>IFERROR(lifespans_all!O41*DTE_mission_minutes!O41,"-")</f>
        <v>0</v>
      </c>
      <c r="P41" s="105">
        <f>IFERROR(lifespans_all!P41*DTE_mission_minutes!P41,"-")</f>
        <v>0</v>
      </c>
      <c r="Q41" s="105">
        <f>IFERROR(lifespans_all!Q41*DTE_mission_minutes!Q41,"-")</f>
        <v>0</v>
      </c>
      <c r="R41" s="105">
        <f>IFERROR(lifespans_all!R41*DTE_mission_minutes!R41,"-")</f>
        <v>0</v>
      </c>
      <c r="S41" s="105">
        <f>IFERROR(lifespans_all!S41*DTE_mission_minutes!S41,"-")</f>
        <v>0</v>
      </c>
      <c r="T41" s="105">
        <f>IFERROR(lifespans_all!T41*DTE_mission_minutes!T41,"-")</f>
        <v>0</v>
      </c>
      <c r="U41" s="105">
        <f>IFERROR(lifespans_all!U41*DTE_mission_minutes!U41,"-")</f>
        <v>0</v>
      </c>
      <c r="V41" s="105">
        <f>IFERROR(lifespans_all!V41*DTE_mission_minutes!V41,"-")</f>
        <v>0</v>
      </c>
    </row>
    <row r="42" spans="1:22" x14ac:dyDescent="0.25">
      <c r="A42" s="29" t="s">
        <v>63</v>
      </c>
      <c r="B42" s="37" t="s">
        <v>43</v>
      </c>
      <c r="C42" s="105">
        <f>IFERROR(lifespans_all!C42*DTE_mission_minutes!C42,"-")</f>
        <v>171572.29579277776</v>
      </c>
      <c r="D42" s="105">
        <f>IFERROR(lifespans_all!D42*DTE_mission_minutes!D42,"-")</f>
        <v>171572.29579277776</v>
      </c>
      <c r="E42" s="105">
        <f>IFERROR(lifespans_all!E42*DTE_mission_minutes!E42,"-")</f>
        <v>171572.29579277776</v>
      </c>
      <c r="F42" s="105">
        <f>IFERROR(lifespans_all!F42*DTE_mission_minutes!F42,"-")</f>
        <v>171572.29579277776</v>
      </c>
      <c r="G42" s="105">
        <f>IFERROR(lifespans_all!G42*DTE_mission_minutes!G42,"-")</f>
        <v>171572.29579277776</v>
      </c>
      <c r="H42" s="105">
        <f>IFERROR(lifespans_all!H42*DTE_mission_minutes!H42,"-")</f>
        <v>171572.29579277776</v>
      </c>
      <c r="I42" s="105">
        <f>IFERROR(lifespans_all!I42*DTE_mission_minutes!I42,"-")</f>
        <v>171572.29579277776</v>
      </c>
      <c r="J42" s="105">
        <f>IFERROR(lifespans_all!J42*DTE_mission_minutes!J42,"-")</f>
        <v>171572.29579277776</v>
      </c>
      <c r="K42" s="105">
        <f>IFERROR(lifespans_all!K42*DTE_mission_minutes!K42,"-")</f>
        <v>171572.29579277776</v>
      </c>
      <c r="L42" s="105">
        <f>IFERROR(lifespans_all!L42*DTE_mission_minutes!L42,"-")</f>
        <v>171572.29579277776</v>
      </c>
      <c r="M42" s="105">
        <f>IFERROR(lifespans_all!M42*DTE_mission_minutes!M42,"-")</f>
        <v>171572.29579277776</v>
      </c>
      <c r="N42" s="105">
        <f>IFERROR(lifespans_all!N42*DTE_mission_minutes!N42,"-")</f>
        <v>171572.29579277776</v>
      </c>
      <c r="O42" s="105">
        <f>IFERROR(lifespans_all!O42*DTE_mission_minutes!O42,"-")</f>
        <v>171572.29579277776</v>
      </c>
      <c r="P42" s="105">
        <f>IFERROR(lifespans_all!P42*DTE_mission_minutes!P42,"-")</f>
        <v>171572.29579277776</v>
      </c>
      <c r="Q42" s="105">
        <f>IFERROR(lifespans_all!Q42*DTE_mission_minutes!Q42,"-")</f>
        <v>171572.29579277776</v>
      </c>
      <c r="R42" s="105">
        <f>IFERROR(lifespans_all!R42*DTE_mission_minutes!R42,"-")</f>
        <v>171572.29579277776</v>
      </c>
      <c r="S42" s="105">
        <f>IFERROR(lifespans_all!S42*DTE_mission_minutes!S42,"-")</f>
        <v>171572.29579277776</v>
      </c>
      <c r="T42" s="105">
        <f>IFERROR(lifespans_all!T42*DTE_mission_minutes!T42,"-")</f>
        <v>171572.29579277776</v>
      </c>
      <c r="U42" s="105">
        <f>IFERROR(lifespans_all!U42*DTE_mission_minutes!U42,"-")</f>
        <v>171572.29579277776</v>
      </c>
      <c r="V42" s="105">
        <f>IFERROR(lifespans_all!V42*DTE_mission_minutes!V42,"-")</f>
        <v>171572.29579277776</v>
      </c>
    </row>
    <row r="43" spans="1:22" x14ac:dyDescent="0.25">
      <c r="A43" s="29" t="s">
        <v>64</v>
      </c>
      <c r="B43" s="30" t="s">
        <v>46</v>
      </c>
      <c r="C43" s="105" t="str">
        <f>IFERROR(lifespans_all!C43*DTE_mission_minutes!C43,"-")</f>
        <v>-</v>
      </c>
      <c r="D43" s="105" t="str">
        <f>IFERROR(lifespans_all!D43*DTE_mission_minutes!D43,"-")</f>
        <v>-</v>
      </c>
      <c r="E43" s="105" t="str">
        <f>IFERROR(lifespans_all!E43*DTE_mission_minutes!E43,"-")</f>
        <v>-</v>
      </c>
      <c r="F43" s="105" t="str">
        <f>IFERROR(lifespans_all!F43*DTE_mission_minutes!F43,"-")</f>
        <v>-</v>
      </c>
      <c r="G43" s="105" t="str">
        <f>IFERROR(lifespans_all!G43*DTE_mission_minutes!G43,"-")</f>
        <v>-</v>
      </c>
      <c r="H43" s="105" t="str">
        <f>IFERROR(lifespans_all!H43*DTE_mission_minutes!H43,"-")</f>
        <v>-</v>
      </c>
      <c r="I43" s="105" t="str">
        <f>IFERROR(lifespans_all!I43*DTE_mission_minutes!I43,"-")</f>
        <v>-</v>
      </c>
      <c r="J43" s="105" t="str">
        <f>IFERROR(lifespans_all!J43*DTE_mission_minutes!J43,"-")</f>
        <v>-</v>
      </c>
      <c r="K43" s="105" t="str">
        <f>IFERROR(lifespans_all!K43*DTE_mission_minutes!K43,"-")</f>
        <v>-</v>
      </c>
      <c r="L43" s="105" t="str">
        <f>IFERROR(lifespans_all!L43*DTE_mission_minutes!L43,"-")</f>
        <v>-</v>
      </c>
      <c r="M43" s="105" t="str">
        <f>IFERROR(lifespans_all!M43*DTE_mission_minutes!M43,"-")</f>
        <v>-</v>
      </c>
      <c r="N43" s="105" t="str">
        <f>IFERROR(lifespans_all!N43*DTE_mission_minutes!N43,"-")</f>
        <v>-</v>
      </c>
      <c r="O43" s="105" t="str">
        <f>IFERROR(lifespans_all!O43*DTE_mission_minutes!O43,"-")</f>
        <v>-</v>
      </c>
      <c r="P43" s="105" t="str">
        <f>IFERROR(lifespans_all!P43*DTE_mission_minutes!P43,"-")</f>
        <v>-</v>
      </c>
      <c r="Q43" s="105" t="str">
        <f>IFERROR(lifespans_all!Q43*DTE_mission_minutes!Q43,"-")</f>
        <v>-</v>
      </c>
      <c r="R43" s="105" t="str">
        <f>IFERROR(lifespans_all!R43*DTE_mission_minutes!R43,"-")</f>
        <v>-</v>
      </c>
      <c r="S43" s="105" t="str">
        <f>IFERROR(lifespans_all!S43*DTE_mission_minutes!S43,"-")</f>
        <v>-</v>
      </c>
      <c r="T43" s="105" t="str">
        <f>IFERROR(lifespans_all!T43*DTE_mission_minutes!T43,"-")</f>
        <v>-</v>
      </c>
      <c r="U43" s="105" t="str">
        <f>IFERROR(lifespans_all!U43*DTE_mission_minutes!U43,"-")</f>
        <v>-</v>
      </c>
      <c r="V43" s="105" t="str">
        <f>IFERROR(lifespans_all!V43*DTE_mission_minutes!V43,"-")</f>
        <v>-</v>
      </c>
    </row>
    <row r="44" spans="1:22" x14ac:dyDescent="0.25">
      <c r="A44" s="29" t="s">
        <v>65</v>
      </c>
      <c r="B44" s="30" t="s">
        <v>41</v>
      </c>
      <c r="C44" s="105">
        <f>IFERROR(lifespans_all!C44*DTE_mission_minutes!C44,"-")</f>
        <v>3017.8666666666668</v>
      </c>
      <c r="D44" s="105">
        <f>IFERROR(lifespans_all!D44*DTE_mission_minutes!D44,"-")</f>
        <v>3078.4611111111108</v>
      </c>
      <c r="E44" s="105">
        <f>IFERROR(lifespans_all!E44*DTE_mission_minutes!E44,"-")</f>
        <v>2765.7895222222219</v>
      </c>
      <c r="F44" s="105">
        <f>IFERROR(lifespans_all!F44*DTE_mission_minutes!F44,"-")</f>
        <v>3000.2460561111111</v>
      </c>
      <c r="G44" s="105">
        <f>IFERROR(lifespans_all!G44*DTE_mission_minutes!G44,"-")</f>
        <v>3000.2460561111111</v>
      </c>
      <c r="H44" s="105">
        <f>IFERROR(lifespans_all!H44*DTE_mission_minutes!H44,"-")</f>
        <v>3000.2460561111111</v>
      </c>
      <c r="I44" s="105">
        <f>IFERROR(lifespans_all!I44*DTE_mission_minutes!I44,"-")</f>
        <v>3000.2460561111111</v>
      </c>
      <c r="J44" s="105">
        <f>IFERROR(lifespans_all!J44*DTE_mission_minutes!J44,"-")</f>
        <v>0</v>
      </c>
      <c r="K44" s="105">
        <f>IFERROR(lifespans_all!K44*DTE_mission_minutes!K44,"-")</f>
        <v>0</v>
      </c>
      <c r="L44" s="105">
        <f>IFERROR(lifespans_all!L44*DTE_mission_minutes!L44,"-")</f>
        <v>0</v>
      </c>
      <c r="M44" s="105">
        <f>IFERROR(lifespans_all!M44*DTE_mission_minutes!M44,"-")</f>
        <v>0</v>
      </c>
      <c r="N44" s="105">
        <f>IFERROR(lifespans_all!N44*DTE_mission_minutes!N44,"-")</f>
        <v>0</v>
      </c>
      <c r="O44" s="105">
        <f>IFERROR(lifespans_all!O44*DTE_mission_minutes!O44,"-")</f>
        <v>0</v>
      </c>
      <c r="P44" s="105">
        <f>IFERROR(lifespans_all!P44*DTE_mission_minutes!P44,"-")</f>
        <v>0</v>
      </c>
      <c r="Q44" s="105">
        <f>IFERROR(lifespans_all!Q44*DTE_mission_minutes!Q44,"-")</f>
        <v>0</v>
      </c>
      <c r="R44" s="105">
        <f>IFERROR(lifespans_all!R44*DTE_mission_minutes!R44,"-")</f>
        <v>0</v>
      </c>
      <c r="S44" s="105">
        <f>IFERROR(lifespans_all!S44*DTE_mission_minutes!S44,"-")</f>
        <v>0</v>
      </c>
      <c r="T44" s="105">
        <f>IFERROR(lifespans_all!T44*DTE_mission_minutes!T44,"-")</f>
        <v>0</v>
      </c>
      <c r="U44" s="105">
        <f>IFERROR(lifespans_all!U44*DTE_mission_minutes!U44,"-")</f>
        <v>0</v>
      </c>
      <c r="V44" s="105">
        <f>IFERROR(lifespans_all!V44*DTE_mission_minutes!V44,"-")</f>
        <v>0</v>
      </c>
    </row>
    <row r="45" spans="1:22" x14ac:dyDescent="0.25">
      <c r="A45" s="29" t="s">
        <v>35</v>
      </c>
      <c r="B45" s="30" t="s">
        <v>40</v>
      </c>
      <c r="C45" s="105">
        <f>IFERROR(lifespans_all!C45*DTE_mission_minutes!C45,"-")</f>
        <v>2140.4341038095235</v>
      </c>
      <c r="D45" s="105">
        <f>IFERROR(lifespans_all!D45*DTE_mission_minutes!D45,"-")</f>
        <v>2140.4341038095235</v>
      </c>
      <c r="E45" s="105">
        <f>IFERROR(lifespans_all!E45*DTE_mission_minutes!E45,"-")</f>
        <v>0</v>
      </c>
      <c r="F45" s="105">
        <f>IFERROR(lifespans_all!F45*DTE_mission_minutes!F45,"-")</f>
        <v>0</v>
      </c>
      <c r="G45" s="105">
        <f>IFERROR(lifespans_all!G45*DTE_mission_minutes!G45,"-")</f>
        <v>0</v>
      </c>
      <c r="H45" s="105">
        <f>IFERROR(lifespans_all!H45*DTE_mission_minutes!H45,"-")</f>
        <v>0</v>
      </c>
      <c r="I45" s="105">
        <f>IFERROR(lifespans_all!I45*DTE_mission_minutes!I45,"-")</f>
        <v>0</v>
      </c>
      <c r="J45" s="105">
        <f>IFERROR(lifespans_all!J45*DTE_mission_minutes!J45,"-")</f>
        <v>0</v>
      </c>
      <c r="K45" s="105">
        <f>IFERROR(lifespans_all!K45*DTE_mission_minutes!K45,"-")</f>
        <v>0</v>
      </c>
      <c r="L45" s="105">
        <f>IFERROR(lifespans_all!L45*DTE_mission_minutes!L45,"-")</f>
        <v>0</v>
      </c>
      <c r="M45" s="105">
        <f>IFERROR(lifespans_all!M45*DTE_mission_minutes!M45,"-")</f>
        <v>0</v>
      </c>
      <c r="N45" s="105">
        <f>IFERROR(lifespans_all!N45*DTE_mission_minutes!N45,"-")</f>
        <v>0</v>
      </c>
      <c r="O45" s="105">
        <f>IFERROR(lifespans_all!O45*DTE_mission_minutes!O45,"-")</f>
        <v>0</v>
      </c>
      <c r="P45" s="105">
        <f>IFERROR(lifespans_all!P45*DTE_mission_minutes!P45,"-")</f>
        <v>0</v>
      </c>
      <c r="Q45" s="105">
        <f>IFERROR(lifespans_all!Q45*DTE_mission_minutes!Q45,"-")</f>
        <v>0</v>
      </c>
      <c r="R45" s="105">
        <f>IFERROR(lifespans_all!R45*DTE_mission_minutes!R45,"-")</f>
        <v>0</v>
      </c>
      <c r="S45" s="105">
        <f>IFERROR(lifespans_all!S45*DTE_mission_minutes!S45,"-")</f>
        <v>0</v>
      </c>
      <c r="T45" s="105">
        <f>IFERROR(lifespans_all!T45*DTE_mission_minutes!T45,"-")</f>
        <v>0</v>
      </c>
      <c r="U45" s="105">
        <f>IFERROR(lifespans_all!U45*DTE_mission_minutes!U45,"-")</f>
        <v>0</v>
      </c>
      <c r="V45" s="105">
        <f>IFERROR(lifespans_all!V45*DTE_mission_minutes!V45,"-")</f>
        <v>0</v>
      </c>
    </row>
    <row r="46" spans="1:22" x14ac:dyDescent="0.25">
      <c r="A46" s="29" t="s">
        <v>36</v>
      </c>
      <c r="B46" s="30" t="s">
        <v>40</v>
      </c>
      <c r="C46" s="105">
        <f>IFERROR(lifespans_all!C46*DTE_mission_minutes!C46,"-")</f>
        <v>2140.4341038095235</v>
      </c>
      <c r="D46" s="105">
        <f>IFERROR(lifespans_all!D46*DTE_mission_minutes!D46,"-")</f>
        <v>2140.4341038095235</v>
      </c>
      <c r="E46" s="105">
        <f>IFERROR(lifespans_all!E46*DTE_mission_minutes!E46,"-")</f>
        <v>0</v>
      </c>
      <c r="F46" s="105">
        <f>IFERROR(lifespans_all!F46*DTE_mission_minutes!F46,"-")</f>
        <v>0</v>
      </c>
      <c r="G46" s="105">
        <f>IFERROR(lifespans_all!G46*DTE_mission_minutes!G46,"-")</f>
        <v>0</v>
      </c>
      <c r="H46" s="105">
        <f>IFERROR(lifespans_all!H46*DTE_mission_minutes!H46,"-")</f>
        <v>0</v>
      </c>
      <c r="I46" s="105">
        <f>IFERROR(lifespans_all!I46*DTE_mission_minutes!I46,"-")</f>
        <v>0</v>
      </c>
      <c r="J46" s="105">
        <f>IFERROR(lifespans_all!J46*DTE_mission_minutes!J46,"-")</f>
        <v>0</v>
      </c>
      <c r="K46" s="105">
        <f>IFERROR(lifespans_all!K46*DTE_mission_minutes!K46,"-")</f>
        <v>0</v>
      </c>
      <c r="L46" s="105">
        <f>IFERROR(lifespans_all!L46*DTE_mission_minutes!L46,"-")</f>
        <v>0</v>
      </c>
      <c r="M46" s="105">
        <f>IFERROR(lifespans_all!M46*DTE_mission_minutes!M46,"-")</f>
        <v>0</v>
      </c>
      <c r="N46" s="105">
        <f>IFERROR(lifespans_all!N46*DTE_mission_minutes!N46,"-")</f>
        <v>0</v>
      </c>
      <c r="O46" s="105">
        <f>IFERROR(lifespans_all!O46*DTE_mission_minutes!O46,"-")</f>
        <v>0</v>
      </c>
      <c r="P46" s="105">
        <f>IFERROR(lifespans_all!P46*DTE_mission_minutes!P46,"-")</f>
        <v>0</v>
      </c>
      <c r="Q46" s="105">
        <f>IFERROR(lifespans_all!Q46*DTE_mission_minutes!Q46,"-")</f>
        <v>0</v>
      </c>
      <c r="R46" s="105">
        <f>IFERROR(lifespans_all!R46*DTE_mission_minutes!R46,"-")</f>
        <v>0</v>
      </c>
      <c r="S46" s="105">
        <f>IFERROR(lifespans_all!S46*DTE_mission_minutes!S46,"-")</f>
        <v>0</v>
      </c>
      <c r="T46" s="105">
        <f>IFERROR(lifespans_all!T46*DTE_mission_minutes!T46,"-")</f>
        <v>0</v>
      </c>
      <c r="U46" s="105">
        <f>IFERROR(lifespans_all!U46*DTE_mission_minutes!U46,"-")</f>
        <v>0</v>
      </c>
      <c r="V46" s="105">
        <f>IFERROR(lifespans_all!V46*DTE_mission_minutes!V46,"-")</f>
        <v>0</v>
      </c>
    </row>
    <row r="47" spans="1:22" x14ac:dyDescent="0.25">
      <c r="A47" s="29" t="s">
        <v>37</v>
      </c>
      <c r="B47" s="30" t="s">
        <v>40</v>
      </c>
      <c r="C47" s="105">
        <f>IFERROR(lifespans_all!C47*DTE_mission_minutes!C47,"-")</f>
        <v>2140.4341038095235</v>
      </c>
      <c r="D47" s="105">
        <f>IFERROR(lifespans_all!D47*DTE_mission_minutes!D47,"-")</f>
        <v>2140.4341038095235</v>
      </c>
      <c r="E47" s="105">
        <f>IFERROR(lifespans_all!E47*DTE_mission_minutes!E47,"-")</f>
        <v>0</v>
      </c>
      <c r="F47" s="105">
        <f>IFERROR(lifespans_all!F47*DTE_mission_minutes!F47,"-")</f>
        <v>0</v>
      </c>
      <c r="G47" s="105">
        <f>IFERROR(lifespans_all!G47*DTE_mission_minutes!G47,"-")</f>
        <v>0</v>
      </c>
      <c r="H47" s="105">
        <f>IFERROR(lifespans_all!H47*DTE_mission_minutes!H47,"-")</f>
        <v>0</v>
      </c>
      <c r="I47" s="105">
        <f>IFERROR(lifespans_all!I47*DTE_mission_minutes!I47,"-")</f>
        <v>0</v>
      </c>
      <c r="J47" s="105">
        <f>IFERROR(lifespans_all!J47*DTE_mission_minutes!J47,"-")</f>
        <v>0</v>
      </c>
      <c r="K47" s="105">
        <f>IFERROR(lifespans_all!K47*DTE_mission_minutes!K47,"-")</f>
        <v>0</v>
      </c>
      <c r="L47" s="105">
        <f>IFERROR(lifespans_all!L47*DTE_mission_minutes!L47,"-")</f>
        <v>0</v>
      </c>
      <c r="M47" s="105">
        <f>IFERROR(lifespans_all!M47*DTE_mission_minutes!M47,"-")</f>
        <v>0</v>
      </c>
      <c r="N47" s="105">
        <f>IFERROR(lifespans_all!N47*DTE_mission_minutes!N47,"-")</f>
        <v>0</v>
      </c>
      <c r="O47" s="105">
        <f>IFERROR(lifespans_all!O47*DTE_mission_minutes!O47,"-")</f>
        <v>0</v>
      </c>
      <c r="P47" s="105">
        <f>IFERROR(lifespans_all!P47*DTE_mission_minutes!P47,"-")</f>
        <v>0</v>
      </c>
      <c r="Q47" s="105">
        <f>IFERROR(lifespans_all!Q47*DTE_mission_minutes!Q47,"-")</f>
        <v>0</v>
      </c>
      <c r="R47" s="105">
        <f>IFERROR(lifespans_all!R47*DTE_mission_minutes!R47,"-")</f>
        <v>0</v>
      </c>
      <c r="S47" s="105">
        <f>IFERROR(lifespans_all!S47*DTE_mission_minutes!S47,"-")</f>
        <v>0</v>
      </c>
      <c r="T47" s="105">
        <f>IFERROR(lifespans_all!T47*DTE_mission_minutes!T47,"-")</f>
        <v>0</v>
      </c>
      <c r="U47" s="105">
        <f>IFERROR(lifespans_all!U47*DTE_mission_minutes!U47,"-")</f>
        <v>0</v>
      </c>
      <c r="V47" s="105">
        <f>IFERROR(lifespans_all!V47*DTE_mission_minutes!V47,"-")</f>
        <v>0</v>
      </c>
    </row>
    <row r="48" spans="1:22" x14ac:dyDescent="0.25">
      <c r="A48" s="29" t="s">
        <v>38</v>
      </c>
      <c r="B48" s="30" t="s">
        <v>41</v>
      </c>
      <c r="C48" s="105">
        <f>IFERROR(lifespans_all!C48*DTE_mission_minutes!C48,"-")</f>
        <v>133409.35004928565</v>
      </c>
      <c r="D48" s="105">
        <f>IFERROR(lifespans_all!D48*DTE_mission_minutes!D48,"-")</f>
        <v>0</v>
      </c>
      <c r="E48" s="105">
        <f>IFERROR(lifespans_all!E48*DTE_mission_minutes!E48,"-")</f>
        <v>0</v>
      </c>
      <c r="F48" s="105">
        <f>IFERROR(lifespans_all!F48*DTE_mission_minutes!F48,"-")</f>
        <v>0</v>
      </c>
      <c r="G48" s="105">
        <f>IFERROR(lifespans_all!G48*DTE_mission_minutes!G48,"-")</f>
        <v>0</v>
      </c>
      <c r="H48" s="105">
        <f>IFERROR(lifespans_all!H48*DTE_mission_minutes!H48,"-")</f>
        <v>0</v>
      </c>
      <c r="I48" s="105">
        <f>IFERROR(lifespans_all!I48*DTE_mission_minutes!I48,"-")</f>
        <v>0</v>
      </c>
      <c r="J48" s="105">
        <f>IFERROR(lifespans_all!J48*DTE_mission_minutes!J48,"-")</f>
        <v>0</v>
      </c>
      <c r="K48" s="105">
        <f>IFERROR(lifespans_all!K48*DTE_mission_minutes!K48,"-")</f>
        <v>0</v>
      </c>
      <c r="L48" s="105">
        <f>IFERROR(lifespans_all!L48*DTE_mission_minutes!L48,"-")</f>
        <v>0</v>
      </c>
      <c r="M48" s="105">
        <f>IFERROR(lifespans_all!M48*DTE_mission_minutes!M48,"-")</f>
        <v>0</v>
      </c>
      <c r="N48" s="105">
        <f>IFERROR(lifespans_all!N48*DTE_mission_minutes!N48,"-")</f>
        <v>0</v>
      </c>
      <c r="O48" s="105">
        <f>IFERROR(lifespans_all!O48*DTE_mission_minutes!O48,"-")</f>
        <v>0</v>
      </c>
      <c r="P48" s="105">
        <f>IFERROR(lifespans_all!P48*DTE_mission_minutes!P48,"-")</f>
        <v>0</v>
      </c>
      <c r="Q48" s="105">
        <f>IFERROR(lifespans_all!Q48*DTE_mission_minutes!Q48,"-")</f>
        <v>0</v>
      </c>
      <c r="R48" s="105">
        <f>IFERROR(lifespans_all!R48*DTE_mission_minutes!R48,"-")</f>
        <v>0</v>
      </c>
      <c r="S48" s="105">
        <f>IFERROR(lifespans_all!S48*DTE_mission_minutes!S48,"-")</f>
        <v>0</v>
      </c>
      <c r="T48" s="105">
        <f>IFERROR(lifespans_all!T48*DTE_mission_minutes!T48,"-")</f>
        <v>0</v>
      </c>
      <c r="U48" s="105">
        <f>IFERROR(lifespans_all!U48*DTE_mission_minutes!U48,"-")</f>
        <v>0</v>
      </c>
      <c r="V48" s="105">
        <f>IFERROR(lifespans_all!V48*DTE_mission_minutes!V48,"-")</f>
        <v>0</v>
      </c>
    </row>
    <row r="49" spans="1:22" x14ac:dyDescent="0.25">
      <c r="A49" s="21" t="str">
        <f>DTE_mission_minutes!A49</f>
        <v>New</v>
      </c>
      <c r="B49" s="21" t="str">
        <f>DTE_mission_minutes!B49</f>
        <v>Human Space Flight</v>
      </c>
      <c r="C49" s="105" t="str">
        <f>IFERROR((lifespans_all!C49*DTE_mission_minutes!C49)*POWER(1+(#REF!/100),C$1-2021),"-")</f>
        <v>-</v>
      </c>
      <c r="D49" s="105" t="str">
        <f>IFERROR((lifespans_all!D49*DTE_mission_minutes!D49)*POWER(1+(#REF!/100),D$1-2021),"-")</f>
        <v>-</v>
      </c>
      <c r="E49" s="105" t="str">
        <f>IFERROR((lifespans_all!E49*DTE_mission_minutes!E49)*POWER(1+(#REF!/100),E$1-2021),"-")</f>
        <v>-</v>
      </c>
      <c r="F49" s="105" t="str">
        <f>IFERROR((lifespans_all!F49*DTE_mission_minutes!F49)*POWER(1+(#REF!/100),F$1-2021),"-")</f>
        <v>-</v>
      </c>
      <c r="G49" s="105" t="str">
        <f>IFERROR((lifespans_all!G49*DTE_mission_minutes!G49)*POWER(1+(#REF!/100),G$1-2021),"-")</f>
        <v>-</v>
      </c>
      <c r="H49" s="105" t="str">
        <f>IFERROR((lifespans_all!H49*DTE_mission_minutes!H49)*POWER(1+(#REF!/100),H$1-2021),"-")</f>
        <v>-</v>
      </c>
      <c r="I49" s="105" t="str">
        <f>IFERROR((lifespans_all!I49*DTE_mission_minutes!I49)*POWER(1+(#REF!/100),I$1-2021),"-")</f>
        <v>-</v>
      </c>
      <c r="J49" s="105" t="str">
        <f>IFERROR((lifespans_all!J49*DTE_mission_minutes!J49)*POWER(1+(#REF!/100),J$1-2021),"-")</f>
        <v>-</v>
      </c>
      <c r="K49" s="105" t="str">
        <f>IFERROR((lifespans_all!K49*DTE_mission_minutes!K49)*POWER(1+(#REF!/100),K$1-2021),"-")</f>
        <v>-</v>
      </c>
      <c r="L49" s="105" t="str">
        <f>IFERROR((lifespans_all!L49*DTE_mission_minutes!L49)*POWER(1+(#REF!/100),L$1-2021),"-")</f>
        <v>-</v>
      </c>
      <c r="M49" s="105" t="str">
        <f>IFERROR((lifespans_all!M49*DTE_mission_minutes!M49)*POWER(1+(#REF!/100),M$1-2021),"-")</f>
        <v>-</v>
      </c>
      <c r="N49" s="105" t="str">
        <f>IFERROR((lifespans_all!N49*DTE_mission_minutes!N49)*POWER(1+(#REF!/100),N$1-2021),"-")</f>
        <v>-</v>
      </c>
      <c r="O49" s="105" t="str">
        <f>IFERROR((lifespans_all!O49*DTE_mission_minutes!O49)*POWER(1+(#REF!/100),O$1-2021),"-")</f>
        <v>-</v>
      </c>
      <c r="P49" s="105" t="str">
        <f>IFERROR((lifespans_all!P49*DTE_mission_minutes!P49)*POWER(1+(#REF!/100),P$1-2021),"-")</f>
        <v>-</v>
      </c>
      <c r="Q49" s="105" t="str">
        <f>IFERROR((lifespans_all!Q49*DTE_mission_minutes!Q49)*POWER(1+(#REF!/100),Q$1-2021),"-")</f>
        <v>-</v>
      </c>
      <c r="R49" s="105" t="str">
        <f>IFERROR((lifespans_all!R49*DTE_mission_minutes!R49)*POWER(1+(#REF!/100),R$1-2021),"-")</f>
        <v>-</v>
      </c>
      <c r="S49" s="105" t="str">
        <f>IFERROR((lifespans_all!S49*DTE_mission_minutes!S49)*POWER(1+(#REF!/100),S$1-2021),"-")</f>
        <v>-</v>
      </c>
      <c r="T49" s="105" t="str">
        <f>IFERROR((lifespans_all!T49*DTE_mission_minutes!T49)*POWER(1+(#REF!/100),T$1-2021),"-")</f>
        <v>-</v>
      </c>
      <c r="U49" s="105" t="str">
        <f>IFERROR((lifespans_all!U49*DTE_mission_minutes!U49)*POWER(1+(#REF!/100),U$1-2021),"-")</f>
        <v>-</v>
      </c>
      <c r="V49" s="105" t="str">
        <f>IFERROR((lifespans_all!V49*DTE_mission_minutes!V49)*POWER(1+(#REF!/100),V$1-2021),"-")</f>
        <v>-</v>
      </c>
    </row>
    <row r="50" spans="1:22" x14ac:dyDescent="0.25">
      <c r="A50" s="21" t="str">
        <f>DTE_mission_minutes!A50</f>
        <v>New</v>
      </c>
      <c r="B50" s="21" t="str">
        <f>DTE_mission_minutes!B50</f>
        <v>Near Earth Robotic - LEO Science</v>
      </c>
      <c r="C50" s="105" t="str">
        <f>IFERROR((lifespans_all!C50*DTE_mission_minutes!C50)*POWER(1+(#REF!/100),C$1-2021),"-")</f>
        <v>-</v>
      </c>
      <c r="D50" s="105" t="str">
        <f>IFERROR((lifespans_all!D50*DTE_mission_minutes!D50)*POWER(1+(#REF!/100),D$1-2021),"-")</f>
        <v>-</v>
      </c>
      <c r="E50" s="105" t="str">
        <f>IFERROR((lifespans_all!E50*DTE_mission_minutes!E50)*POWER(1+(#REF!/100),E$1-2021),"-")</f>
        <v>-</v>
      </c>
      <c r="F50" s="105" t="str">
        <f>IFERROR((lifespans_all!F50*DTE_mission_minutes!F50)*POWER(1+(#REF!/100),F$1-2021),"-")</f>
        <v>-</v>
      </c>
      <c r="G50" s="105" t="str">
        <f>IFERROR((lifespans_all!G50*DTE_mission_minutes!G50)*POWER(1+(#REF!/100),G$1-2021),"-")</f>
        <v>-</v>
      </c>
      <c r="H50" s="105" t="str">
        <f>IFERROR((lifespans_all!H50*DTE_mission_minutes!H50)*POWER(1+(#REF!/100),H$1-2021),"-")</f>
        <v>-</v>
      </c>
      <c r="I50" s="105" t="str">
        <f>IFERROR((lifespans_all!I50*DTE_mission_minutes!I50)*POWER(1+(#REF!/100),I$1-2021),"-")</f>
        <v>-</v>
      </c>
      <c r="J50" s="105" t="str">
        <f>IFERROR((lifespans_all!J50*DTE_mission_minutes!J50)*POWER(1+(#REF!/100),J$1-2021),"-")</f>
        <v>-</v>
      </c>
      <c r="K50" s="105" t="str">
        <f>IFERROR((lifespans_all!K50*DTE_mission_minutes!K50)*POWER(1+(#REF!/100),K$1-2021),"-")</f>
        <v>-</v>
      </c>
      <c r="L50" s="105" t="str">
        <f>IFERROR((lifespans_all!L50*DTE_mission_minutes!L50)*POWER(1+(#REF!/100),L$1-2021),"-")</f>
        <v>-</v>
      </c>
      <c r="M50" s="105" t="str">
        <f>IFERROR((lifespans_all!M50*DTE_mission_minutes!M50)*POWER(1+(#REF!/100),M$1-2021),"-")</f>
        <v>-</v>
      </c>
      <c r="N50" s="105" t="str">
        <f>IFERROR((lifespans_all!N50*DTE_mission_minutes!N50)*POWER(1+(#REF!/100),N$1-2021),"-")</f>
        <v>-</v>
      </c>
      <c r="O50" s="105" t="str">
        <f>IFERROR((lifespans_all!O50*DTE_mission_minutes!O50)*POWER(1+(#REF!/100),O$1-2021),"-")</f>
        <v>-</v>
      </c>
      <c r="P50" s="105" t="str">
        <f>IFERROR((lifespans_all!P50*DTE_mission_minutes!P50)*POWER(1+(#REF!/100),P$1-2021),"-")</f>
        <v>-</v>
      </c>
      <c r="Q50" s="105" t="str">
        <f>IFERROR((lifespans_all!Q50*DTE_mission_minutes!Q50)*POWER(1+(#REF!/100),Q$1-2021),"-")</f>
        <v>-</v>
      </c>
      <c r="R50" s="105" t="str">
        <f>IFERROR((lifespans_all!R50*DTE_mission_minutes!R50)*POWER(1+(#REF!/100),R$1-2021),"-")</f>
        <v>-</v>
      </c>
      <c r="S50" s="105" t="str">
        <f>IFERROR((lifespans_all!S50*DTE_mission_minutes!S50)*POWER(1+(#REF!/100),S$1-2021),"-")</f>
        <v>-</v>
      </c>
      <c r="T50" s="105" t="str">
        <f>IFERROR((lifespans_all!T50*DTE_mission_minutes!T50)*POWER(1+(#REF!/100),T$1-2021),"-")</f>
        <v>-</v>
      </c>
      <c r="U50" s="105" t="str">
        <f>IFERROR((lifespans_all!U50*DTE_mission_minutes!U50)*POWER(1+(#REF!/100),U$1-2021),"-")</f>
        <v>-</v>
      </c>
      <c r="V50" s="105" t="str">
        <f>IFERROR((lifespans_all!V50*DTE_mission_minutes!V50)*POWER(1+(#REF!/100),V$1-2021),"-")</f>
        <v>-</v>
      </c>
    </row>
    <row r="51" spans="1:22" x14ac:dyDescent="0.25">
      <c r="A51" s="21" t="str">
        <f>DTE_mission_minutes!A51</f>
        <v>New</v>
      </c>
      <c r="B51" s="21" t="str">
        <f>DTE_mission_minutes!B51</f>
        <v>Near Earth Robotic - GEO and Near Earth</v>
      </c>
      <c r="C51" s="105" t="str">
        <f>IFERROR((lifespans_all!C51*DTE_mission_minutes!C51)*POWER(1+(#REF!/100),C$1-2021),"-")</f>
        <v>-</v>
      </c>
      <c r="D51" s="105" t="str">
        <f>IFERROR((lifespans_all!D51*DTE_mission_minutes!D51)*POWER(1+(#REF!/100),D$1-2021),"-")</f>
        <v>-</v>
      </c>
      <c r="E51" s="105" t="str">
        <f>IFERROR((lifespans_all!E51*DTE_mission_minutes!E51)*POWER(1+(#REF!/100),E$1-2021),"-")</f>
        <v>-</v>
      </c>
      <c r="F51" s="105" t="str">
        <f>IFERROR((lifespans_all!F51*DTE_mission_minutes!F51)*POWER(1+(#REF!/100),F$1-2021),"-")</f>
        <v>-</v>
      </c>
      <c r="G51" s="105" t="str">
        <f>IFERROR((lifespans_all!G51*DTE_mission_minutes!G51)*POWER(1+(#REF!/100),G$1-2021),"-")</f>
        <v>-</v>
      </c>
      <c r="H51" s="105" t="str">
        <f>IFERROR((lifespans_all!H51*DTE_mission_minutes!H51)*POWER(1+(#REF!/100),H$1-2021),"-")</f>
        <v>-</v>
      </c>
      <c r="I51" s="105" t="str">
        <f>IFERROR((lifespans_all!I51*DTE_mission_minutes!I51)*POWER(1+(#REF!/100),I$1-2021),"-")</f>
        <v>-</v>
      </c>
      <c r="J51" s="105" t="str">
        <f>IFERROR((lifespans_all!J51*DTE_mission_minutes!J51)*POWER(1+(#REF!/100),J$1-2021),"-")</f>
        <v>-</v>
      </c>
      <c r="K51" s="105" t="str">
        <f>IFERROR((lifespans_all!K51*DTE_mission_minutes!K51)*POWER(1+(#REF!/100),K$1-2021),"-")</f>
        <v>-</v>
      </c>
      <c r="L51" s="105" t="str">
        <f>IFERROR((lifespans_all!L51*DTE_mission_minutes!L51)*POWER(1+(#REF!/100),L$1-2021),"-")</f>
        <v>-</v>
      </c>
      <c r="M51" s="105" t="str">
        <f>IFERROR((lifespans_all!M51*DTE_mission_minutes!M51)*POWER(1+(#REF!/100),M$1-2021),"-")</f>
        <v>-</v>
      </c>
      <c r="N51" s="105" t="str">
        <f>IFERROR((lifespans_all!N51*DTE_mission_minutes!N51)*POWER(1+(#REF!/100),N$1-2021),"-")</f>
        <v>-</v>
      </c>
      <c r="O51" s="105" t="str">
        <f>IFERROR((lifespans_all!O51*DTE_mission_minutes!O51)*POWER(1+(#REF!/100),O$1-2021),"-")</f>
        <v>-</v>
      </c>
      <c r="P51" s="105" t="str">
        <f>IFERROR((lifespans_all!P51*DTE_mission_minutes!P51)*POWER(1+(#REF!/100),P$1-2021),"-")</f>
        <v>-</v>
      </c>
      <c r="Q51" s="105" t="str">
        <f>IFERROR((lifespans_all!Q51*DTE_mission_minutes!Q51)*POWER(1+(#REF!/100),Q$1-2021),"-")</f>
        <v>-</v>
      </c>
      <c r="R51" s="105" t="str">
        <f>IFERROR((lifespans_all!R51*DTE_mission_minutes!R51)*POWER(1+(#REF!/100),R$1-2021),"-")</f>
        <v>-</v>
      </c>
      <c r="S51" s="105" t="str">
        <f>IFERROR((lifespans_all!S51*DTE_mission_minutes!S51)*POWER(1+(#REF!/100),S$1-2021),"-")</f>
        <v>-</v>
      </c>
      <c r="T51" s="105" t="str">
        <f>IFERROR((lifespans_all!T51*DTE_mission_minutes!T51)*POWER(1+(#REF!/100),T$1-2021),"-")</f>
        <v>-</v>
      </c>
      <c r="U51" s="105" t="str">
        <f>IFERROR((lifespans_all!U51*DTE_mission_minutes!U51)*POWER(1+(#REF!/100),U$1-2021),"-")</f>
        <v>-</v>
      </c>
      <c r="V51" s="105" t="str">
        <f>IFERROR((lifespans_all!V51*DTE_mission_minutes!V51)*POWER(1+(#REF!/100),V$1-2021),"-")</f>
        <v>-</v>
      </c>
    </row>
    <row r="52" spans="1:22" x14ac:dyDescent="0.25">
      <c r="A52" s="21" t="str">
        <f>DTE_mission_minutes!A52</f>
        <v>New</v>
      </c>
      <c r="B52" s="21" t="str">
        <f>DTE_mission_minutes!B52</f>
        <v>Deep Space Robotic</v>
      </c>
      <c r="C52" s="105" t="str">
        <f>IFERROR((lifespans_all!C52*DTE_mission_minutes!C52)*POWER(1+(#REF!/100),C$1-2021),"-")</f>
        <v>-</v>
      </c>
      <c r="D52" s="105" t="str">
        <f>IFERROR((lifespans_all!D52*DTE_mission_minutes!D52)*POWER(1+(#REF!/100),D$1-2021),"-")</f>
        <v>-</v>
      </c>
      <c r="E52" s="105" t="str">
        <f>IFERROR((lifespans_all!E52*DTE_mission_minutes!E52)*POWER(1+(#REF!/100),E$1-2021),"-")</f>
        <v>-</v>
      </c>
      <c r="F52" s="105" t="str">
        <f>IFERROR((lifespans_all!F52*DTE_mission_minutes!F52)*POWER(1+(#REF!/100),F$1-2021),"-")</f>
        <v>-</v>
      </c>
      <c r="G52" s="105" t="str">
        <f>IFERROR((lifespans_all!G52*DTE_mission_minutes!G52)*POWER(1+(#REF!/100),G$1-2021),"-")</f>
        <v>-</v>
      </c>
      <c r="H52" s="105" t="str">
        <f>IFERROR((lifespans_all!H52*DTE_mission_minutes!H52)*POWER(1+(#REF!/100),H$1-2021),"-")</f>
        <v>-</v>
      </c>
      <c r="I52" s="105" t="str">
        <f>IFERROR((lifespans_all!I52*DTE_mission_minutes!I52)*POWER(1+(#REF!/100),I$1-2021),"-")</f>
        <v>-</v>
      </c>
      <c r="J52" s="105" t="str">
        <f>IFERROR((lifespans_all!J52*DTE_mission_minutes!J52)*POWER(1+(#REF!/100),J$1-2021),"-")</f>
        <v>-</v>
      </c>
      <c r="K52" s="105" t="str">
        <f>IFERROR((lifespans_all!K52*DTE_mission_minutes!K52)*POWER(1+(#REF!/100),K$1-2021),"-")</f>
        <v>-</v>
      </c>
      <c r="L52" s="105" t="str">
        <f>IFERROR((lifespans_all!L52*DTE_mission_minutes!L52)*POWER(1+(#REF!/100),L$1-2021),"-")</f>
        <v>-</v>
      </c>
      <c r="M52" s="105" t="str">
        <f>IFERROR((lifespans_all!M52*DTE_mission_minutes!M52)*POWER(1+(#REF!/100),M$1-2021),"-")</f>
        <v>-</v>
      </c>
      <c r="N52" s="105" t="str">
        <f>IFERROR((lifespans_all!N52*DTE_mission_minutes!N52)*POWER(1+(#REF!/100),N$1-2021),"-")</f>
        <v>-</v>
      </c>
      <c r="O52" s="105" t="str">
        <f>IFERROR((lifespans_all!O52*DTE_mission_minutes!O52)*POWER(1+(#REF!/100),O$1-2021),"-")</f>
        <v>-</v>
      </c>
      <c r="P52" s="105" t="str">
        <f>IFERROR((lifespans_all!P52*DTE_mission_minutes!P52)*POWER(1+(#REF!/100),P$1-2021),"-")</f>
        <v>-</v>
      </c>
      <c r="Q52" s="105" t="str">
        <f>IFERROR((lifespans_all!Q52*DTE_mission_minutes!Q52)*POWER(1+(#REF!/100),Q$1-2021),"-")</f>
        <v>-</v>
      </c>
      <c r="R52" s="105" t="str">
        <f>IFERROR((lifespans_all!R52*DTE_mission_minutes!R52)*POWER(1+(#REF!/100),R$1-2021),"-")</f>
        <v>-</v>
      </c>
      <c r="S52" s="105" t="str">
        <f>IFERROR((lifespans_all!S52*DTE_mission_minutes!S52)*POWER(1+(#REF!/100),S$1-2021),"-")</f>
        <v>-</v>
      </c>
      <c r="T52" s="105" t="str">
        <f>IFERROR((lifespans_all!T52*DTE_mission_minutes!T52)*POWER(1+(#REF!/100),T$1-2021),"-")</f>
        <v>-</v>
      </c>
      <c r="U52" s="105" t="str">
        <f>IFERROR((lifespans_all!U52*DTE_mission_minutes!U52)*POWER(1+(#REF!/100),U$1-2021),"-")</f>
        <v>-</v>
      </c>
      <c r="V52" s="105" t="str">
        <f>IFERROR((lifespans_all!V52*DTE_mission_minutes!V52)*POWER(1+(#REF!/100),V$1-2021),"-")</f>
        <v>-</v>
      </c>
    </row>
    <row r="53" spans="1:22" x14ac:dyDescent="0.25">
      <c r="A53" s="21" t="str">
        <f>DTE_mission_minutes!A53</f>
        <v>New</v>
      </c>
      <c r="B53" s="21" t="str">
        <f>DTE_mission_minutes!B53</f>
        <v>Near Earth Robotic - Low Latency &amp; Complex Needs</v>
      </c>
      <c r="C53" s="105" t="str">
        <f>IFERROR((lifespans_all!C53*DTE_mission_minutes!C53)*POWER(1+(#REF!/100),C$1-2021),"-")</f>
        <v>-</v>
      </c>
      <c r="D53" s="105" t="str">
        <f>IFERROR((lifespans_all!D53*DTE_mission_minutes!D53)*POWER(1+(#REF!/100),D$1-2021),"-")</f>
        <v>-</v>
      </c>
      <c r="E53" s="105" t="str">
        <f>IFERROR((lifespans_all!E53*DTE_mission_minutes!E53)*POWER(1+(#REF!/100),E$1-2021),"-")</f>
        <v>-</v>
      </c>
      <c r="F53" s="105" t="str">
        <f>IFERROR((lifespans_all!F53*DTE_mission_minutes!F53)*POWER(1+(#REF!/100),F$1-2021),"-")</f>
        <v>-</v>
      </c>
      <c r="G53" s="105" t="str">
        <f>IFERROR((lifespans_all!G53*DTE_mission_minutes!G53)*POWER(1+(#REF!/100),G$1-2021),"-")</f>
        <v>-</v>
      </c>
      <c r="H53" s="105" t="str">
        <f>IFERROR((lifespans_all!H53*DTE_mission_minutes!H53)*POWER(1+(#REF!/100),H$1-2021),"-")</f>
        <v>-</v>
      </c>
      <c r="I53" s="105" t="str">
        <f>IFERROR((lifespans_all!I53*DTE_mission_minutes!I53)*POWER(1+(#REF!/100),I$1-2021),"-")</f>
        <v>-</v>
      </c>
      <c r="J53" s="105" t="str">
        <f>IFERROR((lifespans_all!J53*DTE_mission_minutes!J53)*POWER(1+(#REF!/100),J$1-2021),"-")</f>
        <v>-</v>
      </c>
      <c r="K53" s="105" t="str">
        <f>IFERROR((lifespans_all!K53*DTE_mission_minutes!K53)*POWER(1+(#REF!/100),K$1-2021),"-")</f>
        <v>-</v>
      </c>
      <c r="L53" s="105" t="str">
        <f>IFERROR((lifespans_all!L53*DTE_mission_minutes!L53)*POWER(1+(#REF!/100),L$1-2021),"-")</f>
        <v>-</v>
      </c>
      <c r="M53" s="105" t="str">
        <f>IFERROR((lifespans_all!M53*DTE_mission_minutes!M53)*POWER(1+(#REF!/100),M$1-2021),"-")</f>
        <v>-</v>
      </c>
      <c r="N53" s="105" t="str">
        <f>IFERROR((lifespans_all!N53*DTE_mission_minutes!N53)*POWER(1+(#REF!/100),N$1-2021),"-")</f>
        <v>-</v>
      </c>
      <c r="O53" s="105" t="str">
        <f>IFERROR((lifespans_all!O53*DTE_mission_minutes!O53)*POWER(1+(#REF!/100),O$1-2021),"-")</f>
        <v>-</v>
      </c>
      <c r="P53" s="105" t="str">
        <f>IFERROR((lifespans_all!P53*DTE_mission_minutes!P53)*POWER(1+(#REF!/100),P$1-2021),"-")</f>
        <v>-</v>
      </c>
      <c r="Q53" s="105" t="str">
        <f>IFERROR((lifespans_all!Q53*DTE_mission_minutes!Q53)*POWER(1+(#REF!/100),Q$1-2021),"-")</f>
        <v>-</v>
      </c>
      <c r="R53" s="105" t="str">
        <f>IFERROR((lifespans_all!R53*DTE_mission_minutes!R53)*POWER(1+(#REF!/100),R$1-2021),"-")</f>
        <v>-</v>
      </c>
      <c r="S53" s="105" t="str">
        <f>IFERROR((lifespans_all!S53*DTE_mission_minutes!S53)*POWER(1+(#REF!/100),S$1-2021),"-")</f>
        <v>-</v>
      </c>
      <c r="T53" s="105" t="str">
        <f>IFERROR((lifespans_all!T53*DTE_mission_minutes!T53)*POWER(1+(#REF!/100),T$1-2021),"-")</f>
        <v>-</v>
      </c>
      <c r="U53" s="105" t="str">
        <f>IFERROR((lifespans_all!U53*DTE_mission_minutes!U53)*POWER(1+(#REF!/100),U$1-2021),"-")</f>
        <v>-</v>
      </c>
      <c r="V53" s="105" t="str">
        <f>IFERROR((lifespans_all!V53*DTE_mission_minutes!V53)*POWER(1+(#REF!/100),V$1-2021),"-")</f>
        <v>-</v>
      </c>
    </row>
    <row r="54" spans="1:22" x14ac:dyDescent="0.25">
      <c r="A54" s="21" t="str">
        <f>DTE_mission_minutes!A54</f>
        <v>New</v>
      </c>
      <c r="B54" s="21" t="str">
        <f>DTE_mission_minutes!B54</f>
        <v>Mission Operations</v>
      </c>
      <c r="C54" s="105" t="str">
        <f>IFERROR((lifespans_all!C54*DTE_mission_minutes!C54)*POWER(1+(#REF!/100),C$1-2021),"-")</f>
        <v>-</v>
      </c>
      <c r="D54" s="105" t="str">
        <f>IFERROR((lifespans_all!D54*DTE_mission_minutes!D54)*POWER(1+(#REF!/100),D$1-2021),"-")</f>
        <v>-</v>
      </c>
      <c r="E54" s="105" t="str">
        <f>IFERROR((lifespans_all!E54*DTE_mission_minutes!E54)*POWER(1+(#REF!/100),E$1-2021),"-")</f>
        <v>-</v>
      </c>
      <c r="F54" s="105" t="str">
        <f>IFERROR((lifespans_all!F54*DTE_mission_minutes!F54)*POWER(1+(#REF!/100),F$1-2021),"-")</f>
        <v>-</v>
      </c>
      <c r="G54" s="105" t="str">
        <f>IFERROR((lifespans_all!G54*DTE_mission_minutes!G54)*POWER(1+(#REF!/100),G$1-2021),"-")</f>
        <v>-</v>
      </c>
      <c r="H54" s="105" t="str">
        <f>IFERROR((lifespans_all!H54*DTE_mission_minutes!H54)*POWER(1+(#REF!/100),H$1-2021),"-")</f>
        <v>-</v>
      </c>
      <c r="I54" s="105" t="str">
        <f>IFERROR((lifespans_all!I54*DTE_mission_minutes!I54)*POWER(1+(#REF!/100),I$1-2021),"-")</f>
        <v>-</v>
      </c>
      <c r="J54" s="105" t="str">
        <f>IFERROR((lifespans_all!J54*DTE_mission_minutes!J54)*POWER(1+(#REF!/100),J$1-2021),"-")</f>
        <v>-</v>
      </c>
      <c r="K54" s="105" t="str">
        <f>IFERROR((lifespans_all!K54*DTE_mission_minutes!K54)*POWER(1+(#REF!/100),K$1-2021),"-")</f>
        <v>-</v>
      </c>
      <c r="L54" s="105" t="str">
        <f>IFERROR((lifespans_all!L54*DTE_mission_minutes!L54)*POWER(1+(#REF!/100),L$1-2021),"-")</f>
        <v>-</v>
      </c>
      <c r="M54" s="105" t="str">
        <f>IFERROR((lifespans_all!M54*DTE_mission_minutes!M54)*POWER(1+(#REF!/100),M$1-2021),"-")</f>
        <v>-</v>
      </c>
      <c r="N54" s="105" t="str">
        <f>IFERROR((lifespans_all!N54*DTE_mission_minutes!N54)*POWER(1+(#REF!/100),N$1-2021),"-")</f>
        <v>-</v>
      </c>
      <c r="O54" s="105" t="str">
        <f>IFERROR((lifespans_all!O54*DTE_mission_minutes!O54)*POWER(1+(#REF!/100),O$1-2021),"-")</f>
        <v>-</v>
      </c>
      <c r="P54" s="105" t="str">
        <f>IFERROR((lifespans_all!P54*DTE_mission_minutes!P54)*POWER(1+(#REF!/100),P$1-2021),"-")</f>
        <v>-</v>
      </c>
      <c r="Q54" s="105" t="str">
        <f>IFERROR((lifespans_all!Q54*DTE_mission_minutes!Q54)*POWER(1+(#REF!/100),Q$1-2021),"-")</f>
        <v>-</v>
      </c>
      <c r="R54" s="105" t="str">
        <f>IFERROR((lifespans_all!R54*DTE_mission_minutes!R54)*POWER(1+(#REF!/100),R$1-2021),"-")</f>
        <v>-</v>
      </c>
      <c r="S54" s="105" t="str">
        <f>IFERROR((lifespans_all!S54*DTE_mission_minutes!S54)*POWER(1+(#REF!/100),S$1-2021),"-")</f>
        <v>-</v>
      </c>
      <c r="T54" s="105" t="str">
        <f>IFERROR((lifespans_all!T54*DTE_mission_minutes!T54)*POWER(1+(#REF!/100),T$1-2021),"-")</f>
        <v>-</v>
      </c>
      <c r="U54" s="105" t="str">
        <f>IFERROR((lifespans_all!U54*DTE_mission_minutes!U54)*POWER(1+(#REF!/100),U$1-2021),"-")</f>
        <v>-</v>
      </c>
      <c r="V54" s="105" t="str">
        <f>IFERROR((lifespans_all!V54*DTE_mission_minutes!V54)*POWER(1+(#REF!/100),V$1-2021),"-")</f>
        <v>-</v>
      </c>
    </row>
    <row r="55" spans="1:22" x14ac:dyDescent="0.25">
      <c r="A55" s="21" t="str">
        <f>DTE_mission_minutes!A55</f>
        <v>New</v>
      </c>
      <c r="B55" s="21" t="str">
        <f>DTE_mission_minutes!B55</f>
        <v>Launch Events</v>
      </c>
      <c r="C55" s="105" t="str">
        <f>IFERROR((lifespans_all!C55*DTE_mission_minutes!C55)*POWER(1+(#REF!/100),C$1-2021),"-")</f>
        <v>-</v>
      </c>
      <c r="D55" s="105" t="str">
        <f>IFERROR((lifespans_all!D55*DTE_mission_minutes!D55)*POWER(1+(#REF!/100),D$1-2021),"-")</f>
        <v>-</v>
      </c>
      <c r="E55" s="105" t="str">
        <f>IFERROR((lifespans_all!E55*DTE_mission_minutes!E55)*POWER(1+(#REF!/100),E$1-2021),"-")</f>
        <v>-</v>
      </c>
      <c r="F55" s="105" t="str">
        <f>IFERROR((lifespans_all!F55*DTE_mission_minutes!F55)*POWER(1+(#REF!/100),F$1-2021),"-")</f>
        <v>-</v>
      </c>
      <c r="G55" s="105" t="str">
        <f>IFERROR((lifespans_all!G55*DTE_mission_minutes!G55)*POWER(1+(#REF!/100),G$1-2021),"-")</f>
        <v>-</v>
      </c>
      <c r="H55" s="105" t="str">
        <f>IFERROR((lifespans_all!H55*DTE_mission_minutes!H55)*POWER(1+(#REF!/100),H$1-2021),"-")</f>
        <v>-</v>
      </c>
      <c r="I55" s="105" t="str">
        <f>IFERROR((lifespans_all!I55*DTE_mission_minutes!I55)*POWER(1+(#REF!/100),I$1-2021),"-")</f>
        <v>-</v>
      </c>
      <c r="J55" s="105" t="str">
        <f>IFERROR((lifespans_all!J55*DTE_mission_minutes!J55)*POWER(1+(#REF!/100),J$1-2021),"-")</f>
        <v>-</v>
      </c>
      <c r="K55" s="105" t="str">
        <f>IFERROR((lifespans_all!K55*DTE_mission_minutes!K55)*POWER(1+(#REF!/100),K$1-2021),"-")</f>
        <v>-</v>
      </c>
      <c r="L55" s="105" t="str">
        <f>IFERROR((lifespans_all!L55*DTE_mission_minutes!L55)*POWER(1+(#REF!/100),L$1-2021),"-")</f>
        <v>-</v>
      </c>
      <c r="M55" s="105" t="str">
        <f>IFERROR((lifespans_all!M55*DTE_mission_minutes!M55)*POWER(1+(#REF!/100),M$1-2021),"-")</f>
        <v>-</v>
      </c>
      <c r="N55" s="105" t="str">
        <f>IFERROR((lifespans_all!N55*DTE_mission_minutes!N55)*POWER(1+(#REF!/100),N$1-2021),"-")</f>
        <v>-</v>
      </c>
      <c r="O55" s="105" t="str">
        <f>IFERROR((lifespans_all!O55*DTE_mission_minutes!O55)*POWER(1+(#REF!/100),O$1-2021),"-")</f>
        <v>-</v>
      </c>
      <c r="P55" s="105" t="str">
        <f>IFERROR((lifespans_all!P55*DTE_mission_minutes!P55)*POWER(1+(#REF!/100),P$1-2021),"-")</f>
        <v>-</v>
      </c>
      <c r="Q55" s="105" t="str">
        <f>IFERROR((lifespans_all!Q55*DTE_mission_minutes!Q55)*POWER(1+(#REF!/100),Q$1-2021),"-")</f>
        <v>-</v>
      </c>
      <c r="R55" s="105" t="str">
        <f>IFERROR((lifespans_all!R55*DTE_mission_minutes!R55)*POWER(1+(#REF!/100),R$1-2021),"-")</f>
        <v>-</v>
      </c>
      <c r="S55" s="105" t="str">
        <f>IFERROR((lifespans_all!S55*DTE_mission_minutes!S55)*POWER(1+(#REF!/100),S$1-2021),"-")</f>
        <v>-</v>
      </c>
      <c r="T55" s="105" t="str">
        <f>IFERROR((lifespans_all!T55*DTE_mission_minutes!T55)*POWER(1+(#REF!/100),T$1-2021),"-")</f>
        <v>-</v>
      </c>
      <c r="U55" s="105" t="str">
        <f>IFERROR((lifespans_all!U55*DTE_mission_minutes!U55)*POWER(1+(#REF!/100),U$1-2021),"-")</f>
        <v>-</v>
      </c>
      <c r="V55" s="105" t="str">
        <f>IFERROR((lifespans_all!V55*DTE_mission_minutes!V55)*POWER(1+(#REF!/100),V$1-2021),"-")</f>
        <v>-</v>
      </c>
    </row>
    <row r="56" spans="1:22" x14ac:dyDescent="0.25">
      <c r="A56" s="21" t="str">
        <f>DTE_mission_minutes!A56</f>
        <v>New</v>
      </c>
      <c r="B56" s="21" t="str">
        <f>DTE_mission_minutes!B56</f>
        <v>Terrestrial &amp; Aerial</v>
      </c>
      <c r="C56" s="105" t="str">
        <f>IFERROR((lifespans_all!C56*DTE_mission_minutes!C56)*POWER(1+(#REF!/100),C$1-2021),"-")</f>
        <v>-</v>
      </c>
      <c r="D56" s="105" t="str">
        <f>IFERROR((lifespans_all!D56*DTE_mission_minutes!D56)*POWER(1+(#REF!/100),D$1-2021),"-")</f>
        <v>-</v>
      </c>
      <c r="E56" s="105" t="str">
        <f>IFERROR((lifespans_all!E56*DTE_mission_minutes!E56)*POWER(1+(#REF!/100),E$1-2021),"-")</f>
        <v>-</v>
      </c>
      <c r="F56" s="105" t="str">
        <f>IFERROR((lifespans_all!F56*DTE_mission_minutes!F56)*POWER(1+(#REF!/100),F$1-2021),"-")</f>
        <v>-</v>
      </c>
      <c r="G56" s="105" t="str">
        <f>IFERROR((lifespans_all!G56*DTE_mission_minutes!G56)*POWER(1+(#REF!/100),G$1-2021),"-")</f>
        <v>-</v>
      </c>
      <c r="H56" s="105" t="str">
        <f>IFERROR((lifespans_all!H56*DTE_mission_minutes!H56)*POWER(1+(#REF!/100),H$1-2021),"-")</f>
        <v>-</v>
      </c>
      <c r="I56" s="105" t="str">
        <f>IFERROR((lifespans_all!I56*DTE_mission_minutes!I56)*POWER(1+(#REF!/100),I$1-2021),"-")</f>
        <v>-</v>
      </c>
      <c r="J56" s="105" t="str">
        <f>IFERROR((lifespans_all!J56*DTE_mission_minutes!J56)*POWER(1+(#REF!/100),J$1-2021),"-")</f>
        <v>-</v>
      </c>
      <c r="K56" s="105" t="str">
        <f>IFERROR((lifespans_all!K56*DTE_mission_minutes!K56)*POWER(1+(#REF!/100),K$1-2021),"-")</f>
        <v>-</v>
      </c>
      <c r="L56" s="105" t="str">
        <f>IFERROR((lifespans_all!L56*DTE_mission_minutes!L56)*POWER(1+(#REF!/100),L$1-2021),"-")</f>
        <v>-</v>
      </c>
      <c r="M56" s="105" t="str">
        <f>IFERROR((lifespans_all!M56*DTE_mission_minutes!M56)*POWER(1+(#REF!/100),M$1-2021),"-")</f>
        <v>-</v>
      </c>
      <c r="N56" s="105" t="str">
        <f>IFERROR((lifespans_all!N56*DTE_mission_minutes!N56)*POWER(1+(#REF!/100),N$1-2021),"-")</f>
        <v>-</v>
      </c>
      <c r="O56" s="105" t="str">
        <f>IFERROR((lifespans_all!O56*DTE_mission_minutes!O56)*POWER(1+(#REF!/100),O$1-2021),"-")</f>
        <v>-</v>
      </c>
      <c r="P56" s="105" t="str">
        <f>IFERROR((lifespans_all!P56*DTE_mission_minutes!P56)*POWER(1+(#REF!/100),P$1-2021),"-")</f>
        <v>-</v>
      </c>
      <c r="Q56" s="105" t="str">
        <f>IFERROR((lifespans_all!Q56*DTE_mission_minutes!Q56)*POWER(1+(#REF!/100),Q$1-2021),"-")</f>
        <v>-</v>
      </c>
      <c r="R56" s="105" t="str">
        <f>IFERROR((lifespans_all!R56*DTE_mission_minutes!R56)*POWER(1+(#REF!/100),R$1-2021),"-")</f>
        <v>-</v>
      </c>
      <c r="S56" s="105" t="str">
        <f>IFERROR((lifespans_all!S56*DTE_mission_minutes!S56)*POWER(1+(#REF!/100),S$1-2021),"-")</f>
        <v>-</v>
      </c>
      <c r="T56" s="105" t="str">
        <f>IFERROR((lifespans_all!T56*DTE_mission_minutes!T56)*POWER(1+(#REF!/100),T$1-2021),"-")</f>
        <v>-</v>
      </c>
      <c r="U56" s="105" t="str">
        <f>IFERROR((lifespans_all!U56*DTE_mission_minutes!U56)*POWER(1+(#REF!/100),U$1-2021),"-")</f>
        <v>-</v>
      </c>
      <c r="V56" s="105" t="str">
        <f>IFERROR((lifespans_all!V56*DTE_mission_minutes!V56)*POWER(1+(#REF!/100),V$1-2021),"-")</f>
        <v>-</v>
      </c>
    </row>
    <row r="57" spans="1:22" x14ac:dyDescent="0.25">
      <c r="C57" s="2"/>
      <c r="D57" s="2"/>
      <c r="E57" s="2"/>
      <c r="F57" s="2"/>
      <c r="G57" s="2"/>
      <c r="H57" s="2"/>
      <c r="I57" s="2"/>
      <c r="J57" s="2"/>
      <c r="K57" s="2"/>
      <c r="L57" s="2"/>
      <c r="M57" s="2"/>
      <c r="N57" s="2"/>
      <c r="O57" s="2"/>
      <c r="P57" s="2"/>
      <c r="Q57" s="2"/>
      <c r="R57" s="2"/>
      <c r="S57" s="2"/>
      <c r="T57" s="2"/>
      <c r="U57" s="2"/>
      <c r="V57" s="2"/>
    </row>
    <row r="58" spans="1:22" x14ac:dyDescent="0.25">
      <c r="C58" s="23">
        <f t="shared" ref="C58:V58" si="0">SUM(C2:C56)</f>
        <v>1752490.7143116661</v>
      </c>
      <c r="D58" s="23">
        <f t="shared" si="0"/>
        <v>1484345.8994103172</v>
      </c>
      <c r="E58" s="23">
        <f t="shared" si="0"/>
        <v>1340904.3555357142</v>
      </c>
      <c r="F58" s="23">
        <f t="shared" si="0"/>
        <v>1077474.1436682539</v>
      </c>
      <c r="G58" s="23">
        <f t="shared" si="0"/>
        <v>1075186.4077471427</v>
      </c>
      <c r="H58" s="23">
        <f t="shared" si="0"/>
        <v>936868.51792507921</v>
      </c>
      <c r="I58" s="23">
        <f t="shared" si="0"/>
        <v>801695.03898690466</v>
      </c>
      <c r="J58" s="23">
        <f t="shared" si="0"/>
        <v>797898.18758468248</v>
      </c>
      <c r="K58" s="23">
        <f t="shared" si="0"/>
        <v>797898.18758468248</v>
      </c>
      <c r="L58" s="23">
        <f t="shared" si="0"/>
        <v>797898.18758468248</v>
      </c>
      <c r="M58" s="23">
        <f t="shared" si="0"/>
        <v>789277.16085634916</v>
      </c>
      <c r="N58" s="23">
        <f t="shared" si="0"/>
        <v>789277.16085634916</v>
      </c>
      <c r="O58" s="23">
        <f t="shared" si="0"/>
        <v>789277.16085634916</v>
      </c>
      <c r="P58" s="23">
        <f t="shared" si="0"/>
        <v>789277.16085634916</v>
      </c>
      <c r="Q58" s="23">
        <f t="shared" si="0"/>
        <v>789277.16085634916</v>
      </c>
      <c r="R58" s="23">
        <f t="shared" si="0"/>
        <v>789277.16085634916</v>
      </c>
      <c r="S58" s="23">
        <f t="shared" si="0"/>
        <v>789277.16085634916</v>
      </c>
      <c r="T58" s="23">
        <f t="shared" si="0"/>
        <v>789277.16085634916</v>
      </c>
      <c r="U58" s="23">
        <f t="shared" si="0"/>
        <v>789277.16085634916</v>
      </c>
      <c r="V58" s="23">
        <f t="shared" si="0"/>
        <v>789277.16085634916</v>
      </c>
    </row>
    <row r="60" spans="1:22" ht="14.4" thickBot="1" x14ac:dyDescent="0.3">
      <c r="B60" s="2" t="s">
        <v>7</v>
      </c>
      <c r="L60" s="46"/>
      <c r="M60" s="46"/>
    </row>
    <row r="61" spans="1:22" x14ac:dyDescent="0.25">
      <c r="B61" s="54" t="s">
        <v>82</v>
      </c>
      <c r="C61" s="74">
        <f>C1</f>
        <v>2021</v>
      </c>
      <c r="D61" s="74">
        <f t="shared" ref="D61:V61" si="1">D1</f>
        <v>2022</v>
      </c>
      <c r="E61" s="74">
        <f t="shared" si="1"/>
        <v>2023</v>
      </c>
      <c r="F61" s="74">
        <f t="shared" si="1"/>
        <v>2024</v>
      </c>
      <c r="G61" s="74">
        <f t="shared" si="1"/>
        <v>2025</v>
      </c>
      <c r="H61" s="74">
        <f t="shared" si="1"/>
        <v>2026</v>
      </c>
      <c r="I61" s="74">
        <f t="shared" si="1"/>
        <v>2027</v>
      </c>
      <c r="J61" s="74">
        <f t="shared" si="1"/>
        <v>2028</v>
      </c>
      <c r="K61" s="74">
        <f t="shared" si="1"/>
        <v>2029</v>
      </c>
      <c r="L61" s="74">
        <f t="shared" si="1"/>
        <v>2030</v>
      </c>
      <c r="M61" s="74">
        <f t="shared" si="1"/>
        <v>2031</v>
      </c>
      <c r="N61" s="74">
        <f t="shared" si="1"/>
        <v>2032</v>
      </c>
      <c r="O61" s="74">
        <f t="shared" si="1"/>
        <v>2033</v>
      </c>
      <c r="P61" s="74">
        <f t="shared" si="1"/>
        <v>2034</v>
      </c>
      <c r="Q61" s="74">
        <f t="shared" si="1"/>
        <v>2035</v>
      </c>
      <c r="R61" s="74">
        <f t="shared" si="1"/>
        <v>2036</v>
      </c>
      <c r="S61" s="74">
        <f t="shared" si="1"/>
        <v>2037</v>
      </c>
      <c r="T61" s="74">
        <f t="shared" si="1"/>
        <v>2038</v>
      </c>
      <c r="U61" s="74">
        <f t="shared" si="1"/>
        <v>2039</v>
      </c>
      <c r="V61" s="74">
        <f t="shared" si="1"/>
        <v>2040</v>
      </c>
    </row>
    <row r="62" spans="1:22" x14ac:dyDescent="0.25">
      <c r="B62" s="33" t="s">
        <v>43</v>
      </c>
      <c r="C62" s="34">
        <f>SUMIF($B2:$B56,$B62,C$2:C$56)</f>
        <v>695225.26900166669</v>
      </c>
      <c r="D62" s="34">
        <f t="shared" ref="D62:V62" si="2">SUMIF($B2:$B56,$B62,D$2:D$56)</f>
        <v>694952.65458500001</v>
      </c>
      <c r="E62" s="34">
        <f t="shared" si="2"/>
        <v>693704.46733777772</v>
      </c>
      <c r="F62" s="34">
        <f t="shared" si="2"/>
        <v>694910.20989944437</v>
      </c>
      <c r="G62" s="34">
        <f t="shared" si="2"/>
        <v>694910.20989944437</v>
      </c>
      <c r="H62" s="34">
        <f t="shared" si="2"/>
        <v>694910.20989944437</v>
      </c>
      <c r="I62" s="34">
        <f t="shared" si="2"/>
        <v>694910.20989944437</v>
      </c>
      <c r="J62" s="34">
        <f t="shared" si="2"/>
        <v>694910.20989944437</v>
      </c>
      <c r="K62" s="34">
        <f t="shared" si="2"/>
        <v>694910.20989944437</v>
      </c>
      <c r="L62" s="34">
        <f t="shared" si="2"/>
        <v>694910.20989944437</v>
      </c>
      <c r="M62" s="34">
        <f t="shared" si="2"/>
        <v>686289.18317111104</v>
      </c>
      <c r="N62" s="34">
        <f t="shared" si="2"/>
        <v>686289.18317111104</v>
      </c>
      <c r="O62" s="34">
        <f t="shared" si="2"/>
        <v>686289.18317111104</v>
      </c>
      <c r="P62" s="34">
        <f t="shared" si="2"/>
        <v>686289.18317111104</v>
      </c>
      <c r="Q62" s="34">
        <f t="shared" si="2"/>
        <v>686289.18317111104</v>
      </c>
      <c r="R62" s="34">
        <f t="shared" si="2"/>
        <v>686289.18317111104</v>
      </c>
      <c r="S62" s="34">
        <f t="shared" si="2"/>
        <v>686289.18317111104</v>
      </c>
      <c r="T62" s="34">
        <f t="shared" si="2"/>
        <v>686289.18317111104</v>
      </c>
      <c r="U62" s="34">
        <f t="shared" si="2"/>
        <v>686289.18317111104</v>
      </c>
      <c r="V62" s="34">
        <f t="shared" si="2"/>
        <v>686289.18317111104</v>
      </c>
    </row>
    <row r="63" spans="1:22" x14ac:dyDescent="0.25">
      <c r="B63" s="33" t="s">
        <v>41</v>
      </c>
      <c r="C63" s="34">
        <f>SUMIF($B2:$B56,$B63,C$2:C$56)</f>
        <v>949239.69982833299</v>
      </c>
      <c r="D63" s="34">
        <f t="shared" ref="D63:V63" si="3">SUMIF($B2:$B56,$B63,D$2:D$56)</f>
        <v>681372.56149365043</v>
      </c>
      <c r="E63" s="34">
        <f t="shared" si="3"/>
        <v>546030.30369714263</v>
      </c>
      <c r="F63" s="34">
        <f t="shared" si="3"/>
        <v>281284.76277857134</v>
      </c>
      <c r="G63" s="34">
        <f t="shared" si="3"/>
        <v>279032.46749468247</v>
      </c>
      <c r="H63" s="34">
        <f t="shared" si="3"/>
        <v>142108.30322817457</v>
      </c>
      <c r="I63" s="34">
        <f t="shared" si="3"/>
        <v>6934.8242899999996</v>
      </c>
      <c r="J63" s="34">
        <f t="shared" si="3"/>
        <v>3137.9728877777775</v>
      </c>
      <c r="K63" s="34">
        <f t="shared" si="3"/>
        <v>3137.9728877777775</v>
      </c>
      <c r="L63" s="34">
        <f t="shared" si="3"/>
        <v>3137.9728877777775</v>
      </c>
      <c r="M63" s="34">
        <f t="shared" si="3"/>
        <v>3137.9728877777775</v>
      </c>
      <c r="N63" s="34">
        <f t="shared" si="3"/>
        <v>3137.9728877777775</v>
      </c>
      <c r="O63" s="34">
        <f t="shared" si="3"/>
        <v>3137.9728877777775</v>
      </c>
      <c r="P63" s="34">
        <f t="shared" si="3"/>
        <v>3137.9728877777775</v>
      </c>
      <c r="Q63" s="34">
        <f t="shared" si="3"/>
        <v>3137.9728877777775</v>
      </c>
      <c r="R63" s="34">
        <f t="shared" si="3"/>
        <v>3137.9728877777775</v>
      </c>
      <c r="S63" s="34">
        <f t="shared" si="3"/>
        <v>3137.9728877777775</v>
      </c>
      <c r="T63" s="34">
        <f t="shared" si="3"/>
        <v>3137.9728877777775</v>
      </c>
      <c r="U63" s="34">
        <f t="shared" si="3"/>
        <v>3137.9728877777775</v>
      </c>
      <c r="V63" s="34">
        <f t="shared" si="3"/>
        <v>3137.9728877777775</v>
      </c>
    </row>
    <row r="64" spans="1:22" x14ac:dyDescent="0.25">
      <c r="B64" s="33" t="s">
        <v>40</v>
      </c>
      <c r="C64" s="34">
        <f>SUMIF($B2:$B56,$B64,C$2:C$56)</f>
        <v>15204.330498888885</v>
      </c>
      <c r="D64" s="34">
        <f t="shared" ref="D64:V64" si="4">SUMIF($B2:$B56,$B64,D$2:D$56)</f>
        <v>15227.070671111109</v>
      </c>
      <c r="E64" s="34">
        <f t="shared" si="4"/>
        <v>8561.7364152380942</v>
      </c>
      <c r="F64" s="34">
        <f t="shared" si="4"/>
        <v>8561.7364152380942</v>
      </c>
      <c r="G64" s="34">
        <f t="shared" si="4"/>
        <v>8561.7364152380942</v>
      </c>
      <c r="H64" s="34">
        <f t="shared" si="4"/>
        <v>8561.7364152380942</v>
      </c>
      <c r="I64" s="34">
        <f t="shared" si="4"/>
        <v>8561.7364152380942</v>
      </c>
      <c r="J64" s="34">
        <f t="shared" si="4"/>
        <v>8561.7364152380942</v>
      </c>
      <c r="K64" s="34">
        <f t="shared" si="4"/>
        <v>8561.7364152380942</v>
      </c>
      <c r="L64" s="34">
        <f t="shared" si="4"/>
        <v>8561.7364152380942</v>
      </c>
      <c r="M64" s="34">
        <f t="shared" si="4"/>
        <v>8561.7364152380942</v>
      </c>
      <c r="N64" s="34">
        <f t="shared" si="4"/>
        <v>8561.7364152380942</v>
      </c>
      <c r="O64" s="34">
        <f t="shared" si="4"/>
        <v>8561.7364152380942</v>
      </c>
      <c r="P64" s="34">
        <f t="shared" si="4"/>
        <v>8561.7364152380942</v>
      </c>
      <c r="Q64" s="34">
        <f t="shared" si="4"/>
        <v>8561.7364152380942</v>
      </c>
      <c r="R64" s="34">
        <f t="shared" si="4"/>
        <v>8561.7364152380942</v>
      </c>
      <c r="S64" s="34">
        <f t="shared" si="4"/>
        <v>8561.7364152380942</v>
      </c>
      <c r="T64" s="34">
        <f t="shared" si="4"/>
        <v>8561.7364152380942</v>
      </c>
      <c r="U64" s="34">
        <f t="shared" si="4"/>
        <v>8561.7364152380942</v>
      </c>
      <c r="V64" s="34">
        <f t="shared" si="4"/>
        <v>8561.7364152380942</v>
      </c>
    </row>
    <row r="65" spans="1:22" x14ac:dyDescent="0.25">
      <c r="B65" s="33" t="s">
        <v>80</v>
      </c>
      <c r="C65" s="34">
        <f>SUMIF($B2:$B56,$B65,C$2:C$56)</f>
        <v>0</v>
      </c>
      <c r="D65" s="34">
        <f t="shared" ref="D65:V65" si="5">SUMIF($B2:$B56,$B65,D$2:D$56)</f>
        <v>0</v>
      </c>
      <c r="E65" s="34">
        <f t="shared" si="5"/>
        <v>0</v>
      </c>
      <c r="F65" s="34">
        <f t="shared" si="5"/>
        <v>0</v>
      </c>
      <c r="G65" s="34">
        <f t="shared" si="5"/>
        <v>0</v>
      </c>
      <c r="H65" s="34">
        <f t="shared" si="5"/>
        <v>0</v>
      </c>
      <c r="I65" s="34">
        <f t="shared" si="5"/>
        <v>0</v>
      </c>
      <c r="J65" s="34">
        <f t="shared" si="5"/>
        <v>0</v>
      </c>
      <c r="K65" s="34">
        <f t="shared" si="5"/>
        <v>0</v>
      </c>
      <c r="L65" s="34">
        <f t="shared" si="5"/>
        <v>0</v>
      </c>
      <c r="M65" s="34">
        <f t="shared" si="5"/>
        <v>0</v>
      </c>
      <c r="N65" s="34">
        <f t="shared" si="5"/>
        <v>0</v>
      </c>
      <c r="O65" s="34">
        <f t="shared" si="5"/>
        <v>0</v>
      </c>
      <c r="P65" s="34">
        <f t="shared" si="5"/>
        <v>0</v>
      </c>
      <c r="Q65" s="34">
        <f t="shared" si="5"/>
        <v>0</v>
      </c>
      <c r="R65" s="34">
        <f t="shared" si="5"/>
        <v>0</v>
      </c>
      <c r="S65" s="34">
        <f t="shared" si="5"/>
        <v>0</v>
      </c>
      <c r="T65" s="34">
        <f t="shared" si="5"/>
        <v>0</v>
      </c>
      <c r="U65" s="34">
        <f t="shared" si="5"/>
        <v>0</v>
      </c>
      <c r="V65" s="34">
        <f t="shared" si="5"/>
        <v>0</v>
      </c>
    </row>
    <row r="66" spans="1:22" x14ac:dyDescent="0.25">
      <c r="B66" s="33" t="s">
        <v>44</v>
      </c>
      <c r="C66" s="34">
        <f>SUMIF($B2:$B56,$B66,C$2:C$56)</f>
        <v>0</v>
      </c>
      <c r="D66" s="34">
        <f t="shared" ref="D66:V66" si="6">SUMIF($B2:$B56,$B66,D$2:D$56)</f>
        <v>0</v>
      </c>
      <c r="E66" s="34">
        <f t="shared" si="6"/>
        <v>0</v>
      </c>
      <c r="F66" s="34">
        <f t="shared" si="6"/>
        <v>0</v>
      </c>
      <c r="G66" s="34">
        <f t="shared" si="6"/>
        <v>0</v>
      </c>
      <c r="H66" s="34">
        <f t="shared" si="6"/>
        <v>0</v>
      </c>
      <c r="I66" s="34">
        <f t="shared" si="6"/>
        <v>0</v>
      </c>
      <c r="J66" s="34">
        <f t="shared" si="6"/>
        <v>0</v>
      </c>
      <c r="K66" s="34">
        <f>SUMIF($B2:$B56,$B66,K$2:K$56)</f>
        <v>0</v>
      </c>
      <c r="L66" s="34">
        <f t="shared" si="6"/>
        <v>0</v>
      </c>
      <c r="M66" s="34">
        <f t="shared" si="6"/>
        <v>0</v>
      </c>
      <c r="N66" s="34">
        <f t="shared" si="6"/>
        <v>0</v>
      </c>
      <c r="O66" s="34">
        <f t="shared" si="6"/>
        <v>0</v>
      </c>
      <c r="P66" s="34">
        <f t="shared" si="6"/>
        <v>0</v>
      </c>
      <c r="Q66" s="34">
        <f t="shared" si="6"/>
        <v>0</v>
      </c>
      <c r="R66" s="34">
        <f t="shared" si="6"/>
        <v>0</v>
      </c>
      <c r="S66" s="34">
        <f t="shared" si="6"/>
        <v>0</v>
      </c>
      <c r="T66" s="34">
        <f t="shared" si="6"/>
        <v>0</v>
      </c>
      <c r="U66" s="34">
        <f t="shared" si="6"/>
        <v>0</v>
      </c>
      <c r="V66" s="34">
        <f t="shared" si="6"/>
        <v>0</v>
      </c>
    </row>
    <row r="67" spans="1:22" x14ac:dyDescent="0.25">
      <c r="B67" s="33" t="s">
        <v>81</v>
      </c>
      <c r="C67" s="34">
        <f>SUMIF($B2:$B56,$B67,C$2:C$56)</f>
        <v>0</v>
      </c>
      <c r="D67" s="34">
        <f t="shared" ref="D67:V67" si="7">SUMIF($B2:$B56,$B67,D$2:D$56)</f>
        <v>0</v>
      </c>
      <c r="E67" s="34">
        <f t="shared" si="7"/>
        <v>0</v>
      </c>
      <c r="F67" s="34">
        <f t="shared" si="7"/>
        <v>0</v>
      </c>
      <c r="G67" s="34">
        <f t="shared" si="7"/>
        <v>0</v>
      </c>
      <c r="H67" s="34">
        <f t="shared" si="7"/>
        <v>0</v>
      </c>
      <c r="I67" s="34">
        <f t="shared" si="7"/>
        <v>0</v>
      </c>
      <c r="J67" s="34">
        <f t="shared" si="7"/>
        <v>0</v>
      </c>
      <c r="K67" s="34">
        <f t="shared" si="7"/>
        <v>0</v>
      </c>
      <c r="L67" s="34">
        <f t="shared" si="7"/>
        <v>0</v>
      </c>
      <c r="M67" s="34">
        <f t="shared" si="7"/>
        <v>0</v>
      </c>
      <c r="N67" s="34">
        <f t="shared" si="7"/>
        <v>0</v>
      </c>
      <c r="O67" s="34">
        <f t="shared" si="7"/>
        <v>0</v>
      </c>
      <c r="P67" s="34">
        <f t="shared" si="7"/>
        <v>0</v>
      </c>
      <c r="Q67" s="34">
        <f t="shared" si="7"/>
        <v>0</v>
      </c>
      <c r="R67" s="34">
        <f t="shared" si="7"/>
        <v>0</v>
      </c>
      <c r="S67" s="34">
        <f t="shared" si="7"/>
        <v>0</v>
      </c>
      <c r="T67" s="34">
        <f t="shared" si="7"/>
        <v>0</v>
      </c>
      <c r="U67" s="34">
        <f t="shared" si="7"/>
        <v>0</v>
      </c>
      <c r="V67" s="34">
        <f t="shared" si="7"/>
        <v>0</v>
      </c>
    </row>
    <row r="68" spans="1:22" x14ac:dyDescent="0.25">
      <c r="B68" s="33" t="s">
        <v>42</v>
      </c>
      <c r="C68" s="34">
        <f>SUMIF($B2:$B56,$B68,C$2:C$56)</f>
        <v>1472.7862655555555</v>
      </c>
      <c r="D68" s="34">
        <f t="shared" ref="D68:V68" si="8">SUMIF($B2:$B56,$B68,D$2:D$56)</f>
        <v>1512.0012127777777</v>
      </c>
      <c r="E68" s="34">
        <f t="shared" si="8"/>
        <v>1460.5163599999998</v>
      </c>
      <c r="F68" s="34">
        <f t="shared" si="8"/>
        <v>1477.6676861111109</v>
      </c>
      <c r="G68" s="34">
        <f t="shared" si="8"/>
        <v>1442.2270488888887</v>
      </c>
      <c r="H68" s="34">
        <f t="shared" si="8"/>
        <v>1442.2270488888887</v>
      </c>
      <c r="I68" s="34">
        <f t="shared" si="8"/>
        <v>1442.2270488888887</v>
      </c>
      <c r="J68" s="34">
        <f t="shared" si="8"/>
        <v>1442.2270488888887</v>
      </c>
      <c r="K68" s="34">
        <f t="shared" si="8"/>
        <v>1442.2270488888887</v>
      </c>
      <c r="L68" s="34">
        <f t="shared" si="8"/>
        <v>1442.2270488888887</v>
      </c>
      <c r="M68" s="34">
        <f t="shared" si="8"/>
        <v>1442.2270488888887</v>
      </c>
      <c r="N68" s="34">
        <f t="shared" si="8"/>
        <v>1442.2270488888887</v>
      </c>
      <c r="O68" s="34">
        <f t="shared" si="8"/>
        <v>1442.2270488888887</v>
      </c>
      <c r="P68" s="34">
        <f t="shared" si="8"/>
        <v>1442.2270488888887</v>
      </c>
      <c r="Q68" s="34">
        <f t="shared" si="8"/>
        <v>1442.2270488888887</v>
      </c>
      <c r="R68" s="34">
        <f t="shared" si="8"/>
        <v>1442.2270488888887</v>
      </c>
      <c r="S68" s="34">
        <f t="shared" si="8"/>
        <v>1442.2270488888887</v>
      </c>
      <c r="T68" s="34">
        <f t="shared" si="8"/>
        <v>1442.2270488888887</v>
      </c>
      <c r="U68" s="34">
        <f t="shared" si="8"/>
        <v>1442.2270488888887</v>
      </c>
      <c r="V68" s="34">
        <f t="shared" si="8"/>
        <v>1442.2270488888887</v>
      </c>
    </row>
    <row r="69" spans="1:22" ht="14.4" thickBot="1" x14ac:dyDescent="0.3">
      <c r="B69" s="39" t="s">
        <v>45</v>
      </c>
      <c r="C69" s="34">
        <f>SUMIF($B2:$B56,$B69,C$2:C$56)</f>
        <v>90840.488670000021</v>
      </c>
      <c r="D69" s="34">
        <f t="shared" ref="D69:V69" si="9">SUMIF($B2:$B56,$B69,D$2:D$56)</f>
        <v>90904.020058888913</v>
      </c>
      <c r="E69" s="34">
        <f t="shared" si="9"/>
        <v>90840.083114444467</v>
      </c>
      <c r="F69" s="34">
        <f t="shared" si="9"/>
        <v>90847.563392222248</v>
      </c>
      <c r="G69" s="34">
        <f t="shared" si="9"/>
        <v>90847.563392222248</v>
      </c>
      <c r="H69" s="34">
        <f t="shared" si="9"/>
        <v>89453.837836666688</v>
      </c>
      <c r="I69" s="34">
        <f t="shared" si="9"/>
        <v>89453.837836666688</v>
      </c>
      <c r="J69" s="34">
        <f t="shared" si="9"/>
        <v>89453.837836666688</v>
      </c>
      <c r="K69" s="34">
        <f t="shared" si="9"/>
        <v>89453.837836666688</v>
      </c>
      <c r="L69" s="34">
        <f t="shared" si="9"/>
        <v>89453.837836666688</v>
      </c>
      <c r="M69" s="34">
        <f t="shared" si="9"/>
        <v>89453.837836666688</v>
      </c>
      <c r="N69" s="34">
        <f t="shared" si="9"/>
        <v>89453.837836666688</v>
      </c>
      <c r="O69" s="34">
        <f t="shared" si="9"/>
        <v>89453.837836666688</v>
      </c>
      <c r="P69" s="34">
        <f t="shared" si="9"/>
        <v>89453.837836666688</v>
      </c>
      <c r="Q69" s="34">
        <f t="shared" si="9"/>
        <v>89453.837836666688</v>
      </c>
      <c r="R69" s="34">
        <f t="shared" si="9"/>
        <v>89453.837836666688</v>
      </c>
      <c r="S69" s="34">
        <f t="shared" si="9"/>
        <v>89453.837836666688</v>
      </c>
      <c r="T69" s="34">
        <f t="shared" si="9"/>
        <v>89453.837836666688</v>
      </c>
      <c r="U69" s="34">
        <f t="shared" si="9"/>
        <v>89453.837836666688</v>
      </c>
      <c r="V69" s="34">
        <f t="shared" si="9"/>
        <v>89453.837836666688</v>
      </c>
    </row>
    <row r="70" spans="1:22" x14ac:dyDescent="0.25">
      <c r="L70" s="46"/>
      <c r="M70" s="46"/>
    </row>
    <row r="71" spans="1:22" x14ac:dyDescent="0.25">
      <c r="C71" s="23">
        <f>SUM(C62:C69)</f>
        <v>1751982.5742644442</v>
      </c>
      <c r="D71" s="23">
        <f t="shared" ref="D71:V71" si="10">SUM(D62:D69)</f>
        <v>1483968.3080214283</v>
      </c>
      <c r="E71" s="23">
        <f t="shared" si="10"/>
        <v>1340597.106924603</v>
      </c>
      <c r="F71" s="23">
        <f t="shared" si="10"/>
        <v>1077081.940171587</v>
      </c>
      <c r="G71" s="23">
        <f t="shared" si="10"/>
        <v>1074794.2042504761</v>
      </c>
      <c r="H71" s="23">
        <f t="shared" si="10"/>
        <v>936476.3144284127</v>
      </c>
      <c r="I71" s="23">
        <f t="shared" si="10"/>
        <v>801302.83549023815</v>
      </c>
      <c r="J71" s="23">
        <f t="shared" si="10"/>
        <v>797505.98408801586</v>
      </c>
      <c r="K71" s="23">
        <f t="shared" si="10"/>
        <v>797505.98408801586</v>
      </c>
      <c r="L71" s="108">
        <f t="shared" si="10"/>
        <v>797505.98408801586</v>
      </c>
      <c r="M71" s="108">
        <f t="shared" si="10"/>
        <v>788884.95735968254</v>
      </c>
      <c r="N71" s="23">
        <f t="shared" si="10"/>
        <v>788884.95735968254</v>
      </c>
      <c r="O71" s="23">
        <f t="shared" si="10"/>
        <v>788884.95735968254</v>
      </c>
      <c r="P71" s="23">
        <f t="shared" si="10"/>
        <v>788884.95735968254</v>
      </c>
      <c r="Q71" s="23">
        <f t="shared" si="10"/>
        <v>788884.95735968254</v>
      </c>
      <c r="R71" s="23">
        <f t="shared" si="10"/>
        <v>788884.95735968254</v>
      </c>
      <c r="S71" s="23">
        <f t="shared" si="10"/>
        <v>788884.95735968254</v>
      </c>
      <c r="T71" s="23">
        <f t="shared" si="10"/>
        <v>788884.95735968254</v>
      </c>
      <c r="U71" s="23">
        <f t="shared" si="10"/>
        <v>788884.95735968254</v>
      </c>
      <c r="V71" s="23">
        <f t="shared" si="10"/>
        <v>788884.95735968254</v>
      </c>
    </row>
    <row r="72" spans="1:22" x14ac:dyDescent="0.25">
      <c r="C72" s="93"/>
      <c r="D72" s="93"/>
      <c r="E72" s="93"/>
      <c r="F72" s="93"/>
      <c r="G72" s="93"/>
      <c r="H72" s="93"/>
      <c r="I72" s="93"/>
      <c r="J72" s="93"/>
      <c r="K72" s="93"/>
      <c r="L72" s="107"/>
      <c r="M72" s="107"/>
      <c r="N72" s="93"/>
      <c r="O72" s="93"/>
      <c r="P72" s="93"/>
      <c r="Q72" s="93"/>
      <c r="R72" s="93"/>
      <c r="S72" s="93"/>
      <c r="T72" s="93"/>
      <c r="U72" s="93"/>
      <c r="V72" s="93"/>
    </row>
    <row r="73" spans="1:22" ht="14.4" thickBot="1" x14ac:dyDescent="0.3">
      <c r="B73" s="2" t="s">
        <v>76</v>
      </c>
      <c r="L73" s="46"/>
      <c r="M73" s="46"/>
    </row>
    <row r="74" spans="1:22" x14ac:dyDescent="0.25">
      <c r="B74" s="54" t="s">
        <v>82</v>
      </c>
      <c r="C74" s="74">
        <v>2021</v>
      </c>
      <c r="D74" s="74">
        <v>2022</v>
      </c>
      <c r="E74" s="74">
        <v>2023</v>
      </c>
      <c r="F74" s="74">
        <v>2024</v>
      </c>
      <c r="G74" s="74">
        <v>2025</v>
      </c>
      <c r="H74" s="74">
        <v>2026</v>
      </c>
      <c r="I74" s="74">
        <v>2027</v>
      </c>
      <c r="J74" s="74">
        <v>2028</v>
      </c>
      <c r="K74" s="74">
        <v>2029</v>
      </c>
      <c r="L74" s="74">
        <v>2030</v>
      </c>
      <c r="M74" s="74">
        <v>2031</v>
      </c>
      <c r="N74" s="74">
        <v>2032</v>
      </c>
      <c r="O74" s="74">
        <v>2033</v>
      </c>
      <c r="P74" s="74">
        <v>2034</v>
      </c>
      <c r="Q74" s="74">
        <v>2035</v>
      </c>
      <c r="R74" s="74">
        <v>2036</v>
      </c>
      <c r="S74" s="74">
        <v>2037</v>
      </c>
      <c r="T74" s="74">
        <v>2038</v>
      </c>
      <c r="U74" s="74">
        <v>2039</v>
      </c>
      <c r="V74" s="74">
        <v>2040</v>
      </c>
    </row>
    <row r="75" spans="1:22" x14ac:dyDescent="0.25">
      <c r="B75" s="33" t="s">
        <v>93</v>
      </c>
      <c r="C75" s="106">
        <f>SUM(C2:C48)</f>
        <v>1752490.7143116661</v>
      </c>
      <c r="D75" s="106">
        <f t="shared" ref="D75:V75" si="11">SUM(D2:D48)</f>
        <v>1484345.8994103172</v>
      </c>
      <c r="E75" s="106">
        <f t="shared" si="11"/>
        <v>1340904.3555357142</v>
      </c>
      <c r="F75" s="106">
        <f t="shared" si="11"/>
        <v>1077474.1436682539</v>
      </c>
      <c r="G75" s="106">
        <f t="shared" si="11"/>
        <v>1075186.4077471427</v>
      </c>
      <c r="H75" s="106">
        <f t="shared" si="11"/>
        <v>936868.51792507921</v>
      </c>
      <c r="I75" s="106">
        <f t="shared" si="11"/>
        <v>801695.03898690466</v>
      </c>
      <c r="J75" s="106">
        <f t="shared" si="11"/>
        <v>797898.18758468248</v>
      </c>
      <c r="K75" s="106">
        <f t="shared" si="11"/>
        <v>797898.18758468248</v>
      </c>
      <c r="L75" s="106">
        <f t="shared" si="11"/>
        <v>797898.18758468248</v>
      </c>
      <c r="M75" s="106">
        <f t="shared" si="11"/>
        <v>789277.16085634916</v>
      </c>
      <c r="N75" s="106">
        <f t="shared" si="11"/>
        <v>789277.16085634916</v>
      </c>
      <c r="O75" s="106">
        <f t="shared" si="11"/>
        <v>789277.16085634916</v>
      </c>
      <c r="P75" s="106">
        <f t="shared" si="11"/>
        <v>789277.16085634916</v>
      </c>
      <c r="Q75" s="106">
        <f t="shared" si="11"/>
        <v>789277.16085634916</v>
      </c>
      <c r="R75" s="106">
        <f t="shared" si="11"/>
        <v>789277.16085634916</v>
      </c>
      <c r="S75" s="106">
        <f t="shared" si="11"/>
        <v>789277.16085634916</v>
      </c>
      <c r="T75" s="106">
        <f t="shared" si="11"/>
        <v>789277.16085634916</v>
      </c>
      <c r="U75" s="106">
        <f t="shared" si="11"/>
        <v>789277.16085634916</v>
      </c>
      <c r="V75" s="106">
        <f t="shared" si="11"/>
        <v>789277.16085634916</v>
      </c>
    </row>
    <row r="76" spans="1:22" x14ac:dyDescent="0.25">
      <c r="B76" s="33" t="s">
        <v>94</v>
      </c>
      <c r="C76" s="95">
        <f>SUM(C49:C56)</f>
        <v>0</v>
      </c>
      <c r="D76" s="95">
        <f t="shared" ref="D76:V76" si="12">SUM(D49:D56)</f>
        <v>0</v>
      </c>
      <c r="E76" s="95">
        <f t="shared" si="12"/>
        <v>0</v>
      </c>
      <c r="F76" s="95">
        <f t="shared" si="12"/>
        <v>0</v>
      </c>
      <c r="G76" s="95">
        <f t="shared" si="12"/>
        <v>0</v>
      </c>
      <c r="H76" s="95">
        <f t="shared" si="12"/>
        <v>0</v>
      </c>
      <c r="I76" s="95">
        <f t="shared" si="12"/>
        <v>0</v>
      </c>
      <c r="J76" s="95">
        <f t="shared" si="12"/>
        <v>0</v>
      </c>
      <c r="K76" s="95">
        <f t="shared" si="12"/>
        <v>0</v>
      </c>
      <c r="L76" s="95">
        <f t="shared" si="12"/>
        <v>0</v>
      </c>
      <c r="M76" s="95">
        <f t="shared" si="12"/>
        <v>0</v>
      </c>
      <c r="N76" s="95">
        <f t="shared" si="12"/>
        <v>0</v>
      </c>
      <c r="O76" s="95">
        <f t="shared" si="12"/>
        <v>0</v>
      </c>
      <c r="P76" s="95">
        <f t="shared" si="12"/>
        <v>0</v>
      </c>
      <c r="Q76" s="95">
        <f t="shared" si="12"/>
        <v>0</v>
      </c>
      <c r="R76" s="95">
        <f t="shared" si="12"/>
        <v>0</v>
      </c>
      <c r="S76" s="95">
        <f t="shared" si="12"/>
        <v>0</v>
      </c>
      <c r="T76" s="95">
        <f t="shared" si="12"/>
        <v>0</v>
      </c>
      <c r="U76" s="95">
        <f t="shared" si="12"/>
        <v>0</v>
      </c>
      <c r="V76" s="95">
        <f t="shared" si="12"/>
        <v>0</v>
      </c>
    </row>
    <row r="78" spans="1:22" x14ac:dyDescent="0.25">
      <c r="C78" s="23">
        <f>SUM(C75:C76)</f>
        <v>1752490.7143116661</v>
      </c>
      <c r="D78" s="23">
        <f t="shared" ref="D78:V78" si="13">SUM(D75:D76)</f>
        <v>1484345.8994103172</v>
      </c>
      <c r="E78" s="23">
        <f t="shared" si="13"/>
        <v>1340904.3555357142</v>
      </c>
      <c r="F78" s="23">
        <f t="shared" si="13"/>
        <v>1077474.1436682539</v>
      </c>
      <c r="G78" s="23">
        <f t="shared" si="13"/>
        <v>1075186.4077471427</v>
      </c>
      <c r="H78" s="23">
        <f t="shared" si="13"/>
        <v>936868.51792507921</v>
      </c>
      <c r="I78" s="23">
        <f t="shared" si="13"/>
        <v>801695.03898690466</v>
      </c>
      <c r="J78" s="23">
        <f t="shared" si="13"/>
        <v>797898.18758468248</v>
      </c>
      <c r="K78" s="23">
        <f t="shared" si="13"/>
        <v>797898.18758468248</v>
      </c>
      <c r="L78" s="23">
        <f t="shared" si="13"/>
        <v>797898.18758468248</v>
      </c>
      <c r="M78" s="23">
        <f t="shared" si="13"/>
        <v>789277.16085634916</v>
      </c>
      <c r="N78" s="23">
        <f t="shared" si="13"/>
        <v>789277.16085634916</v>
      </c>
      <c r="O78" s="23">
        <f t="shared" si="13"/>
        <v>789277.16085634916</v>
      </c>
      <c r="P78" s="23">
        <f t="shared" si="13"/>
        <v>789277.16085634916</v>
      </c>
      <c r="Q78" s="23">
        <f t="shared" si="13"/>
        <v>789277.16085634916</v>
      </c>
      <c r="R78" s="23">
        <f t="shared" si="13"/>
        <v>789277.16085634916</v>
      </c>
      <c r="S78" s="23">
        <f t="shared" si="13"/>
        <v>789277.16085634916</v>
      </c>
      <c r="T78" s="23">
        <f t="shared" si="13"/>
        <v>789277.16085634916</v>
      </c>
      <c r="U78" s="23">
        <f t="shared" si="13"/>
        <v>789277.16085634916</v>
      </c>
      <c r="V78" s="23">
        <f t="shared" si="13"/>
        <v>789277.16085634916</v>
      </c>
    </row>
    <row r="80" spans="1:22" x14ac:dyDescent="0.25">
      <c r="A80" s="27" t="s">
        <v>16</v>
      </c>
      <c r="B80" s="27"/>
      <c r="C80" s="27">
        <v>2021</v>
      </c>
      <c r="D80" s="28">
        <v>2022</v>
      </c>
      <c r="E80" s="27">
        <v>2023</v>
      </c>
      <c r="F80" s="28">
        <v>2024</v>
      </c>
      <c r="G80" s="27">
        <v>2025</v>
      </c>
      <c r="H80" s="28">
        <v>2026</v>
      </c>
      <c r="I80" s="27">
        <v>2027</v>
      </c>
      <c r="J80" s="28">
        <v>2028</v>
      </c>
      <c r="K80" s="27">
        <v>2029</v>
      </c>
      <c r="L80" s="28">
        <v>2030</v>
      </c>
      <c r="M80" s="27">
        <v>2031</v>
      </c>
      <c r="N80" s="28">
        <v>2032</v>
      </c>
      <c r="O80" s="27">
        <v>2033</v>
      </c>
      <c r="P80" s="28">
        <v>2034</v>
      </c>
      <c r="Q80" s="27">
        <v>2035</v>
      </c>
      <c r="R80" s="28">
        <v>2036</v>
      </c>
      <c r="S80" s="27">
        <v>2037</v>
      </c>
      <c r="T80" s="28">
        <v>2038</v>
      </c>
      <c r="U80" s="27">
        <v>2039</v>
      </c>
      <c r="V80" s="28">
        <v>2040</v>
      </c>
    </row>
    <row r="81" spans="1:22" x14ac:dyDescent="0.25">
      <c r="A81" s="29" t="s">
        <v>47</v>
      </c>
      <c r="B81" s="30" t="s">
        <v>41</v>
      </c>
      <c r="C81" s="105">
        <f>IFERROR(lifespans_all!C80*DTE_mission_minutes!C2,"-")</f>
        <v>133409.35004928565</v>
      </c>
      <c r="D81" s="105">
        <f>IFERROR(lifespans_all!D80*DTE_mission_minutes!D2,"-")</f>
        <v>133409.35004928565</v>
      </c>
      <c r="E81" s="105">
        <f>IFERROR(lifespans_all!E80*DTE_mission_minutes!E2,"-")</f>
        <v>0</v>
      </c>
      <c r="F81" s="105">
        <f>IFERROR(lifespans_all!F80*DTE_mission_minutes!F2,"-")</f>
        <v>0</v>
      </c>
      <c r="G81" s="105">
        <f>IFERROR(lifespans_all!G80*DTE_mission_minutes!G2,"-")</f>
        <v>0</v>
      </c>
      <c r="H81" s="105">
        <f>IFERROR(lifespans_all!H80*DTE_mission_minutes!H2,"-")</f>
        <v>0</v>
      </c>
      <c r="I81" s="105">
        <f>IFERROR(lifespans_all!I80*DTE_mission_minutes!I2,"-")</f>
        <v>0</v>
      </c>
      <c r="J81" s="105">
        <f>IFERROR(lifespans_all!J80*DTE_mission_minutes!J2,"-")</f>
        <v>0</v>
      </c>
      <c r="K81" s="105">
        <f>IFERROR(lifespans_all!K80*DTE_mission_minutes!K2,"-")</f>
        <v>0</v>
      </c>
      <c r="L81" s="105">
        <f>IFERROR(lifespans_all!L80*DTE_mission_minutes!L2,"-")</f>
        <v>0</v>
      </c>
      <c r="M81" s="105">
        <f>IFERROR(lifespans_all!M80*DTE_mission_minutes!M2,"-")</f>
        <v>0</v>
      </c>
      <c r="N81" s="105">
        <f>IFERROR(lifespans_all!N80*DTE_mission_minutes!N2,"-")</f>
        <v>0</v>
      </c>
      <c r="O81" s="105">
        <f>IFERROR(lifespans_all!O80*DTE_mission_minutes!O2,"-")</f>
        <v>0</v>
      </c>
      <c r="P81" s="105">
        <f>IFERROR(lifespans_all!P80*DTE_mission_minutes!P2,"-")</f>
        <v>0</v>
      </c>
      <c r="Q81" s="105">
        <f>IFERROR(lifespans_all!Q80*DTE_mission_minutes!Q2,"-")</f>
        <v>0</v>
      </c>
      <c r="R81" s="105">
        <f>IFERROR(lifespans_all!R80*DTE_mission_minutes!R2,"-")</f>
        <v>0</v>
      </c>
      <c r="S81" s="105">
        <f>IFERROR(lifespans_all!S80*DTE_mission_minutes!S2,"-")</f>
        <v>0</v>
      </c>
      <c r="T81" s="105">
        <f>IFERROR(lifespans_all!T80*DTE_mission_minutes!T2,"-")</f>
        <v>0</v>
      </c>
      <c r="U81" s="105">
        <f>IFERROR(lifespans_all!U80*DTE_mission_minutes!U2,"-")</f>
        <v>0</v>
      </c>
      <c r="V81" s="105">
        <f>IFERROR(lifespans_all!V80*DTE_mission_minutes!V2,"-")</f>
        <v>0</v>
      </c>
    </row>
    <row r="82" spans="1:22" x14ac:dyDescent="0.25">
      <c r="A82" s="29" t="s">
        <v>17</v>
      </c>
      <c r="B82" s="30" t="s">
        <v>41</v>
      </c>
      <c r="C82" s="105">
        <f>IFERROR(lifespans_all!C81*DTE_mission_minutes!C3,"-")</f>
        <v>2249.4702694444441</v>
      </c>
      <c r="D82" s="105">
        <f>IFERROR(lifespans_all!D81*DTE_mission_minutes!D3,"-")</f>
        <v>1189.7750000000001</v>
      </c>
      <c r="E82" s="105">
        <f>IFERROR(lifespans_all!E81*DTE_mission_minutes!E3,"-")</f>
        <v>649.57638888888891</v>
      </c>
      <c r="F82" s="105">
        <f>IFERROR(lifespans_all!F81*DTE_mission_minutes!F3,"-")</f>
        <v>1663.1641649999997</v>
      </c>
      <c r="G82" s="105">
        <f>IFERROR(lifespans_all!G81*DTE_mission_minutes!G3,"-")</f>
        <v>0</v>
      </c>
      <c r="H82" s="105">
        <f>IFERROR(lifespans_all!H81*DTE_mission_minutes!H3,"-")</f>
        <v>0</v>
      </c>
      <c r="I82" s="105">
        <f>IFERROR(lifespans_all!I81*DTE_mission_minutes!I3,"-")</f>
        <v>0</v>
      </c>
      <c r="J82" s="105">
        <f>IFERROR(lifespans_all!J81*DTE_mission_minutes!J3,"-")</f>
        <v>0</v>
      </c>
      <c r="K82" s="105">
        <f>IFERROR(lifespans_all!K81*DTE_mission_minutes!K3,"-")</f>
        <v>0</v>
      </c>
      <c r="L82" s="105">
        <f>IFERROR(lifespans_all!L81*DTE_mission_minutes!L3,"-")</f>
        <v>0</v>
      </c>
      <c r="M82" s="105">
        <f>IFERROR(lifespans_all!M81*DTE_mission_minutes!M3,"-")</f>
        <v>0</v>
      </c>
      <c r="N82" s="105">
        <f>IFERROR(lifespans_all!N81*DTE_mission_minutes!N3,"-")</f>
        <v>0</v>
      </c>
      <c r="O82" s="105">
        <f>IFERROR(lifespans_all!O81*DTE_mission_minutes!O3,"-")</f>
        <v>0</v>
      </c>
      <c r="P82" s="105">
        <f>IFERROR(lifespans_all!P81*DTE_mission_minutes!P3,"-")</f>
        <v>0</v>
      </c>
      <c r="Q82" s="105">
        <f>IFERROR(lifespans_all!Q81*DTE_mission_minutes!Q3,"-")</f>
        <v>0</v>
      </c>
      <c r="R82" s="105">
        <f>IFERROR(lifespans_all!R81*DTE_mission_minutes!R3,"-")</f>
        <v>0</v>
      </c>
      <c r="S82" s="105">
        <f>IFERROR(lifespans_all!S81*DTE_mission_minutes!S3,"-")</f>
        <v>0</v>
      </c>
      <c r="T82" s="105">
        <f>IFERROR(lifespans_all!T81*DTE_mission_minutes!T3,"-")</f>
        <v>0</v>
      </c>
      <c r="U82" s="105">
        <f>IFERROR(lifespans_all!U81*DTE_mission_minutes!U3,"-")</f>
        <v>0</v>
      </c>
      <c r="V82" s="105">
        <f>IFERROR(lifespans_all!V81*DTE_mission_minutes!V3,"-")</f>
        <v>0</v>
      </c>
    </row>
    <row r="83" spans="1:22" x14ac:dyDescent="0.25">
      <c r="A83" s="29" t="s">
        <v>49</v>
      </c>
      <c r="B83" s="30" t="s">
        <v>41</v>
      </c>
      <c r="C83" s="105">
        <f>IFERROR(lifespans_all!C82*DTE_mission_minutes!C4,"-")</f>
        <v>1151.5091666666667</v>
      </c>
      <c r="D83" s="105">
        <f>IFERROR(lifespans_all!D82*DTE_mission_minutes!D4,"-")</f>
        <v>1164.4527777777778</v>
      </c>
      <c r="E83" s="105">
        <f>IFERROR(lifespans_all!E82*DTE_mission_minutes!E4,"-")</f>
        <v>862.00805555555553</v>
      </c>
      <c r="F83" s="105">
        <f>IFERROR(lifespans_all!F82*DTE_mission_minutes!F4,"-")</f>
        <v>1093.0107777777775</v>
      </c>
      <c r="G83" s="105">
        <f>IFERROR(lifespans_all!G82*DTE_mission_minutes!G4,"-")</f>
        <v>1093.0107777777775</v>
      </c>
      <c r="H83" s="105">
        <f>IFERROR(lifespans_all!H82*DTE_mission_minutes!H4,"-")</f>
        <v>1093.0107777777775</v>
      </c>
      <c r="I83" s="105">
        <f>IFERROR(lifespans_all!I82*DTE_mission_minutes!I4,"-")</f>
        <v>0</v>
      </c>
      <c r="J83" s="105">
        <f>IFERROR(lifespans_all!J82*DTE_mission_minutes!J4,"-")</f>
        <v>0</v>
      </c>
      <c r="K83" s="105">
        <f>IFERROR(lifespans_all!K82*DTE_mission_minutes!K4,"-")</f>
        <v>0</v>
      </c>
      <c r="L83" s="105">
        <f>IFERROR(lifespans_all!L82*DTE_mission_minutes!L4,"-")</f>
        <v>0</v>
      </c>
      <c r="M83" s="105">
        <f>IFERROR(lifespans_all!M82*DTE_mission_minutes!M4,"-")</f>
        <v>0</v>
      </c>
      <c r="N83" s="105">
        <f>IFERROR(lifespans_all!N82*DTE_mission_minutes!N4,"-")</f>
        <v>0</v>
      </c>
      <c r="O83" s="105">
        <f>IFERROR(lifespans_all!O82*DTE_mission_minutes!O4,"-")</f>
        <v>0</v>
      </c>
      <c r="P83" s="105">
        <f>IFERROR(lifespans_all!P82*DTE_mission_minutes!P4,"-")</f>
        <v>0</v>
      </c>
      <c r="Q83" s="105">
        <f>IFERROR(lifespans_all!Q82*DTE_mission_minutes!Q4,"-")</f>
        <v>0</v>
      </c>
      <c r="R83" s="105">
        <f>IFERROR(lifespans_all!R82*DTE_mission_minutes!R4,"-")</f>
        <v>0</v>
      </c>
      <c r="S83" s="105">
        <f>IFERROR(lifespans_all!S82*DTE_mission_minutes!S4,"-")</f>
        <v>0</v>
      </c>
      <c r="T83" s="105">
        <f>IFERROR(lifespans_all!T82*DTE_mission_minutes!T4,"-")</f>
        <v>0</v>
      </c>
      <c r="U83" s="105">
        <f>IFERROR(lifespans_all!U82*DTE_mission_minutes!U4,"-")</f>
        <v>0</v>
      </c>
      <c r="V83" s="105">
        <f>IFERROR(lifespans_all!V82*DTE_mission_minutes!V4,"-")</f>
        <v>0</v>
      </c>
    </row>
    <row r="84" spans="1:22" x14ac:dyDescent="0.25">
      <c r="A84" s="29" t="s">
        <v>50</v>
      </c>
      <c r="B84" s="36" t="s">
        <v>43</v>
      </c>
      <c r="C84" s="105">
        <f>IFERROR(lifespans_all!C83*DTE_mission_minutes!C5,"-")</f>
        <v>171572.29579277776</v>
      </c>
      <c r="D84" s="105">
        <f>IFERROR(lifespans_all!D83*DTE_mission_minutes!D5,"-")</f>
        <v>171572.29579277776</v>
      </c>
      <c r="E84" s="105">
        <f>IFERROR(lifespans_all!E83*DTE_mission_minutes!E5,"-")</f>
        <v>171572.29579277776</v>
      </c>
      <c r="F84" s="105">
        <f>IFERROR(lifespans_all!F83*DTE_mission_minutes!F5,"-")</f>
        <v>171572.29579277776</v>
      </c>
      <c r="G84" s="105">
        <f>IFERROR(lifespans_all!G83*DTE_mission_minutes!G5,"-")</f>
        <v>171572.29579277776</v>
      </c>
      <c r="H84" s="105">
        <f>IFERROR(lifespans_all!H83*DTE_mission_minutes!H5,"-")</f>
        <v>171572.29579277776</v>
      </c>
      <c r="I84" s="105">
        <f>IFERROR(lifespans_all!I83*DTE_mission_minutes!I5,"-")</f>
        <v>171572.29579277776</v>
      </c>
      <c r="J84" s="105">
        <f>IFERROR(lifespans_all!J83*DTE_mission_minutes!J5,"-")</f>
        <v>171572.29579277776</v>
      </c>
      <c r="K84" s="105">
        <f>IFERROR(lifespans_all!K83*DTE_mission_minutes!K5,"-")</f>
        <v>171572.29579277776</v>
      </c>
      <c r="L84" s="105">
        <f>IFERROR(lifespans_all!L83*DTE_mission_minutes!L5,"-")</f>
        <v>171572.29579277776</v>
      </c>
      <c r="M84" s="105">
        <f>IFERROR(lifespans_all!M83*DTE_mission_minutes!M5,"-")</f>
        <v>171572.29579277776</v>
      </c>
      <c r="N84" s="105">
        <f>IFERROR(lifespans_all!N83*DTE_mission_minutes!N5,"-")</f>
        <v>171572.29579277776</v>
      </c>
      <c r="O84" s="105">
        <f>IFERROR(lifespans_all!O83*DTE_mission_minutes!O5,"-")</f>
        <v>171572.29579277776</v>
      </c>
      <c r="P84" s="105">
        <f>IFERROR(lifespans_all!P83*DTE_mission_minutes!P5,"-")</f>
        <v>171572.29579277776</v>
      </c>
      <c r="Q84" s="105">
        <f>IFERROR(lifespans_all!Q83*DTE_mission_minutes!Q5,"-")</f>
        <v>171572.29579277776</v>
      </c>
      <c r="R84" s="105">
        <f>IFERROR(lifespans_all!R83*DTE_mission_minutes!R5,"-")</f>
        <v>171572.29579277776</v>
      </c>
      <c r="S84" s="105">
        <f>IFERROR(lifespans_all!S83*DTE_mission_minutes!S5,"-")</f>
        <v>171572.29579277776</v>
      </c>
      <c r="T84" s="105">
        <f>IFERROR(lifespans_all!T83*DTE_mission_minutes!T5,"-")</f>
        <v>171572.29579277776</v>
      </c>
      <c r="U84" s="105">
        <f>IFERROR(lifespans_all!U83*DTE_mission_minutes!U5,"-")</f>
        <v>171572.29579277776</v>
      </c>
      <c r="V84" s="105">
        <f>IFERROR(lifespans_all!V83*DTE_mission_minutes!V5,"-")</f>
        <v>171572.29579277776</v>
      </c>
    </row>
    <row r="85" spans="1:22" x14ac:dyDescent="0.25">
      <c r="A85" s="29" t="s">
        <v>51</v>
      </c>
      <c r="B85" s="37" t="s">
        <v>42</v>
      </c>
      <c r="C85" s="105">
        <f>IFERROR(lifespans_all!C84*DTE_mission_minutes!C6,"-")</f>
        <v>30.559216666666664</v>
      </c>
      <c r="D85" s="105">
        <f>IFERROR(lifespans_all!D84*DTE_mission_minutes!D6,"-")</f>
        <v>69.774163888888879</v>
      </c>
      <c r="E85" s="105">
        <f>IFERROR(lifespans_all!E84*DTE_mission_minutes!E6,"-")</f>
        <v>18.289311111111111</v>
      </c>
      <c r="F85" s="105">
        <f>IFERROR(lifespans_all!F84*DTE_mission_minutes!F6,"-")</f>
        <v>35.440637222222215</v>
      </c>
      <c r="G85" s="105">
        <f>IFERROR(lifespans_all!G84*DTE_mission_minutes!G6,"-")</f>
        <v>0</v>
      </c>
      <c r="H85" s="105">
        <f>IFERROR(lifespans_all!H84*DTE_mission_minutes!H6,"-")</f>
        <v>0</v>
      </c>
      <c r="I85" s="105">
        <f>IFERROR(lifespans_all!I84*DTE_mission_minutes!I6,"-")</f>
        <v>0</v>
      </c>
      <c r="J85" s="105">
        <f>IFERROR(lifespans_all!J84*DTE_mission_minutes!J6,"-")</f>
        <v>0</v>
      </c>
      <c r="K85" s="105">
        <f>IFERROR(lifespans_all!K84*DTE_mission_minutes!K6,"-")</f>
        <v>0</v>
      </c>
      <c r="L85" s="105">
        <f>IFERROR(lifespans_all!L84*DTE_mission_minutes!L6,"-")</f>
        <v>0</v>
      </c>
      <c r="M85" s="105">
        <f>IFERROR(lifespans_all!M84*DTE_mission_minutes!M6,"-")</f>
        <v>0</v>
      </c>
      <c r="N85" s="105">
        <f>IFERROR(lifespans_all!N84*DTE_mission_minutes!N6,"-")</f>
        <v>0</v>
      </c>
      <c r="O85" s="105">
        <f>IFERROR(lifespans_all!O84*DTE_mission_minutes!O6,"-")</f>
        <v>0</v>
      </c>
      <c r="P85" s="105">
        <f>IFERROR(lifespans_all!P84*DTE_mission_minutes!P6,"-")</f>
        <v>0</v>
      </c>
      <c r="Q85" s="105">
        <f>IFERROR(lifespans_all!Q84*DTE_mission_minutes!Q6,"-")</f>
        <v>0</v>
      </c>
      <c r="R85" s="105">
        <f>IFERROR(lifespans_all!R84*DTE_mission_minutes!R6,"-")</f>
        <v>0</v>
      </c>
      <c r="S85" s="105">
        <f>IFERROR(lifespans_all!S84*DTE_mission_minutes!S6,"-")</f>
        <v>0</v>
      </c>
      <c r="T85" s="105">
        <f>IFERROR(lifespans_all!T84*DTE_mission_minutes!T6,"-")</f>
        <v>0</v>
      </c>
      <c r="U85" s="105">
        <f>IFERROR(lifespans_all!U84*DTE_mission_minutes!U6,"-")</f>
        <v>0</v>
      </c>
      <c r="V85" s="105">
        <f>IFERROR(lifespans_all!V84*DTE_mission_minutes!V6,"-")</f>
        <v>0</v>
      </c>
    </row>
    <row r="86" spans="1:22" x14ac:dyDescent="0.25">
      <c r="A86" s="29" t="s">
        <v>52</v>
      </c>
      <c r="B86" s="30" t="s">
        <v>41</v>
      </c>
      <c r="C86" s="105">
        <f>IFERROR(lifespans_all!C85*DTE_mission_minutes!C7,"-")</f>
        <v>667.42555555555555</v>
      </c>
      <c r="D86" s="105">
        <f>IFERROR(lifespans_all!D85*DTE_mission_minutes!D7,"-")</f>
        <v>707.53916666666669</v>
      </c>
      <c r="E86" s="105">
        <f>IFERROR(lifespans_all!E85*DTE_mission_minutes!E7,"-")</f>
        <v>608.43833333333339</v>
      </c>
      <c r="F86" s="105">
        <f>IFERROR(lifespans_all!F85*DTE_mission_minutes!F7,"-")</f>
        <v>671.11811111111115</v>
      </c>
      <c r="G86" s="105">
        <f>IFERROR(lifespans_all!G85*DTE_mission_minutes!G7,"-")</f>
        <v>671.11811111111115</v>
      </c>
      <c r="H86" s="105">
        <f>IFERROR(lifespans_all!H85*DTE_mission_minutes!H7,"-")</f>
        <v>671.11811111111115</v>
      </c>
      <c r="I86" s="105">
        <f>IFERROR(lifespans_all!I85*DTE_mission_minutes!I7,"-")</f>
        <v>0</v>
      </c>
      <c r="J86" s="105">
        <f>IFERROR(lifespans_all!J85*DTE_mission_minutes!J7,"-")</f>
        <v>0</v>
      </c>
      <c r="K86" s="105">
        <f>IFERROR(lifespans_all!K85*DTE_mission_minutes!K7,"-")</f>
        <v>0</v>
      </c>
      <c r="L86" s="105">
        <f>IFERROR(lifespans_all!L85*DTE_mission_minutes!L7,"-")</f>
        <v>0</v>
      </c>
      <c r="M86" s="105">
        <f>IFERROR(lifespans_all!M85*DTE_mission_minutes!M7,"-")</f>
        <v>0</v>
      </c>
      <c r="N86" s="105">
        <f>IFERROR(lifespans_all!N85*DTE_mission_minutes!N7,"-")</f>
        <v>0</v>
      </c>
      <c r="O86" s="105">
        <f>IFERROR(lifespans_all!O85*DTE_mission_minutes!O7,"-")</f>
        <v>0</v>
      </c>
      <c r="P86" s="105">
        <f>IFERROR(lifespans_all!P85*DTE_mission_minutes!P7,"-")</f>
        <v>0</v>
      </c>
      <c r="Q86" s="105">
        <f>IFERROR(lifespans_all!Q85*DTE_mission_minutes!Q7,"-")</f>
        <v>0</v>
      </c>
      <c r="R86" s="105">
        <f>IFERROR(lifespans_all!R85*DTE_mission_minutes!R7,"-")</f>
        <v>0</v>
      </c>
      <c r="S86" s="105">
        <f>IFERROR(lifespans_all!S85*DTE_mission_minutes!S7,"-")</f>
        <v>0</v>
      </c>
      <c r="T86" s="105">
        <f>IFERROR(lifespans_all!T85*DTE_mission_minutes!T7,"-")</f>
        <v>0</v>
      </c>
      <c r="U86" s="105">
        <f>IFERROR(lifespans_all!U85*DTE_mission_minutes!U7,"-")</f>
        <v>0</v>
      </c>
      <c r="V86" s="105">
        <f>IFERROR(lifespans_all!V85*DTE_mission_minutes!V7,"-")</f>
        <v>0</v>
      </c>
    </row>
    <row r="87" spans="1:22" x14ac:dyDescent="0.25">
      <c r="A87" s="29" t="s">
        <v>18</v>
      </c>
      <c r="B87" s="38" t="s">
        <v>48</v>
      </c>
      <c r="C87" s="105">
        <f>IFERROR(lifespans_all!C86*DTE_mission_minutes!C8,"-")</f>
        <v>508.14004722222222</v>
      </c>
      <c r="D87" s="105">
        <f>IFERROR(lifespans_all!D86*DTE_mission_minutes!D8,"-")</f>
        <v>377.5913888888889</v>
      </c>
      <c r="E87" s="105">
        <f>IFERROR(lifespans_all!E86*DTE_mission_minutes!E8,"-")</f>
        <v>307.24861111111113</v>
      </c>
      <c r="F87" s="105">
        <f>IFERROR(lifespans_all!F86*DTE_mission_minutes!F8,"-")</f>
        <v>392.20349666666669</v>
      </c>
      <c r="G87" s="105">
        <f>IFERROR(lifespans_all!G86*DTE_mission_minutes!G8,"-")</f>
        <v>392.20349666666669</v>
      </c>
      <c r="H87" s="105">
        <f>IFERROR(lifespans_all!H86*DTE_mission_minutes!H8,"-")</f>
        <v>392.20349666666669</v>
      </c>
      <c r="I87" s="105">
        <f>IFERROR(lifespans_all!I86*DTE_mission_minutes!I8,"-")</f>
        <v>392.20349666666669</v>
      </c>
      <c r="J87" s="105">
        <f>IFERROR(lifespans_all!J86*DTE_mission_minutes!J8,"-")</f>
        <v>392.20349666666669</v>
      </c>
      <c r="K87" s="105">
        <f>IFERROR(lifespans_all!K86*DTE_mission_minutes!K8,"-")</f>
        <v>392.20349666666669</v>
      </c>
      <c r="L87" s="105">
        <f>IFERROR(lifespans_all!L86*DTE_mission_minutes!L8,"-")</f>
        <v>392.20349666666669</v>
      </c>
      <c r="M87" s="105">
        <f>IFERROR(lifespans_all!M86*DTE_mission_minutes!M8,"-")</f>
        <v>392.20349666666669</v>
      </c>
      <c r="N87" s="105">
        <f>IFERROR(lifespans_all!N86*DTE_mission_minutes!N8,"-")</f>
        <v>392.20349666666669</v>
      </c>
      <c r="O87" s="105">
        <f>IFERROR(lifespans_all!O86*DTE_mission_minutes!O8,"-")</f>
        <v>392.20349666666669</v>
      </c>
      <c r="P87" s="105">
        <f>IFERROR(lifespans_all!P86*DTE_mission_minutes!P8,"-")</f>
        <v>392.20349666666669</v>
      </c>
      <c r="Q87" s="105">
        <f>IFERROR(lifespans_all!Q86*DTE_mission_minutes!Q8,"-")</f>
        <v>392.20349666666669</v>
      </c>
      <c r="R87" s="105">
        <f>IFERROR(lifespans_all!R86*DTE_mission_minutes!R8,"-")</f>
        <v>392.20349666666669</v>
      </c>
      <c r="S87" s="105">
        <f>IFERROR(lifespans_all!S86*DTE_mission_minutes!S8,"-")</f>
        <v>392.20349666666669</v>
      </c>
      <c r="T87" s="105">
        <f>IFERROR(lifespans_all!T86*DTE_mission_minutes!T8,"-")</f>
        <v>392.20349666666669</v>
      </c>
      <c r="U87" s="105">
        <f>IFERROR(lifespans_all!U86*DTE_mission_minutes!U8,"-")</f>
        <v>392.20349666666669</v>
      </c>
      <c r="V87" s="105">
        <f>IFERROR(lifespans_all!V86*DTE_mission_minutes!V8,"-")</f>
        <v>392.20349666666669</v>
      </c>
    </row>
    <row r="88" spans="1:22" x14ac:dyDescent="0.25">
      <c r="A88" s="29" t="s">
        <v>53</v>
      </c>
      <c r="B88" s="30" t="s">
        <v>41</v>
      </c>
      <c r="C88" s="105">
        <f>IFERROR(lifespans_all!C87*DTE_mission_minutes!C9,"-")</f>
        <v>0</v>
      </c>
      <c r="D88" s="105">
        <f>IFERROR(lifespans_all!D87*DTE_mission_minutes!D9,"-")</f>
        <v>0</v>
      </c>
      <c r="E88" s="105">
        <f>IFERROR(lifespans_all!E87*DTE_mission_minutes!E9,"-")</f>
        <v>0</v>
      </c>
      <c r="F88" s="105">
        <f>IFERROR(lifespans_all!F87*DTE_mission_minutes!F9,"-")</f>
        <v>0</v>
      </c>
      <c r="G88" s="105">
        <f>IFERROR(lifespans_all!G87*DTE_mission_minutes!G9,"-")</f>
        <v>0</v>
      </c>
      <c r="H88" s="105">
        <f>IFERROR(lifespans_all!H87*DTE_mission_minutes!H9,"-")</f>
        <v>0</v>
      </c>
      <c r="I88" s="105">
        <f>IFERROR(lifespans_all!I87*DTE_mission_minutes!I9,"-")</f>
        <v>0</v>
      </c>
      <c r="J88" s="105">
        <f>IFERROR(lifespans_all!J87*DTE_mission_minutes!J9,"-")</f>
        <v>0</v>
      </c>
      <c r="K88" s="105">
        <f>IFERROR(lifespans_all!K87*DTE_mission_minutes!K9,"-")</f>
        <v>0</v>
      </c>
      <c r="L88" s="105">
        <f>IFERROR(lifespans_all!L87*DTE_mission_minutes!L9,"-")</f>
        <v>0</v>
      </c>
      <c r="M88" s="105">
        <f>IFERROR(lifespans_all!M87*DTE_mission_minutes!M9,"-")</f>
        <v>0</v>
      </c>
      <c r="N88" s="105">
        <f>IFERROR(lifespans_all!N87*DTE_mission_minutes!N9,"-")</f>
        <v>0</v>
      </c>
      <c r="O88" s="105">
        <f>IFERROR(lifespans_all!O87*DTE_mission_minutes!O9,"-")</f>
        <v>0</v>
      </c>
      <c r="P88" s="105">
        <f>IFERROR(lifespans_all!P87*DTE_mission_minutes!P9,"-")</f>
        <v>0</v>
      </c>
      <c r="Q88" s="105">
        <f>IFERROR(lifespans_all!Q87*DTE_mission_minutes!Q9,"-")</f>
        <v>0</v>
      </c>
      <c r="R88" s="105">
        <f>IFERROR(lifespans_all!R87*DTE_mission_minutes!R9,"-")</f>
        <v>0</v>
      </c>
      <c r="S88" s="105">
        <f>IFERROR(lifespans_all!S87*DTE_mission_minutes!S9,"-")</f>
        <v>0</v>
      </c>
      <c r="T88" s="105">
        <f>IFERROR(lifespans_all!T87*DTE_mission_minutes!T9,"-")</f>
        <v>0</v>
      </c>
      <c r="U88" s="105">
        <f>IFERROR(lifespans_all!U87*DTE_mission_minutes!U9,"-")</f>
        <v>0</v>
      </c>
      <c r="V88" s="105">
        <f>IFERROR(lifespans_all!V87*DTE_mission_minutes!V9,"-")</f>
        <v>0</v>
      </c>
    </row>
    <row r="89" spans="1:22" x14ac:dyDescent="0.25">
      <c r="A89" s="29" t="s">
        <v>54</v>
      </c>
      <c r="B89" s="37" t="s">
        <v>43</v>
      </c>
      <c r="C89" s="105">
        <f>IFERROR(lifespans_all!C88*DTE_mission_minutes!C10,"-")</f>
        <v>1178.5658305555555</v>
      </c>
      <c r="D89" s="105">
        <f>IFERROR(lifespans_all!D88*DTE_mission_minutes!D10,"-")</f>
        <v>779.39891388888896</v>
      </c>
      <c r="E89" s="105">
        <f>IFERROR(lifespans_all!E88*DTE_mission_minutes!E10,"-")</f>
        <v>4.2386111111111111</v>
      </c>
      <c r="F89" s="105">
        <f>IFERROR(lifespans_all!F88*DTE_mission_minutes!F10,"-")</f>
        <v>871.54136999999992</v>
      </c>
      <c r="G89" s="105">
        <f>IFERROR(lifespans_all!G88*DTE_mission_minutes!G10,"-")</f>
        <v>871.54136999999992</v>
      </c>
      <c r="H89" s="105">
        <f>IFERROR(lifespans_all!H88*DTE_mission_minutes!H10,"-")</f>
        <v>871.54136999999992</v>
      </c>
      <c r="I89" s="105">
        <f>IFERROR(lifespans_all!I88*DTE_mission_minutes!I10,"-")</f>
        <v>871.54136999999992</v>
      </c>
      <c r="J89" s="105">
        <f>IFERROR(lifespans_all!J88*DTE_mission_minutes!J10,"-")</f>
        <v>871.54136999999992</v>
      </c>
      <c r="K89" s="105">
        <f>IFERROR(lifespans_all!K88*DTE_mission_minutes!K10,"-")</f>
        <v>871.54136999999992</v>
      </c>
      <c r="L89" s="105">
        <f>IFERROR(lifespans_all!L88*DTE_mission_minutes!L10,"-")</f>
        <v>871.54136999999992</v>
      </c>
      <c r="M89" s="105">
        <f>IFERROR(lifespans_all!M88*DTE_mission_minutes!M10,"-")</f>
        <v>0</v>
      </c>
      <c r="N89" s="105">
        <f>IFERROR(lifespans_all!N88*DTE_mission_minutes!N10,"-")</f>
        <v>0</v>
      </c>
      <c r="O89" s="105">
        <f>IFERROR(lifespans_all!O88*DTE_mission_minutes!O10,"-")</f>
        <v>0</v>
      </c>
      <c r="P89" s="105">
        <f>IFERROR(lifespans_all!P88*DTE_mission_minutes!P10,"-")</f>
        <v>0</v>
      </c>
      <c r="Q89" s="105">
        <f>IFERROR(lifespans_all!Q88*DTE_mission_minutes!Q10,"-")</f>
        <v>0</v>
      </c>
      <c r="R89" s="105">
        <f>IFERROR(lifespans_all!R88*DTE_mission_minutes!R10,"-")</f>
        <v>0</v>
      </c>
      <c r="S89" s="105">
        <f>IFERROR(lifespans_all!S88*DTE_mission_minutes!S10,"-")</f>
        <v>0</v>
      </c>
      <c r="T89" s="105">
        <f>IFERROR(lifespans_all!T88*DTE_mission_minutes!T10,"-")</f>
        <v>0</v>
      </c>
      <c r="U89" s="105">
        <f>IFERROR(lifespans_all!U88*DTE_mission_minutes!U10,"-")</f>
        <v>0</v>
      </c>
      <c r="V89" s="105">
        <f>IFERROR(lifespans_all!V88*DTE_mission_minutes!V10,"-")</f>
        <v>0</v>
      </c>
    </row>
    <row r="90" spans="1:22" x14ac:dyDescent="0.25">
      <c r="A90" s="29" t="s">
        <v>55</v>
      </c>
      <c r="B90" s="37" t="s">
        <v>42</v>
      </c>
      <c r="C90" s="105">
        <f>IFERROR(lifespans_all!C89*DTE_mission_minutes!C11,"-")</f>
        <v>721.11352444444435</v>
      </c>
      <c r="D90" s="105">
        <f>IFERROR(lifespans_all!D89*DTE_mission_minutes!D11,"-")</f>
        <v>721.11352444444435</v>
      </c>
      <c r="E90" s="105">
        <f>IFERROR(lifespans_all!E89*DTE_mission_minutes!E11,"-")</f>
        <v>721.11352444444435</v>
      </c>
      <c r="F90" s="105">
        <f>IFERROR(lifespans_all!F89*DTE_mission_minutes!F11,"-")</f>
        <v>721.11352444444435</v>
      </c>
      <c r="G90" s="105">
        <f>IFERROR(lifespans_all!G89*DTE_mission_minutes!G11,"-")</f>
        <v>721.11352444444435</v>
      </c>
      <c r="H90" s="105">
        <f>IFERROR(lifespans_all!H89*DTE_mission_minutes!H11,"-")</f>
        <v>721.11352444444435</v>
      </c>
      <c r="I90" s="105">
        <f>IFERROR(lifespans_all!I89*DTE_mission_minutes!I11,"-")</f>
        <v>721.11352444444435</v>
      </c>
      <c r="J90" s="105">
        <f>IFERROR(lifespans_all!J89*DTE_mission_minutes!J11,"-")</f>
        <v>721.11352444444435</v>
      </c>
      <c r="K90" s="105">
        <f>IFERROR(lifespans_all!K89*DTE_mission_minutes!K11,"-")</f>
        <v>721.11352444444435</v>
      </c>
      <c r="L90" s="105">
        <f>IFERROR(lifespans_all!L89*DTE_mission_minutes!L11,"-")</f>
        <v>721.11352444444435</v>
      </c>
      <c r="M90" s="105">
        <f>IFERROR(lifespans_all!M89*DTE_mission_minutes!M11,"-")</f>
        <v>721.11352444444435</v>
      </c>
      <c r="N90" s="105">
        <f>IFERROR(lifespans_all!N89*DTE_mission_minutes!N11,"-")</f>
        <v>721.11352444444435</v>
      </c>
      <c r="O90" s="105">
        <f>IFERROR(lifespans_all!O89*DTE_mission_minutes!O11,"-")</f>
        <v>721.11352444444435</v>
      </c>
      <c r="P90" s="105">
        <f>IFERROR(lifespans_all!P89*DTE_mission_minutes!P11,"-")</f>
        <v>721.11352444444435</v>
      </c>
      <c r="Q90" s="105">
        <f>IFERROR(lifespans_all!Q89*DTE_mission_minutes!Q11,"-")</f>
        <v>721.11352444444435</v>
      </c>
      <c r="R90" s="105">
        <f>IFERROR(lifespans_all!R89*DTE_mission_minutes!R11,"-")</f>
        <v>721.11352444444435</v>
      </c>
      <c r="S90" s="105">
        <f>IFERROR(lifespans_all!S89*DTE_mission_minutes!S11,"-")</f>
        <v>721.11352444444435</v>
      </c>
      <c r="T90" s="105">
        <f>IFERROR(lifespans_all!T89*DTE_mission_minutes!T11,"-")</f>
        <v>721.11352444444435</v>
      </c>
      <c r="U90" s="105">
        <f>IFERROR(lifespans_all!U89*DTE_mission_minutes!U11,"-")</f>
        <v>721.11352444444435</v>
      </c>
      <c r="V90" s="105">
        <f>IFERROR(lifespans_all!V89*DTE_mission_minutes!V11,"-")</f>
        <v>721.11352444444435</v>
      </c>
    </row>
    <row r="91" spans="1:22" x14ac:dyDescent="0.25">
      <c r="A91" s="29" t="s">
        <v>56</v>
      </c>
      <c r="B91" s="36" t="s">
        <v>43</v>
      </c>
      <c r="C91" s="105">
        <f>IFERROR(lifespans_all!C90*DTE_mission_minutes!C12,"-")</f>
        <v>171572.29579277776</v>
      </c>
      <c r="D91" s="105">
        <f>IFERROR(lifespans_all!D90*DTE_mission_minutes!D12,"-")</f>
        <v>171572.29579277776</v>
      </c>
      <c r="E91" s="105">
        <f>IFERROR(lifespans_all!E90*DTE_mission_minutes!E12,"-")</f>
        <v>171572.29579277776</v>
      </c>
      <c r="F91" s="105">
        <f>IFERROR(lifespans_all!F90*DTE_mission_minutes!F12,"-")</f>
        <v>171572.29579277776</v>
      </c>
      <c r="G91" s="105">
        <f>IFERROR(lifespans_all!G90*DTE_mission_minutes!G12,"-")</f>
        <v>171572.29579277776</v>
      </c>
      <c r="H91" s="105">
        <f>IFERROR(lifespans_all!H90*DTE_mission_minutes!H12,"-")</f>
        <v>171572.29579277776</v>
      </c>
      <c r="I91" s="105">
        <f>IFERROR(lifespans_all!I90*DTE_mission_minutes!I12,"-")</f>
        <v>171572.29579277776</v>
      </c>
      <c r="J91" s="105">
        <f>IFERROR(lifespans_all!J90*DTE_mission_minutes!J12,"-")</f>
        <v>171572.29579277776</v>
      </c>
      <c r="K91" s="105">
        <f>IFERROR(lifespans_all!K90*DTE_mission_minutes!K12,"-")</f>
        <v>171572.29579277776</v>
      </c>
      <c r="L91" s="105">
        <f>IFERROR(lifespans_all!L90*DTE_mission_minutes!L12,"-")</f>
        <v>171572.29579277776</v>
      </c>
      <c r="M91" s="105">
        <f>IFERROR(lifespans_all!M90*DTE_mission_minutes!M12,"-")</f>
        <v>171572.29579277776</v>
      </c>
      <c r="N91" s="105">
        <f>IFERROR(lifespans_all!N90*DTE_mission_minutes!N12,"-")</f>
        <v>171572.29579277776</v>
      </c>
      <c r="O91" s="105">
        <f>IFERROR(lifespans_all!O90*DTE_mission_minutes!O12,"-")</f>
        <v>171572.29579277776</v>
      </c>
      <c r="P91" s="105">
        <f>IFERROR(lifespans_all!P90*DTE_mission_minutes!P12,"-")</f>
        <v>171572.29579277776</v>
      </c>
      <c r="Q91" s="105">
        <f>IFERROR(lifespans_all!Q90*DTE_mission_minutes!Q12,"-")</f>
        <v>171572.29579277776</v>
      </c>
      <c r="R91" s="105">
        <f>IFERROR(lifespans_all!R90*DTE_mission_minutes!R12,"-")</f>
        <v>171572.29579277776</v>
      </c>
      <c r="S91" s="105">
        <f>IFERROR(lifespans_all!S90*DTE_mission_minutes!S12,"-")</f>
        <v>171572.29579277776</v>
      </c>
      <c r="T91" s="105">
        <f>IFERROR(lifespans_all!T90*DTE_mission_minutes!T12,"-")</f>
        <v>171572.29579277776</v>
      </c>
      <c r="U91" s="105">
        <f>IFERROR(lifespans_all!U90*DTE_mission_minutes!U12,"-")</f>
        <v>171572.29579277776</v>
      </c>
      <c r="V91" s="105">
        <f>IFERROR(lifespans_all!V90*DTE_mission_minutes!V12,"-")</f>
        <v>171572.29579277776</v>
      </c>
    </row>
    <row r="92" spans="1:22" x14ac:dyDescent="0.25">
      <c r="A92" s="29" t="s">
        <v>66</v>
      </c>
      <c r="B92" s="38" t="s">
        <v>48</v>
      </c>
      <c r="C92" s="105" t="str">
        <f>IFERROR(lifespans_all!C91*DTE_mission_minutes!C13,"-")</f>
        <v>-</v>
      </c>
      <c r="D92" s="105" t="str">
        <f>IFERROR(lifespans_all!D91*DTE_mission_minutes!D13,"-")</f>
        <v>-</v>
      </c>
      <c r="E92" s="105" t="str">
        <f>IFERROR(lifespans_all!E91*DTE_mission_minutes!E13,"-")</f>
        <v>-</v>
      </c>
      <c r="F92" s="105" t="str">
        <f>IFERROR(lifespans_all!F91*DTE_mission_minutes!F13,"-")</f>
        <v>-</v>
      </c>
      <c r="G92" s="105" t="str">
        <f>IFERROR(lifespans_all!G91*DTE_mission_minutes!G13,"-")</f>
        <v>-</v>
      </c>
      <c r="H92" s="105" t="str">
        <f>IFERROR(lifespans_all!H91*DTE_mission_minutes!H13,"-")</f>
        <v>-</v>
      </c>
      <c r="I92" s="105" t="str">
        <f>IFERROR(lifespans_all!I91*DTE_mission_minutes!I13,"-")</f>
        <v>-</v>
      </c>
      <c r="J92" s="105" t="str">
        <f>IFERROR(lifespans_all!J91*DTE_mission_minutes!J13,"-")</f>
        <v>-</v>
      </c>
      <c r="K92" s="105" t="str">
        <f>IFERROR(lifespans_all!K91*DTE_mission_minutes!K13,"-")</f>
        <v>-</v>
      </c>
      <c r="L92" s="105" t="str">
        <f>IFERROR(lifespans_all!L91*DTE_mission_minutes!L13,"-")</f>
        <v>-</v>
      </c>
      <c r="M92" s="105" t="str">
        <f>IFERROR(lifespans_all!M91*DTE_mission_minutes!M13,"-")</f>
        <v>-</v>
      </c>
      <c r="N92" s="105" t="str">
        <f>IFERROR(lifespans_all!N91*DTE_mission_minutes!N13,"-")</f>
        <v>-</v>
      </c>
      <c r="O92" s="105" t="str">
        <f>IFERROR(lifespans_all!O91*DTE_mission_minutes!O13,"-")</f>
        <v>-</v>
      </c>
      <c r="P92" s="105" t="str">
        <f>IFERROR(lifespans_all!P91*DTE_mission_minutes!P13,"-")</f>
        <v>-</v>
      </c>
      <c r="Q92" s="105" t="str">
        <f>IFERROR(lifespans_all!Q91*DTE_mission_minutes!Q13,"-")</f>
        <v>-</v>
      </c>
      <c r="R92" s="105" t="str">
        <f>IFERROR(lifespans_all!R91*DTE_mission_minutes!R13,"-")</f>
        <v>-</v>
      </c>
      <c r="S92" s="105" t="str">
        <f>IFERROR(lifespans_all!S91*DTE_mission_minutes!S13,"-")</f>
        <v>-</v>
      </c>
      <c r="T92" s="105" t="str">
        <f>IFERROR(lifespans_all!T91*DTE_mission_minutes!T13,"-")</f>
        <v>-</v>
      </c>
      <c r="U92" s="105" t="str">
        <f>IFERROR(lifespans_all!U91*DTE_mission_minutes!U13,"-")</f>
        <v>-</v>
      </c>
      <c r="V92" s="105" t="str">
        <f>IFERROR(lifespans_all!V91*DTE_mission_minutes!V13,"-")</f>
        <v>-</v>
      </c>
    </row>
    <row r="93" spans="1:22" x14ac:dyDescent="0.25">
      <c r="A93" s="29" t="s">
        <v>19</v>
      </c>
      <c r="B93" s="30" t="s">
        <v>41</v>
      </c>
      <c r="C93" s="105">
        <f>IFERROR(lifespans_all!C92*DTE_mission_minutes!C14,"-")</f>
        <v>851.36055555555549</v>
      </c>
      <c r="D93" s="105">
        <f>IFERROR(lifespans_all!D92*DTE_mission_minutes!D14,"-")</f>
        <v>921.41561944444436</v>
      </c>
      <c r="E93" s="105">
        <f>IFERROR(lifespans_all!E92*DTE_mission_minutes!E14,"-")</f>
        <v>793.34499999999991</v>
      </c>
      <c r="F93" s="105">
        <f>IFERROR(lifespans_all!F92*DTE_mission_minutes!F14,"-")</f>
        <v>796.60534611111109</v>
      </c>
      <c r="G93" s="105">
        <f>IFERROR(lifespans_all!G92*DTE_mission_minutes!G14,"-")</f>
        <v>796.60534611111109</v>
      </c>
      <c r="H93" s="105">
        <f>IFERROR(lifespans_all!H92*DTE_mission_minutes!H14,"-")</f>
        <v>796.60534611111109</v>
      </c>
      <c r="I93" s="105">
        <f>IFERROR(lifespans_all!I92*DTE_mission_minutes!I14,"-")</f>
        <v>796.60534611111109</v>
      </c>
      <c r="J93" s="105">
        <f>IFERROR(lifespans_all!J92*DTE_mission_minutes!J14,"-")</f>
        <v>0</v>
      </c>
      <c r="K93" s="105">
        <f>IFERROR(lifespans_all!K92*DTE_mission_minutes!K14,"-")</f>
        <v>0</v>
      </c>
      <c r="L93" s="105">
        <f>IFERROR(lifespans_all!L92*DTE_mission_minutes!L14,"-")</f>
        <v>0</v>
      </c>
      <c r="M93" s="105">
        <f>IFERROR(lifespans_all!M92*DTE_mission_minutes!M14,"-")</f>
        <v>0</v>
      </c>
      <c r="N93" s="105">
        <f>IFERROR(lifespans_all!N92*DTE_mission_minutes!N14,"-")</f>
        <v>0</v>
      </c>
      <c r="O93" s="105">
        <f>IFERROR(lifespans_all!O92*DTE_mission_minutes!O14,"-")</f>
        <v>0</v>
      </c>
      <c r="P93" s="105">
        <f>IFERROR(lifespans_all!P92*DTE_mission_minutes!P14,"-")</f>
        <v>0</v>
      </c>
      <c r="Q93" s="105">
        <f>IFERROR(lifespans_all!Q92*DTE_mission_minutes!Q14,"-")</f>
        <v>0</v>
      </c>
      <c r="R93" s="105">
        <f>IFERROR(lifespans_all!R92*DTE_mission_minutes!R14,"-")</f>
        <v>0</v>
      </c>
      <c r="S93" s="105">
        <f>IFERROR(lifespans_all!S92*DTE_mission_minutes!S14,"-")</f>
        <v>0</v>
      </c>
      <c r="T93" s="105">
        <f>IFERROR(lifespans_all!T92*DTE_mission_minutes!T14,"-")</f>
        <v>0</v>
      </c>
      <c r="U93" s="105">
        <f>IFERROR(lifespans_all!U92*DTE_mission_minutes!U14,"-")</f>
        <v>0</v>
      </c>
      <c r="V93" s="105">
        <f>IFERROR(lifespans_all!V92*DTE_mission_minutes!V14,"-")</f>
        <v>0</v>
      </c>
    </row>
    <row r="94" spans="1:22" x14ac:dyDescent="0.25">
      <c r="A94" s="41" t="s">
        <v>67</v>
      </c>
      <c r="B94" s="30" t="s">
        <v>40</v>
      </c>
      <c r="C94" s="105">
        <f>IFERROR(lifespans_all!C93*DTE_mission_minutes!C15,"-")</f>
        <v>2140.4341038095235</v>
      </c>
      <c r="D94" s="105">
        <f>IFERROR(lifespans_all!D93*DTE_mission_minutes!D15,"-")</f>
        <v>2140.4341038095235</v>
      </c>
      <c r="E94" s="105">
        <f>IFERROR(lifespans_all!E93*DTE_mission_minutes!E15,"-")</f>
        <v>2140.4341038095235</v>
      </c>
      <c r="F94" s="105">
        <f>IFERROR(lifespans_all!F93*DTE_mission_minutes!F15,"-")</f>
        <v>2140.4341038095235</v>
      </c>
      <c r="G94" s="105">
        <f>IFERROR(lifespans_all!G93*DTE_mission_minutes!G15,"-")</f>
        <v>2140.4341038095235</v>
      </c>
      <c r="H94" s="105">
        <f>IFERROR(lifespans_all!H93*DTE_mission_minutes!H15,"-")</f>
        <v>2140.4341038095235</v>
      </c>
      <c r="I94" s="105">
        <f>IFERROR(lifespans_all!I93*DTE_mission_minutes!I15,"-")</f>
        <v>2140.4341038095235</v>
      </c>
      <c r="J94" s="105">
        <f>IFERROR(lifespans_all!J93*DTE_mission_minutes!J15,"-")</f>
        <v>2140.4341038095235</v>
      </c>
      <c r="K94" s="105">
        <f>IFERROR(lifespans_all!K93*DTE_mission_minutes!K15,"-")</f>
        <v>2140.4341038095235</v>
      </c>
      <c r="L94" s="105">
        <f>IFERROR(lifespans_all!L93*DTE_mission_minutes!L15,"-")</f>
        <v>2140.4341038095235</v>
      </c>
      <c r="M94" s="105">
        <f>IFERROR(lifespans_all!M93*DTE_mission_minutes!M15,"-")</f>
        <v>2140.4341038095235</v>
      </c>
      <c r="N94" s="105">
        <f>IFERROR(lifespans_all!N93*DTE_mission_minutes!N15,"-")</f>
        <v>2140.4341038095235</v>
      </c>
      <c r="O94" s="105">
        <f>IFERROR(lifespans_all!O93*DTE_mission_minutes!O15,"-")</f>
        <v>2140.4341038095235</v>
      </c>
      <c r="P94" s="105">
        <f>IFERROR(lifespans_all!P93*DTE_mission_minutes!P15,"-")</f>
        <v>2140.4341038095235</v>
      </c>
      <c r="Q94" s="105">
        <f>IFERROR(lifespans_all!Q93*DTE_mission_minutes!Q15,"-")</f>
        <v>2140.4341038095235</v>
      </c>
      <c r="R94" s="105">
        <f>IFERROR(lifespans_all!R93*DTE_mission_minutes!R15,"-")</f>
        <v>2140.4341038095235</v>
      </c>
      <c r="S94" s="105">
        <f>IFERROR(lifespans_all!S93*DTE_mission_minutes!S15,"-")</f>
        <v>2140.4341038095235</v>
      </c>
      <c r="T94" s="105">
        <f>IFERROR(lifespans_all!T93*DTE_mission_minutes!T15,"-")</f>
        <v>2140.4341038095235</v>
      </c>
      <c r="U94" s="105">
        <f>IFERROR(lifespans_all!U93*DTE_mission_minutes!U15,"-")</f>
        <v>2140.4341038095235</v>
      </c>
      <c r="V94" s="105">
        <f>IFERROR(lifespans_all!V93*DTE_mission_minutes!V15,"-")</f>
        <v>2140.4341038095235</v>
      </c>
    </row>
    <row r="95" spans="1:22" x14ac:dyDescent="0.25">
      <c r="A95" s="41" t="s">
        <v>68</v>
      </c>
      <c r="B95" s="30" t="s">
        <v>40</v>
      </c>
      <c r="C95" s="105">
        <f>IFERROR(lifespans_all!C94*DTE_mission_minutes!C16,"-")</f>
        <v>2140.4341038095235</v>
      </c>
      <c r="D95" s="105">
        <f>IFERROR(lifespans_all!D94*DTE_mission_minutes!D16,"-")</f>
        <v>2140.4341038095235</v>
      </c>
      <c r="E95" s="105">
        <f>IFERROR(lifespans_all!E94*DTE_mission_minutes!E16,"-")</f>
        <v>2140.4341038095235</v>
      </c>
      <c r="F95" s="105">
        <f>IFERROR(lifespans_all!F94*DTE_mission_minutes!F16,"-")</f>
        <v>2140.4341038095235</v>
      </c>
      <c r="G95" s="105">
        <f>IFERROR(lifespans_all!G94*DTE_mission_minutes!G16,"-")</f>
        <v>2140.4341038095235</v>
      </c>
      <c r="H95" s="105">
        <f>IFERROR(lifespans_all!H94*DTE_mission_minutes!H16,"-")</f>
        <v>2140.4341038095235</v>
      </c>
      <c r="I95" s="105">
        <f>IFERROR(lifespans_all!I94*DTE_mission_minutes!I16,"-")</f>
        <v>2140.4341038095235</v>
      </c>
      <c r="J95" s="105">
        <f>IFERROR(lifespans_all!J94*DTE_mission_minutes!J16,"-")</f>
        <v>2140.4341038095235</v>
      </c>
      <c r="K95" s="105">
        <f>IFERROR(lifespans_all!K94*DTE_mission_minutes!K16,"-")</f>
        <v>2140.4341038095235</v>
      </c>
      <c r="L95" s="105">
        <f>IFERROR(lifespans_all!L94*DTE_mission_minutes!L16,"-")</f>
        <v>2140.4341038095235</v>
      </c>
      <c r="M95" s="105">
        <f>IFERROR(lifespans_all!M94*DTE_mission_minutes!M16,"-")</f>
        <v>2140.4341038095235</v>
      </c>
      <c r="N95" s="105">
        <f>IFERROR(lifespans_all!N94*DTE_mission_minutes!N16,"-")</f>
        <v>2140.4341038095235</v>
      </c>
      <c r="O95" s="105">
        <f>IFERROR(lifespans_all!O94*DTE_mission_minutes!O16,"-")</f>
        <v>2140.4341038095235</v>
      </c>
      <c r="P95" s="105">
        <f>IFERROR(lifespans_all!P94*DTE_mission_minutes!P16,"-")</f>
        <v>2140.4341038095235</v>
      </c>
      <c r="Q95" s="105">
        <f>IFERROR(lifespans_all!Q94*DTE_mission_minutes!Q16,"-")</f>
        <v>2140.4341038095235</v>
      </c>
      <c r="R95" s="105">
        <f>IFERROR(lifespans_all!R94*DTE_mission_minutes!R16,"-")</f>
        <v>2140.4341038095235</v>
      </c>
      <c r="S95" s="105">
        <f>IFERROR(lifespans_all!S94*DTE_mission_minutes!S16,"-")</f>
        <v>2140.4341038095235</v>
      </c>
      <c r="T95" s="105">
        <f>IFERROR(lifespans_all!T94*DTE_mission_minutes!T16,"-")</f>
        <v>2140.4341038095235</v>
      </c>
      <c r="U95" s="105">
        <f>IFERROR(lifespans_all!U94*DTE_mission_minutes!U16,"-")</f>
        <v>2140.4341038095235</v>
      </c>
      <c r="V95" s="105">
        <f>IFERROR(lifespans_all!V94*DTE_mission_minutes!V16,"-")</f>
        <v>2140.4341038095235</v>
      </c>
    </row>
    <row r="96" spans="1:22" x14ac:dyDescent="0.25">
      <c r="A96" s="41" t="s">
        <v>69</v>
      </c>
      <c r="B96" s="30" t="s">
        <v>40</v>
      </c>
      <c r="C96" s="105">
        <f>IFERROR(lifespans_all!C95*DTE_mission_minutes!C17,"-")</f>
        <v>2140.4341038095235</v>
      </c>
      <c r="D96" s="105">
        <f>IFERROR(lifespans_all!D95*DTE_mission_minutes!D17,"-")</f>
        <v>2140.4341038095235</v>
      </c>
      <c r="E96" s="105">
        <f>IFERROR(lifespans_all!E95*DTE_mission_minutes!E17,"-")</f>
        <v>2140.4341038095235</v>
      </c>
      <c r="F96" s="105">
        <f>IFERROR(lifespans_all!F95*DTE_mission_minutes!F17,"-")</f>
        <v>2140.4341038095235</v>
      </c>
      <c r="G96" s="105">
        <f>IFERROR(lifespans_all!G95*DTE_mission_minutes!G17,"-")</f>
        <v>2140.4341038095235</v>
      </c>
      <c r="H96" s="105">
        <f>IFERROR(lifespans_all!H95*DTE_mission_minutes!H17,"-")</f>
        <v>2140.4341038095235</v>
      </c>
      <c r="I96" s="105">
        <f>IFERROR(lifespans_all!I95*DTE_mission_minutes!I17,"-")</f>
        <v>2140.4341038095235</v>
      </c>
      <c r="J96" s="105">
        <f>IFERROR(lifespans_all!J95*DTE_mission_minutes!J17,"-")</f>
        <v>2140.4341038095235</v>
      </c>
      <c r="K96" s="105">
        <f>IFERROR(lifespans_all!K95*DTE_mission_minutes!K17,"-")</f>
        <v>2140.4341038095235</v>
      </c>
      <c r="L96" s="105">
        <f>IFERROR(lifespans_all!L95*DTE_mission_minutes!L17,"-")</f>
        <v>2140.4341038095235</v>
      </c>
      <c r="M96" s="105">
        <f>IFERROR(lifespans_all!M95*DTE_mission_minutes!M17,"-")</f>
        <v>2140.4341038095235</v>
      </c>
      <c r="N96" s="105">
        <f>IFERROR(lifespans_all!N95*DTE_mission_minutes!N17,"-")</f>
        <v>2140.4341038095235</v>
      </c>
      <c r="O96" s="105">
        <f>IFERROR(lifespans_all!O95*DTE_mission_minutes!O17,"-")</f>
        <v>2140.4341038095235</v>
      </c>
      <c r="P96" s="105">
        <f>IFERROR(lifespans_all!P95*DTE_mission_minutes!P17,"-")</f>
        <v>2140.4341038095235</v>
      </c>
      <c r="Q96" s="105">
        <f>IFERROR(lifespans_all!Q95*DTE_mission_minutes!Q17,"-")</f>
        <v>2140.4341038095235</v>
      </c>
      <c r="R96" s="105">
        <f>IFERROR(lifespans_all!R95*DTE_mission_minutes!R17,"-")</f>
        <v>2140.4341038095235</v>
      </c>
      <c r="S96" s="105">
        <f>IFERROR(lifespans_all!S95*DTE_mission_minutes!S17,"-")</f>
        <v>2140.4341038095235</v>
      </c>
      <c r="T96" s="105">
        <f>IFERROR(lifespans_all!T95*DTE_mission_minutes!T17,"-")</f>
        <v>2140.4341038095235</v>
      </c>
      <c r="U96" s="105">
        <f>IFERROR(lifespans_all!U95*DTE_mission_minutes!U17,"-")</f>
        <v>2140.4341038095235</v>
      </c>
      <c r="V96" s="105">
        <f>IFERROR(lifespans_all!V95*DTE_mission_minutes!V17,"-")</f>
        <v>2140.4341038095235</v>
      </c>
    </row>
    <row r="97" spans="1:22" x14ac:dyDescent="0.25">
      <c r="A97" s="41" t="s">
        <v>70</v>
      </c>
      <c r="B97" s="30" t="s">
        <v>40</v>
      </c>
      <c r="C97" s="105">
        <f>IFERROR(lifespans_all!C96*DTE_mission_minutes!C18,"-")</f>
        <v>2140.4341038095235</v>
      </c>
      <c r="D97" s="105">
        <f>IFERROR(lifespans_all!D96*DTE_mission_minutes!D18,"-")</f>
        <v>2140.4341038095235</v>
      </c>
      <c r="E97" s="105">
        <f>IFERROR(lifespans_all!E96*DTE_mission_minutes!E18,"-")</f>
        <v>2140.4341038095235</v>
      </c>
      <c r="F97" s="105">
        <f>IFERROR(lifespans_all!F96*DTE_mission_minutes!F18,"-")</f>
        <v>2140.4341038095235</v>
      </c>
      <c r="G97" s="105">
        <f>IFERROR(lifespans_all!G96*DTE_mission_minutes!G18,"-")</f>
        <v>2140.4341038095235</v>
      </c>
      <c r="H97" s="105">
        <f>IFERROR(lifespans_all!H96*DTE_mission_minutes!H18,"-")</f>
        <v>2140.4341038095235</v>
      </c>
      <c r="I97" s="105">
        <f>IFERROR(lifespans_all!I96*DTE_mission_minutes!I18,"-")</f>
        <v>2140.4341038095235</v>
      </c>
      <c r="J97" s="105">
        <f>IFERROR(lifespans_all!J96*DTE_mission_minutes!J18,"-")</f>
        <v>2140.4341038095235</v>
      </c>
      <c r="K97" s="105">
        <f>IFERROR(lifespans_all!K96*DTE_mission_minutes!K18,"-")</f>
        <v>2140.4341038095235</v>
      </c>
      <c r="L97" s="105">
        <f>IFERROR(lifespans_all!L96*DTE_mission_minutes!L18,"-")</f>
        <v>2140.4341038095235</v>
      </c>
      <c r="M97" s="105">
        <f>IFERROR(lifespans_all!M96*DTE_mission_minutes!M18,"-")</f>
        <v>2140.4341038095235</v>
      </c>
      <c r="N97" s="105">
        <f>IFERROR(lifespans_all!N96*DTE_mission_minutes!N18,"-")</f>
        <v>2140.4341038095235</v>
      </c>
      <c r="O97" s="105">
        <f>IFERROR(lifespans_all!O96*DTE_mission_minutes!O18,"-")</f>
        <v>2140.4341038095235</v>
      </c>
      <c r="P97" s="105">
        <f>IFERROR(lifespans_all!P96*DTE_mission_minutes!P18,"-")</f>
        <v>2140.4341038095235</v>
      </c>
      <c r="Q97" s="105">
        <f>IFERROR(lifespans_all!Q96*DTE_mission_minutes!Q18,"-")</f>
        <v>2140.4341038095235</v>
      </c>
      <c r="R97" s="105">
        <f>IFERROR(lifespans_all!R96*DTE_mission_minutes!R18,"-")</f>
        <v>2140.4341038095235</v>
      </c>
      <c r="S97" s="105">
        <f>IFERROR(lifespans_all!S96*DTE_mission_minutes!S18,"-")</f>
        <v>2140.4341038095235</v>
      </c>
      <c r="T97" s="105">
        <f>IFERROR(lifespans_all!T96*DTE_mission_minutes!T18,"-")</f>
        <v>2140.4341038095235</v>
      </c>
      <c r="U97" s="105">
        <f>IFERROR(lifespans_all!U96*DTE_mission_minutes!U18,"-")</f>
        <v>2140.4341038095235</v>
      </c>
      <c r="V97" s="105">
        <f>IFERROR(lifespans_all!V96*DTE_mission_minutes!V18,"-")</f>
        <v>2140.4341038095235</v>
      </c>
    </row>
    <row r="98" spans="1:22" x14ac:dyDescent="0.25">
      <c r="A98" s="29" t="s">
        <v>20</v>
      </c>
      <c r="B98" s="30" t="s">
        <v>41</v>
      </c>
      <c r="C98" s="105">
        <f>IFERROR(lifespans_all!C97*DTE_mission_minutes!C19,"-")</f>
        <v>3121.1464916666664</v>
      </c>
      <c r="D98" s="105">
        <f>IFERROR(lifespans_all!D97*DTE_mission_minutes!D19,"-")</f>
        <v>3157.8943527777778</v>
      </c>
      <c r="E98" s="105">
        <f>IFERROR(lifespans_all!E97*DTE_mission_minutes!E19,"-")</f>
        <v>2937.5030555555554</v>
      </c>
      <c r="F98" s="105">
        <f>IFERROR(lifespans_all!F97*DTE_mission_minutes!F19,"-")</f>
        <v>3137.9728877777775</v>
      </c>
      <c r="G98" s="105">
        <f>IFERROR(lifespans_all!G97*DTE_mission_minutes!G19,"-")</f>
        <v>3137.9728877777775</v>
      </c>
      <c r="H98" s="105">
        <f>IFERROR(lifespans_all!H97*DTE_mission_minutes!H19,"-")</f>
        <v>3137.9728877777775</v>
      </c>
      <c r="I98" s="105">
        <f>IFERROR(lifespans_all!I97*DTE_mission_minutes!I19,"-")</f>
        <v>3137.9728877777775</v>
      </c>
      <c r="J98" s="105">
        <f>IFERROR(lifespans_all!J97*DTE_mission_minutes!J19,"-")</f>
        <v>3137.9728877777775</v>
      </c>
      <c r="K98" s="105">
        <f>IFERROR(lifespans_all!K97*DTE_mission_minutes!K19,"-")</f>
        <v>3137.9728877777775</v>
      </c>
      <c r="L98" s="105">
        <f>IFERROR(lifespans_all!L97*DTE_mission_minutes!L19,"-")</f>
        <v>3137.9728877777775</v>
      </c>
      <c r="M98" s="105">
        <f>IFERROR(lifespans_all!M97*DTE_mission_minutes!M19,"-")</f>
        <v>3137.9728877777775</v>
      </c>
      <c r="N98" s="105">
        <f>IFERROR(lifespans_all!N97*DTE_mission_minutes!N19,"-")</f>
        <v>3137.9728877777775</v>
      </c>
      <c r="O98" s="105">
        <f>IFERROR(lifespans_all!O97*DTE_mission_minutes!O19,"-")</f>
        <v>3137.9728877777775</v>
      </c>
      <c r="P98" s="105">
        <f>IFERROR(lifespans_all!P97*DTE_mission_minutes!P19,"-")</f>
        <v>3137.9728877777775</v>
      </c>
      <c r="Q98" s="105">
        <f>IFERROR(lifespans_all!Q97*DTE_mission_minutes!Q19,"-")</f>
        <v>3137.9728877777775</v>
      </c>
      <c r="R98" s="105">
        <f>IFERROR(lifespans_all!R97*DTE_mission_minutes!R19,"-")</f>
        <v>3137.9728877777775</v>
      </c>
      <c r="S98" s="105">
        <f>IFERROR(lifespans_all!S97*DTE_mission_minutes!S19,"-")</f>
        <v>3137.9728877777775</v>
      </c>
      <c r="T98" s="105">
        <f>IFERROR(lifespans_all!T97*DTE_mission_minutes!T19,"-")</f>
        <v>3137.9728877777775</v>
      </c>
      <c r="U98" s="105">
        <f>IFERROR(lifespans_all!U97*DTE_mission_minutes!U19,"-")</f>
        <v>3137.9728877777775</v>
      </c>
      <c r="V98" s="105">
        <f>IFERROR(lifespans_all!V97*DTE_mission_minutes!V19,"-")</f>
        <v>3137.9728877777775</v>
      </c>
    </row>
    <row r="99" spans="1:22" x14ac:dyDescent="0.25">
      <c r="A99" s="29" t="s">
        <v>21</v>
      </c>
      <c r="B99" s="30" t="s">
        <v>41</v>
      </c>
      <c r="C99" s="105">
        <f>IFERROR(lifespans_all!C98*DTE_mission_minutes!C20,"-")</f>
        <v>3653.0924999999997</v>
      </c>
      <c r="D99" s="105">
        <f>IFERROR(lifespans_all!D98*DTE_mission_minutes!D20,"-")</f>
        <v>3468.0533333333337</v>
      </c>
      <c r="E99" s="105">
        <f>IFERROR(lifespans_all!E98*DTE_mission_minutes!E20,"-")</f>
        <v>3224.0014777777778</v>
      </c>
      <c r="F99" s="105">
        <f>IFERROR(lifespans_all!F98*DTE_mission_minutes!F20,"-")</f>
        <v>3454.7784394444448</v>
      </c>
      <c r="G99" s="105">
        <f>IFERROR(lifespans_all!G98*DTE_mission_minutes!G20,"-")</f>
        <v>3454.7784394444448</v>
      </c>
      <c r="H99" s="105">
        <f>IFERROR(lifespans_all!H98*DTE_mission_minutes!H20,"-")</f>
        <v>0</v>
      </c>
      <c r="I99" s="105">
        <f>IFERROR(lifespans_all!I98*DTE_mission_minutes!I20,"-")</f>
        <v>0</v>
      </c>
      <c r="J99" s="105">
        <f>IFERROR(lifespans_all!J98*DTE_mission_minutes!J20,"-")</f>
        <v>0</v>
      </c>
      <c r="K99" s="105">
        <f>IFERROR(lifespans_all!K98*DTE_mission_minutes!K20,"-")</f>
        <v>0</v>
      </c>
      <c r="L99" s="105">
        <f>IFERROR(lifespans_all!L98*DTE_mission_minutes!L20,"-")</f>
        <v>0</v>
      </c>
      <c r="M99" s="105">
        <f>IFERROR(lifespans_all!M98*DTE_mission_minutes!M20,"-")</f>
        <v>0</v>
      </c>
      <c r="N99" s="105">
        <f>IFERROR(lifespans_all!N98*DTE_mission_minutes!N20,"-")</f>
        <v>0</v>
      </c>
      <c r="O99" s="105">
        <f>IFERROR(lifespans_all!O98*DTE_mission_minutes!O20,"-")</f>
        <v>0</v>
      </c>
      <c r="P99" s="105">
        <f>IFERROR(lifespans_all!P98*DTE_mission_minutes!P20,"-")</f>
        <v>0</v>
      </c>
      <c r="Q99" s="105">
        <f>IFERROR(lifespans_all!Q98*DTE_mission_minutes!Q20,"-")</f>
        <v>0</v>
      </c>
      <c r="R99" s="105">
        <f>IFERROR(lifespans_all!R98*DTE_mission_minutes!R20,"-")</f>
        <v>0</v>
      </c>
      <c r="S99" s="105">
        <f>IFERROR(lifespans_all!S98*DTE_mission_minutes!S20,"-")</f>
        <v>0</v>
      </c>
      <c r="T99" s="105">
        <f>IFERROR(lifespans_all!T98*DTE_mission_minutes!T20,"-")</f>
        <v>0</v>
      </c>
      <c r="U99" s="105">
        <f>IFERROR(lifespans_all!U98*DTE_mission_minutes!U20,"-")</f>
        <v>0</v>
      </c>
      <c r="V99" s="105">
        <f>IFERROR(lifespans_all!V98*DTE_mission_minutes!V20,"-")</f>
        <v>0</v>
      </c>
    </row>
    <row r="100" spans="1:22" x14ac:dyDescent="0.25">
      <c r="A100" s="29" t="s">
        <v>24</v>
      </c>
      <c r="B100" s="42" t="s">
        <v>42</v>
      </c>
      <c r="C100" s="105">
        <f>IFERROR(lifespans_all!C99*DTE_mission_minutes!C21,"-")</f>
        <v>0</v>
      </c>
      <c r="D100" s="105">
        <f>IFERROR(lifespans_all!D99*DTE_mission_minutes!D21,"-")</f>
        <v>0</v>
      </c>
      <c r="E100" s="105">
        <f>IFERROR(lifespans_all!E99*DTE_mission_minutes!E21,"-")</f>
        <v>0</v>
      </c>
      <c r="F100" s="105">
        <f>IFERROR(lifespans_all!F99*DTE_mission_minutes!F21,"-")</f>
        <v>0</v>
      </c>
      <c r="G100" s="105">
        <f>IFERROR(lifespans_all!G99*DTE_mission_minutes!G21,"-")</f>
        <v>0</v>
      </c>
      <c r="H100" s="105">
        <f>IFERROR(lifespans_all!H99*DTE_mission_minutes!H21,"-")</f>
        <v>0</v>
      </c>
      <c r="I100" s="105">
        <f>IFERROR(lifespans_all!I99*DTE_mission_minutes!I21,"-")</f>
        <v>0</v>
      </c>
      <c r="J100" s="105">
        <f>IFERROR(lifespans_all!J99*DTE_mission_minutes!J21,"-")</f>
        <v>0</v>
      </c>
      <c r="K100" s="105">
        <f>IFERROR(lifespans_all!K99*DTE_mission_minutes!K21,"-")</f>
        <v>0</v>
      </c>
      <c r="L100" s="105">
        <f>IFERROR(lifespans_all!L99*DTE_mission_minutes!L21,"-")</f>
        <v>0</v>
      </c>
      <c r="M100" s="105">
        <f>IFERROR(lifespans_all!M99*DTE_mission_minutes!M21,"-")</f>
        <v>0</v>
      </c>
      <c r="N100" s="105">
        <f>IFERROR(lifespans_all!N99*DTE_mission_minutes!N21,"-")</f>
        <v>0</v>
      </c>
      <c r="O100" s="105">
        <f>IFERROR(lifespans_all!O99*DTE_mission_minutes!O21,"-")</f>
        <v>0</v>
      </c>
      <c r="P100" s="105">
        <f>IFERROR(lifespans_all!P99*DTE_mission_minutes!P21,"-")</f>
        <v>0</v>
      </c>
      <c r="Q100" s="105">
        <f>IFERROR(lifespans_all!Q99*DTE_mission_minutes!Q21,"-")</f>
        <v>0</v>
      </c>
      <c r="R100" s="105">
        <f>IFERROR(lifespans_all!R99*DTE_mission_minutes!R21,"-")</f>
        <v>0</v>
      </c>
      <c r="S100" s="105">
        <f>IFERROR(lifespans_all!S99*DTE_mission_minutes!S21,"-")</f>
        <v>0</v>
      </c>
      <c r="T100" s="105">
        <f>IFERROR(lifespans_all!T99*DTE_mission_minutes!T21,"-")</f>
        <v>0</v>
      </c>
      <c r="U100" s="105">
        <f>IFERROR(lifespans_all!U99*DTE_mission_minutes!U21,"-")</f>
        <v>0</v>
      </c>
      <c r="V100" s="105">
        <f>IFERROR(lifespans_all!V99*DTE_mission_minutes!V21,"-")</f>
        <v>0</v>
      </c>
    </row>
    <row r="101" spans="1:22" x14ac:dyDescent="0.25">
      <c r="A101" s="29" t="s">
        <v>57</v>
      </c>
      <c r="B101" s="30" t="s">
        <v>41</v>
      </c>
      <c r="C101" s="105">
        <f>IFERROR(lifespans_all!C100*DTE_mission_minutes!C22,"-")</f>
        <v>133409.35004928565</v>
      </c>
      <c r="D101" s="105">
        <f>IFERROR(lifespans_all!D100*DTE_mission_minutes!D22,"-")</f>
        <v>133409.35004928565</v>
      </c>
      <c r="E101" s="105">
        <f>IFERROR(lifespans_all!E100*DTE_mission_minutes!E22,"-")</f>
        <v>133409.35004928565</v>
      </c>
      <c r="F101" s="105">
        <f>IFERROR(lifespans_all!F100*DTE_mission_minutes!F22,"-")</f>
        <v>133409.35004928565</v>
      </c>
      <c r="G101" s="105">
        <f>IFERROR(lifespans_all!G100*DTE_mission_minutes!G22,"-")</f>
        <v>133409.35004928565</v>
      </c>
      <c r="H101" s="105">
        <f>IFERROR(lifespans_all!H100*DTE_mission_minutes!H22,"-")</f>
        <v>0</v>
      </c>
      <c r="I101" s="105">
        <f>IFERROR(lifespans_all!I100*DTE_mission_minutes!I22,"-")</f>
        <v>0</v>
      </c>
      <c r="J101" s="105">
        <f>IFERROR(lifespans_all!J100*DTE_mission_minutes!J22,"-")</f>
        <v>0</v>
      </c>
      <c r="K101" s="105">
        <f>IFERROR(lifespans_all!K100*DTE_mission_minutes!K22,"-")</f>
        <v>0</v>
      </c>
      <c r="L101" s="105">
        <f>IFERROR(lifespans_all!L100*DTE_mission_minutes!L22,"-")</f>
        <v>0</v>
      </c>
      <c r="M101" s="105">
        <f>IFERROR(lifespans_all!M100*DTE_mission_minutes!M22,"-")</f>
        <v>0</v>
      </c>
      <c r="N101" s="105">
        <f>IFERROR(lifespans_all!N100*DTE_mission_minutes!N22,"-")</f>
        <v>0</v>
      </c>
      <c r="O101" s="105">
        <f>IFERROR(lifespans_all!O100*DTE_mission_minutes!O22,"-")</f>
        <v>0</v>
      </c>
      <c r="P101" s="105">
        <f>IFERROR(lifespans_all!P100*DTE_mission_minutes!P22,"-")</f>
        <v>0</v>
      </c>
      <c r="Q101" s="105">
        <f>IFERROR(lifespans_all!Q100*DTE_mission_minutes!Q22,"-")</f>
        <v>0</v>
      </c>
      <c r="R101" s="105">
        <f>IFERROR(lifespans_all!R100*DTE_mission_minutes!R22,"-")</f>
        <v>0</v>
      </c>
      <c r="S101" s="105">
        <f>IFERROR(lifespans_all!S100*DTE_mission_minutes!S22,"-")</f>
        <v>0</v>
      </c>
      <c r="T101" s="105">
        <f>IFERROR(lifespans_all!T100*DTE_mission_minutes!T22,"-")</f>
        <v>0</v>
      </c>
      <c r="U101" s="105">
        <f>IFERROR(lifespans_all!U100*DTE_mission_minutes!U22,"-")</f>
        <v>0</v>
      </c>
      <c r="V101" s="105">
        <f>IFERROR(lifespans_all!V100*DTE_mission_minutes!V22,"-")</f>
        <v>0</v>
      </c>
    </row>
    <row r="102" spans="1:22" x14ac:dyDescent="0.25">
      <c r="A102" s="29" t="s">
        <v>22</v>
      </c>
      <c r="B102" s="30" t="s">
        <v>41</v>
      </c>
      <c r="C102" s="105">
        <f>IFERROR(lifespans_all!C101*DTE_mission_minutes!C23,"-")</f>
        <v>21.986611111111113</v>
      </c>
      <c r="D102" s="105">
        <f>IFERROR(lifespans_all!D101*DTE_mission_minutes!D23,"-")</f>
        <v>1.1333333333333333</v>
      </c>
      <c r="E102" s="105">
        <f>IFERROR(lifespans_all!E101*DTE_mission_minutes!E23,"-")</f>
        <v>3.7333333333333334</v>
      </c>
      <c r="F102" s="105">
        <f>IFERROR(lifespans_all!F101*DTE_mission_minutes!F23,"-")</f>
        <v>23.303841111111115</v>
      </c>
      <c r="G102" s="105">
        <f>IFERROR(lifespans_all!G101*DTE_mission_minutes!G23,"-")</f>
        <v>0</v>
      </c>
      <c r="H102" s="105">
        <f>IFERROR(lifespans_all!H101*DTE_mission_minutes!H23,"-")</f>
        <v>0</v>
      </c>
      <c r="I102" s="105">
        <f>IFERROR(lifespans_all!I101*DTE_mission_minutes!I23,"-")</f>
        <v>0</v>
      </c>
      <c r="J102" s="105">
        <f>IFERROR(lifespans_all!J101*DTE_mission_minutes!J23,"-")</f>
        <v>0</v>
      </c>
      <c r="K102" s="105">
        <f>IFERROR(lifespans_all!K101*DTE_mission_minutes!K23,"-")</f>
        <v>0</v>
      </c>
      <c r="L102" s="105">
        <f>IFERROR(lifespans_all!L101*DTE_mission_minutes!L23,"-")</f>
        <v>0</v>
      </c>
      <c r="M102" s="105">
        <f>IFERROR(lifespans_all!M101*DTE_mission_minutes!M23,"-")</f>
        <v>0</v>
      </c>
      <c r="N102" s="105">
        <f>IFERROR(lifespans_all!N101*DTE_mission_minutes!N23,"-")</f>
        <v>0</v>
      </c>
      <c r="O102" s="105">
        <f>IFERROR(lifespans_all!O101*DTE_mission_minutes!O23,"-")</f>
        <v>0</v>
      </c>
      <c r="P102" s="105">
        <f>IFERROR(lifespans_all!P101*DTE_mission_minutes!P23,"-")</f>
        <v>0</v>
      </c>
      <c r="Q102" s="105">
        <f>IFERROR(lifespans_all!Q101*DTE_mission_minutes!Q23,"-")</f>
        <v>0</v>
      </c>
      <c r="R102" s="105">
        <f>IFERROR(lifespans_all!R101*DTE_mission_minutes!R23,"-")</f>
        <v>0</v>
      </c>
      <c r="S102" s="105">
        <f>IFERROR(lifespans_all!S101*DTE_mission_minutes!S23,"-")</f>
        <v>0</v>
      </c>
      <c r="T102" s="105">
        <f>IFERROR(lifespans_all!T101*DTE_mission_minutes!T23,"-")</f>
        <v>0</v>
      </c>
      <c r="U102" s="105">
        <f>IFERROR(lifespans_all!U101*DTE_mission_minutes!U23,"-")</f>
        <v>0</v>
      </c>
      <c r="V102" s="105">
        <f>IFERROR(lifespans_all!V101*DTE_mission_minutes!V23,"-")</f>
        <v>0</v>
      </c>
    </row>
    <row r="103" spans="1:22" x14ac:dyDescent="0.25">
      <c r="A103" s="100" t="s">
        <v>23</v>
      </c>
      <c r="B103" s="101" t="s">
        <v>43</v>
      </c>
      <c r="C103" s="105">
        <f>IFERROR(lifespans_all!C102*DTE_mission_minutes!C24,"-")</f>
        <v>7757.52</v>
      </c>
      <c r="D103" s="105">
        <f>IFERROR(lifespans_all!D102*DTE_mission_minutes!D24,"-")</f>
        <v>7884.0724999999993</v>
      </c>
      <c r="E103" s="105">
        <f>IFERROR(lifespans_all!E102*DTE_mission_minutes!E24,"-")</f>
        <v>7411.0455555555554</v>
      </c>
      <c r="F103" s="105">
        <f>IFERROR(lifespans_all!F102*DTE_mission_minutes!F24,"-")</f>
        <v>7749.4853583333334</v>
      </c>
      <c r="G103" s="105">
        <f>IFERROR(lifespans_all!G102*DTE_mission_minutes!G24,"-")</f>
        <v>7749.4853583333334</v>
      </c>
      <c r="H103" s="105">
        <f>IFERROR(lifespans_all!H102*DTE_mission_minutes!H24,"-")</f>
        <v>7749.4853583333334</v>
      </c>
      <c r="I103" s="105">
        <f>IFERROR(lifespans_all!I102*DTE_mission_minutes!I24,"-")</f>
        <v>7749.4853583333334</v>
      </c>
      <c r="J103" s="105">
        <f>IFERROR(lifespans_all!J102*DTE_mission_minutes!J24,"-")</f>
        <v>7749.4853583333334</v>
      </c>
      <c r="K103" s="105">
        <f>IFERROR(lifespans_all!K102*DTE_mission_minutes!K24,"-")</f>
        <v>7749.4853583333334</v>
      </c>
      <c r="L103" s="105">
        <f>IFERROR(lifespans_all!L102*DTE_mission_minutes!L24,"-")</f>
        <v>7749.4853583333334</v>
      </c>
      <c r="M103" s="105">
        <f>IFERROR(lifespans_all!M102*DTE_mission_minutes!M24,"-")</f>
        <v>0</v>
      </c>
      <c r="N103" s="105">
        <f>IFERROR(lifespans_all!N102*DTE_mission_minutes!N24,"-")</f>
        <v>0</v>
      </c>
      <c r="O103" s="105">
        <f>IFERROR(lifespans_all!O102*DTE_mission_minutes!O24,"-")</f>
        <v>0</v>
      </c>
      <c r="P103" s="105">
        <f>IFERROR(lifespans_all!P102*DTE_mission_minutes!P24,"-")</f>
        <v>0</v>
      </c>
      <c r="Q103" s="105">
        <f>IFERROR(lifespans_all!Q102*DTE_mission_minutes!Q24,"-")</f>
        <v>0</v>
      </c>
      <c r="R103" s="105">
        <f>IFERROR(lifespans_all!R102*DTE_mission_minutes!R24,"-")</f>
        <v>0</v>
      </c>
      <c r="S103" s="105">
        <f>IFERROR(lifespans_all!S102*DTE_mission_minutes!S24,"-")</f>
        <v>0</v>
      </c>
      <c r="T103" s="105">
        <f>IFERROR(lifespans_all!T102*DTE_mission_minutes!T24,"-")</f>
        <v>0</v>
      </c>
      <c r="U103" s="105">
        <f>IFERROR(lifespans_all!U102*DTE_mission_minutes!U24,"-")</f>
        <v>0</v>
      </c>
      <c r="V103" s="105">
        <f>IFERROR(lifespans_all!V102*DTE_mission_minutes!V24,"-")</f>
        <v>0</v>
      </c>
    </row>
    <row r="104" spans="1:22" x14ac:dyDescent="0.25">
      <c r="A104" s="29" t="s">
        <v>25</v>
      </c>
      <c r="B104" s="30" t="s">
        <v>44</v>
      </c>
      <c r="C104" s="105">
        <f>IFERROR(lifespans_all!C103*DTE_mission_minutes!C25,"-")</f>
        <v>0</v>
      </c>
      <c r="D104" s="105">
        <f>IFERROR(lifespans_all!D103*DTE_mission_minutes!D25,"-")</f>
        <v>0</v>
      </c>
      <c r="E104" s="105">
        <f>IFERROR(lifespans_all!E103*DTE_mission_minutes!E25,"-")</f>
        <v>0</v>
      </c>
      <c r="F104" s="105">
        <f>IFERROR(lifespans_all!F103*DTE_mission_minutes!F25,"-")</f>
        <v>0</v>
      </c>
      <c r="G104" s="105">
        <f>IFERROR(lifespans_all!G103*DTE_mission_minutes!G25,"-")</f>
        <v>0</v>
      </c>
      <c r="H104" s="105">
        <f>IFERROR(lifespans_all!H103*DTE_mission_minutes!H25,"-")</f>
        <v>0</v>
      </c>
      <c r="I104" s="105">
        <f>IFERROR(lifespans_all!I103*DTE_mission_minutes!I25,"-")</f>
        <v>0</v>
      </c>
      <c r="J104" s="105">
        <f>IFERROR(lifespans_all!J103*DTE_mission_minutes!J25,"-")</f>
        <v>0</v>
      </c>
      <c r="K104" s="105">
        <f>IFERROR(lifespans_all!K103*DTE_mission_minutes!K25,"-")</f>
        <v>0</v>
      </c>
      <c r="L104" s="105">
        <f>IFERROR(lifespans_all!L103*DTE_mission_minutes!L25,"-")</f>
        <v>0</v>
      </c>
      <c r="M104" s="105">
        <f>IFERROR(lifespans_all!M103*DTE_mission_minutes!M25,"-")</f>
        <v>0</v>
      </c>
      <c r="N104" s="105">
        <f>IFERROR(lifespans_all!N103*DTE_mission_minutes!N25,"-")</f>
        <v>0</v>
      </c>
      <c r="O104" s="105">
        <f>IFERROR(lifespans_all!O103*DTE_mission_minutes!O25,"-")</f>
        <v>0</v>
      </c>
      <c r="P104" s="105">
        <f>IFERROR(lifespans_all!P103*DTE_mission_minutes!P25,"-")</f>
        <v>0</v>
      </c>
      <c r="Q104" s="105">
        <f>IFERROR(lifespans_all!Q103*DTE_mission_minutes!Q25,"-")</f>
        <v>0</v>
      </c>
      <c r="R104" s="105">
        <f>IFERROR(lifespans_all!R103*DTE_mission_minutes!R25,"-")</f>
        <v>0</v>
      </c>
      <c r="S104" s="105">
        <f>IFERROR(lifespans_all!S103*DTE_mission_minutes!S25,"-")</f>
        <v>0</v>
      </c>
      <c r="T104" s="105">
        <f>IFERROR(lifespans_all!T103*DTE_mission_minutes!T25,"-")</f>
        <v>0</v>
      </c>
      <c r="U104" s="105">
        <f>IFERROR(lifespans_all!U103*DTE_mission_minutes!U25,"-")</f>
        <v>0</v>
      </c>
      <c r="V104" s="105">
        <f>IFERROR(lifespans_all!V103*DTE_mission_minutes!V25,"-")</f>
        <v>0</v>
      </c>
    </row>
    <row r="105" spans="1:22" x14ac:dyDescent="0.25">
      <c r="A105" s="29" t="s">
        <v>58</v>
      </c>
      <c r="B105" s="30" t="s">
        <v>41</v>
      </c>
      <c r="C105" s="105">
        <f>IFERROR(lifespans_all!C104*DTE_mission_minutes!C26,"-")</f>
        <v>133409.35004928565</v>
      </c>
      <c r="D105" s="105">
        <f>IFERROR(lifespans_all!D104*DTE_mission_minutes!D26,"-")</f>
        <v>0</v>
      </c>
      <c r="E105" s="105">
        <f>IFERROR(lifespans_all!E104*DTE_mission_minutes!E26,"-")</f>
        <v>0</v>
      </c>
      <c r="F105" s="105">
        <f>IFERROR(lifespans_all!F104*DTE_mission_minutes!F26,"-")</f>
        <v>0</v>
      </c>
      <c r="G105" s="105">
        <f>IFERROR(lifespans_all!G104*DTE_mission_minutes!G26,"-")</f>
        <v>0</v>
      </c>
      <c r="H105" s="105">
        <f>IFERROR(lifespans_all!H104*DTE_mission_minutes!H26,"-")</f>
        <v>0</v>
      </c>
      <c r="I105" s="105">
        <f>IFERROR(lifespans_all!I104*DTE_mission_minutes!I26,"-")</f>
        <v>0</v>
      </c>
      <c r="J105" s="105">
        <f>IFERROR(lifespans_all!J104*DTE_mission_minutes!J26,"-")</f>
        <v>0</v>
      </c>
      <c r="K105" s="105">
        <f>IFERROR(lifespans_all!K104*DTE_mission_minutes!K26,"-")</f>
        <v>0</v>
      </c>
      <c r="L105" s="105">
        <f>IFERROR(lifespans_all!L104*DTE_mission_minutes!L26,"-")</f>
        <v>0</v>
      </c>
      <c r="M105" s="105">
        <f>IFERROR(lifespans_all!M104*DTE_mission_minutes!M26,"-")</f>
        <v>0</v>
      </c>
      <c r="N105" s="105">
        <f>IFERROR(lifespans_all!N104*DTE_mission_minutes!N26,"-")</f>
        <v>0</v>
      </c>
      <c r="O105" s="105">
        <f>IFERROR(lifespans_all!O104*DTE_mission_minutes!O26,"-")</f>
        <v>0</v>
      </c>
      <c r="P105" s="105">
        <f>IFERROR(lifespans_all!P104*DTE_mission_minutes!P26,"-")</f>
        <v>0</v>
      </c>
      <c r="Q105" s="105">
        <f>IFERROR(lifespans_all!Q104*DTE_mission_minutes!Q26,"-")</f>
        <v>0</v>
      </c>
      <c r="R105" s="105">
        <f>IFERROR(lifespans_all!R104*DTE_mission_minutes!R26,"-")</f>
        <v>0</v>
      </c>
      <c r="S105" s="105">
        <f>IFERROR(lifespans_all!S104*DTE_mission_minutes!S26,"-")</f>
        <v>0</v>
      </c>
      <c r="T105" s="105">
        <f>IFERROR(lifespans_all!T104*DTE_mission_minutes!T26,"-")</f>
        <v>0</v>
      </c>
      <c r="U105" s="105">
        <f>IFERROR(lifespans_all!U104*DTE_mission_minutes!U26,"-")</f>
        <v>0</v>
      </c>
      <c r="V105" s="105">
        <f>IFERROR(lifespans_all!V104*DTE_mission_minutes!V26,"-")</f>
        <v>0</v>
      </c>
    </row>
    <row r="106" spans="1:22" x14ac:dyDescent="0.25">
      <c r="A106" s="29" t="s">
        <v>59</v>
      </c>
      <c r="B106" s="30" t="s">
        <v>41</v>
      </c>
      <c r="C106" s="105">
        <f>IFERROR(lifespans_all!C105*DTE_mission_minutes!C27,"-")</f>
        <v>133409.35004928565</v>
      </c>
      <c r="D106" s="105">
        <f>IFERROR(lifespans_all!D105*DTE_mission_minutes!D27,"-")</f>
        <v>133409.35004928565</v>
      </c>
      <c r="E106" s="105">
        <f>IFERROR(lifespans_all!E105*DTE_mission_minutes!E27,"-")</f>
        <v>133409.35004928565</v>
      </c>
      <c r="F106" s="105">
        <f>IFERROR(lifespans_all!F105*DTE_mission_minutes!F27,"-")</f>
        <v>0</v>
      </c>
      <c r="G106" s="105">
        <f>IFERROR(lifespans_all!G105*DTE_mission_minutes!G27,"-")</f>
        <v>0</v>
      </c>
      <c r="H106" s="105">
        <f>IFERROR(lifespans_all!H105*DTE_mission_minutes!H27,"-")</f>
        <v>0</v>
      </c>
      <c r="I106" s="105">
        <f>IFERROR(lifespans_all!I105*DTE_mission_minutes!I27,"-")</f>
        <v>0</v>
      </c>
      <c r="J106" s="105">
        <f>IFERROR(lifespans_all!J105*DTE_mission_minutes!J27,"-")</f>
        <v>0</v>
      </c>
      <c r="K106" s="105">
        <f>IFERROR(lifespans_all!K105*DTE_mission_minutes!K27,"-")</f>
        <v>0</v>
      </c>
      <c r="L106" s="105">
        <f>IFERROR(lifespans_all!L105*DTE_mission_minutes!L27,"-")</f>
        <v>0</v>
      </c>
      <c r="M106" s="105">
        <f>IFERROR(lifespans_all!M105*DTE_mission_minutes!M27,"-")</f>
        <v>0</v>
      </c>
      <c r="N106" s="105">
        <f>IFERROR(lifespans_all!N105*DTE_mission_minutes!N27,"-")</f>
        <v>0</v>
      </c>
      <c r="O106" s="105">
        <f>IFERROR(lifespans_all!O105*DTE_mission_minutes!O27,"-")</f>
        <v>0</v>
      </c>
      <c r="P106" s="105">
        <f>IFERROR(lifespans_all!P105*DTE_mission_minutes!P27,"-")</f>
        <v>0</v>
      </c>
      <c r="Q106" s="105">
        <f>IFERROR(lifespans_all!Q105*DTE_mission_minutes!Q27,"-")</f>
        <v>0</v>
      </c>
      <c r="R106" s="105">
        <f>IFERROR(lifespans_all!R105*DTE_mission_minutes!R27,"-")</f>
        <v>0</v>
      </c>
      <c r="S106" s="105">
        <f>IFERROR(lifespans_all!S105*DTE_mission_minutes!S27,"-")</f>
        <v>0</v>
      </c>
      <c r="T106" s="105">
        <f>IFERROR(lifespans_all!T105*DTE_mission_minutes!T27,"-")</f>
        <v>0</v>
      </c>
      <c r="U106" s="105">
        <f>IFERROR(lifespans_all!U105*DTE_mission_minutes!U27,"-")</f>
        <v>0</v>
      </c>
      <c r="V106" s="105">
        <f>IFERROR(lifespans_all!V105*DTE_mission_minutes!V27,"-")</f>
        <v>0</v>
      </c>
    </row>
    <row r="107" spans="1:22" x14ac:dyDescent="0.25">
      <c r="A107" s="29" t="s">
        <v>60</v>
      </c>
      <c r="B107" s="30" t="s">
        <v>41</v>
      </c>
      <c r="C107" s="105">
        <f>IFERROR(lifespans_all!C106*DTE_mission_minutes!C28,"-")</f>
        <v>133409.35004928565</v>
      </c>
      <c r="D107" s="105">
        <f>IFERROR(lifespans_all!D106*DTE_mission_minutes!D28,"-")</f>
        <v>133409.35004928565</v>
      </c>
      <c r="E107" s="105">
        <f>IFERROR(lifespans_all!E106*DTE_mission_minutes!E28,"-")</f>
        <v>133409.35004928565</v>
      </c>
      <c r="F107" s="105">
        <f>IFERROR(lifespans_all!F106*DTE_mission_minutes!F28,"-")</f>
        <v>133409.35004928565</v>
      </c>
      <c r="G107" s="105">
        <f>IFERROR(lifespans_all!G106*DTE_mission_minutes!G28,"-")</f>
        <v>133409.35004928565</v>
      </c>
      <c r="H107" s="105">
        <f>IFERROR(lifespans_all!H106*DTE_mission_minutes!H28,"-")</f>
        <v>133409.35004928565</v>
      </c>
      <c r="I107" s="105">
        <f>IFERROR(lifespans_all!I106*DTE_mission_minutes!I28,"-")</f>
        <v>0</v>
      </c>
      <c r="J107" s="105">
        <f>IFERROR(lifespans_all!J106*DTE_mission_minutes!J28,"-")</f>
        <v>0</v>
      </c>
      <c r="K107" s="105">
        <f>IFERROR(lifespans_all!K106*DTE_mission_minutes!K28,"-")</f>
        <v>0</v>
      </c>
      <c r="L107" s="105">
        <f>IFERROR(lifespans_all!L106*DTE_mission_minutes!L28,"-")</f>
        <v>0</v>
      </c>
      <c r="M107" s="105">
        <f>IFERROR(lifespans_all!M106*DTE_mission_minutes!M28,"-")</f>
        <v>0</v>
      </c>
      <c r="N107" s="105">
        <f>IFERROR(lifespans_all!N106*DTE_mission_minutes!N28,"-")</f>
        <v>0</v>
      </c>
      <c r="O107" s="105">
        <f>IFERROR(lifespans_all!O106*DTE_mission_minutes!O28,"-")</f>
        <v>0</v>
      </c>
      <c r="P107" s="105">
        <f>IFERROR(lifespans_all!P106*DTE_mission_minutes!P28,"-")</f>
        <v>0</v>
      </c>
      <c r="Q107" s="105">
        <f>IFERROR(lifespans_all!Q106*DTE_mission_minutes!Q28,"-")</f>
        <v>0</v>
      </c>
      <c r="R107" s="105">
        <f>IFERROR(lifespans_all!R106*DTE_mission_minutes!R28,"-")</f>
        <v>0</v>
      </c>
      <c r="S107" s="105">
        <f>IFERROR(lifespans_all!S106*DTE_mission_minutes!S28,"-")</f>
        <v>0</v>
      </c>
      <c r="T107" s="105">
        <f>IFERROR(lifespans_all!T106*DTE_mission_minutes!T28,"-")</f>
        <v>0</v>
      </c>
      <c r="U107" s="105">
        <f>IFERROR(lifespans_all!U106*DTE_mission_minutes!U28,"-")</f>
        <v>0</v>
      </c>
      <c r="V107" s="105">
        <f>IFERROR(lifespans_all!V106*DTE_mission_minutes!V28,"-")</f>
        <v>0</v>
      </c>
    </row>
    <row r="108" spans="1:22" x14ac:dyDescent="0.25">
      <c r="A108" s="29" t="s">
        <v>26</v>
      </c>
      <c r="B108" s="37" t="s">
        <v>45</v>
      </c>
      <c r="C108" s="105">
        <f>IFERROR(lifespans_all!C107*DTE_mission_minutes!C29,"-")</f>
        <v>89453.837836666688</v>
      </c>
      <c r="D108" s="105">
        <f>IFERROR(lifespans_all!D107*DTE_mission_minutes!D29,"-")</f>
        <v>89453.837836666688</v>
      </c>
      <c r="E108" s="105">
        <f>IFERROR(lifespans_all!E107*DTE_mission_minutes!E29,"-")</f>
        <v>89453.837836666688</v>
      </c>
      <c r="F108" s="105">
        <f>IFERROR(lifespans_all!F107*DTE_mission_minutes!F29,"-")</f>
        <v>89453.837836666688</v>
      </c>
      <c r="G108" s="105">
        <f>IFERROR(lifespans_all!G107*DTE_mission_minutes!G29,"-")</f>
        <v>89453.837836666688</v>
      </c>
      <c r="H108" s="105">
        <f>IFERROR(lifespans_all!H107*DTE_mission_minutes!H29,"-")</f>
        <v>89453.837836666688</v>
      </c>
      <c r="I108" s="105">
        <f>IFERROR(lifespans_all!I107*DTE_mission_minutes!I29,"-")</f>
        <v>89453.837836666688</v>
      </c>
      <c r="J108" s="105">
        <f>IFERROR(lifespans_all!J107*DTE_mission_minutes!J29,"-")</f>
        <v>89453.837836666688</v>
      </c>
      <c r="K108" s="105">
        <f>IFERROR(lifespans_all!K107*DTE_mission_minutes!K29,"-")</f>
        <v>89453.837836666688</v>
      </c>
      <c r="L108" s="105">
        <f>IFERROR(lifespans_all!L107*DTE_mission_minutes!L29,"-")</f>
        <v>89453.837836666688</v>
      </c>
      <c r="M108" s="105">
        <f>IFERROR(lifespans_all!M107*DTE_mission_minutes!M29,"-")</f>
        <v>89453.837836666688</v>
      </c>
      <c r="N108" s="105">
        <f>IFERROR(lifespans_all!N107*DTE_mission_minutes!N29,"-")</f>
        <v>89453.837836666688</v>
      </c>
      <c r="O108" s="105">
        <f>IFERROR(lifespans_all!O107*DTE_mission_minutes!O29,"-")</f>
        <v>89453.837836666688</v>
      </c>
      <c r="P108" s="105">
        <f>IFERROR(lifespans_all!P107*DTE_mission_minutes!P29,"-")</f>
        <v>89453.837836666688</v>
      </c>
      <c r="Q108" s="105">
        <f>IFERROR(lifespans_all!Q107*DTE_mission_minutes!Q29,"-")</f>
        <v>89453.837836666688</v>
      </c>
      <c r="R108" s="105">
        <f>IFERROR(lifespans_all!R107*DTE_mission_minutes!R29,"-")</f>
        <v>89453.837836666688</v>
      </c>
      <c r="S108" s="105">
        <f>IFERROR(lifespans_all!S107*DTE_mission_minutes!S29,"-")</f>
        <v>89453.837836666688</v>
      </c>
      <c r="T108" s="105">
        <f>IFERROR(lifespans_all!T107*DTE_mission_minutes!T29,"-")</f>
        <v>89453.837836666688</v>
      </c>
      <c r="U108" s="105">
        <f>IFERROR(lifespans_all!U107*DTE_mission_minutes!U29,"-")</f>
        <v>89453.837836666688</v>
      </c>
      <c r="V108" s="105">
        <f>IFERROR(lifespans_all!V107*DTE_mission_minutes!V29,"-")</f>
        <v>89453.837836666688</v>
      </c>
    </row>
    <row r="109" spans="1:22" x14ac:dyDescent="0.25">
      <c r="A109" s="29" t="s">
        <v>61</v>
      </c>
      <c r="B109" s="37" t="s">
        <v>42</v>
      </c>
      <c r="C109" s="105">
        <f>IFERROR(lifespans_all!C108*DTE_mission_minutes!C30,"-")</f>
        <v>721.11352444444435</v>
      </c>
      <c r="D109" s="105">
        <f>IFERROR(lifespans_all!D108*DTE_mission_minutes!D30,"-")</f>
        <v>721.11352444444435</v>
      </c>
      <c r="E109" s="105">
        <f>IFERROR(lifespans_all!E108*DTE_mission_minutes!E30,"-")</f>
        <v>721.11352444444435</v>
      </c>
      <c r="F109" s="105">
        <f>IFERROR(lifespans_all!F108*DTE_mission_minutes!F30,"-")</f>
        <v>721.11352444444435</v>
      </c>
      <c r="G109" s="105">
        <f>IFERROR(lifespans_all!G108*DTE_mission_minutes!G30,"-")</f>
        <v>721.11352444444435</v>
      </c>
      <c r="H109" s="105">
        <f>IFERROR(lifespans_all!H108*DTE_mission_minutes!H30,"-")</f>
        <v>721.11352444444435</v>
      </c>
      <c r="I109" s="105">
        <f>IFERROR(lifespans_all!I108*DTE_mission_minutes!I30,"-")</f>
        <v>721.11352444444435</v>
      </c>
      <c r="J109" s="105">
        <f>IFERROR(lifespans_all!J108*DTE_mission_minutes!J30,"-")</f>
        <v>721.11352444444435</v>
      </c>
      <c r="K109" s="105">
        <f>IFERROR(lifespans_all!K108*DTE_mission_minutes!K30,"-")</f>
        <v>721.11352444444435</v>
      </c>
      <c r="L109" s="105">
        <f>IFERROR(lifespans_all!L108*DTE_mission_minutes!L30,"-")</f>
        <v>721.11352444444435</v>
      </c>
      <c r="M109" s="105">
        <f>IFERROR(lifespans_all!M108*DTE_mission_minutes!M30,"-")</f>
        <v>721.11352444444435</v>
      </c>
      <c r="N109" s="105">
        <f>IFERROR(lifespans_all!N108*DTE_mission_minutes!N30,"-")</f>
        <v>721.11352444444435</v>
      </c>
      <c r="O109" s="105">
        <f>IFERROR(lifespans_all!O108*DTE_mission_minutes!O30,"-")</f>
        <v>721.11352444444435</v>
      </c>
      <c r="P109" s="105">
        <f>IFERROR(lifespans_all!P108*DTE_mission_minutes!P30,"-")</f>
        <v>721.11352444444435</v>
      </c>
      <c r="Q109" s="105">
        <f>IFERROR(lifespans_all!Q108*DTE_mission_minutes!Q30,"-")</f>
        <v>721.11352444444435</v>
      </c>
      <c r="R109" s="105">
        <f>IFERROR(lifespans_all!R108*DTE_mission_minutes!R30,"-")</f>
        <v>721.11352444444435</v>
      </c>
      <c r="S109" s="105">
        <f>IFERROR(lifespans_all!S108*DTE_mission_minutes!S30,"-")</f>
        <v>721.11352444444435</v>
      </c>
      <c r="T109" s="105">
        <f>IFERROR(lifespans_all!T108*DTE_mission_minutes!T30,"-")</f>
        <v>721.11352444444435</v>
      </c>
      <c r="U109" s="105">
        <f>IFERROR(lifespans_all!U108*DTE_mission_minutes!U30,"-")</f>
        <v>721.11352444444435</v>
      </c>
      <c r="V109" s="105">
        <f>IFERROR(lifespans_all!V108*DTE_mission_minutes!V30,"-")</f>
        <v>721.11352444444435</v>
      </c>
    </row>
    <row r="110" spans="1:22" x14ac:dyDescent="0.25">
      <c r="A110" s="29" t="s">
        <v>71</v>
      </c>
      <c r="B110" s="30" t="s">
        <v>40</v>
      </c>
      <c r="C110" s="105">
        <f>IFERROR(lifespans_all!C109*DTE_mission_minutes!C31,"-")</f>
        <v>221.29177222222222</v>
      </c>
      <c r="D110" s="105">
        <f>IFERROR(lifespans_all!D109*DTE_mission_minutes!D31,"-")</f>
        <v>244.03194444444446</v>
      </c>
      <c r="E110" s="105">
        <f>IFERROR(lifespans_all!E109*DTE_mission_minutes!E31,"-")</f>
        <v>0</v>
      </c>
      <c r="F110" s="105">
        <f>IFERROR(lifespans_all!F109*DTE_mission_minutes!F31,"-")</f>
        <v>0</v>
      </c>
      <c r="G110" s="105">
        <f>IFERROR(lifespans_all!G109*DTE_mission_minutes!G31,"-")</f>
        <v>0</v>
      </c>
      <c r="H110" s="105">
        <f>IFERROR(lifespans_all!H109*DTE_mission_minutes!H31,"-")</f>
        <v>0</v>
      </c>
      <c r="I110" s="105">
        <f>IFERROR(lifespans_all!I109*DTE_mission_minutes!I31,"-")</f>
        <v>0</v>
      </c>
      <c r="J110" s="105">
        <f>IFERROR(lifespans_all!J109*DTE_mission_minutes!J31,"-")</f>
        <v>0</v>
      </c>
      <c r="K110" s="105">
        <f>IFERROR(lifespans_all!K109*DTE_mission_minutes!K31,"-")</f>
        <v>0</v>
      </c>
      <c r="L110" s="105">
        <f>IFERROR(lifespans_all!L109*DTE_mission_minutes!L31,"-")</f>
        <v>0</v>
      </c>
      <c r="M110" s="105">
        <f>IFERROR(lifespans_all!M109*DTE_mission_minutes!M31,"-")</f>
        <v>0</v>
      </c>
      <c r="N110" s="105">
        <f>IFERROR(lifespans_all!N109*DTE_mission_minutes!N31,"-")</f>
        <v>0</v>
      </c>
      <c r="O110" s="105">
        <f>IFERROR(lifespans_all!O109*DTE_mission_minutes!O31,"-")</f>
        <v>0</v>
      </c>
      <c r="P110" s="105">
        <f>IFERROR(lifespans_all!P109*DTE_mission_minutes!P31,"-")</f>
        <v>0</v>
      </c>
      <c r="Q110" s="105">
        <f>IFERROR(lifespans_all!Q109*DTE_mission_minutes!Q31,"-")</f>
        <v>0</v>
      </c>
      <c r="R110" s="105">
        <f>IFERROR(lifespans_all!R109*DTE_mission_minutes!R31,"-")</f>
        <v>0</v>
      </c>
      <c r="S110" s="105">
        <f>IFERROR(lifespans_all!S109*DTE_mission_minutes!S31,"-")</f>
        <v>0</v>
      </c>
      <c r="T110" s="105">
        <f>IFERROR(lifespans_all!T109*DTE_mission_minutes!T31,"-")</f>
        <v>0</v>
      </c>
      <c r="U110" s="105">
        <f>IFERROR(lifespans_all!U109*DTE_mission_minutes!U31,"-")</f>
        <v>0</v>
      </c>
      <c r="V110" s="105">
        <f>IFERROR(lifespans_all!V109*DTE_mission_minutes!V31,"-")</f>
        <v>0</v>
      </c>
    </row>
    <row r="111" spans="1:22" x14ac:dyDescent="0.25">
      <c r="A111" s="29" t="s">
        <v>27</v>
      </c>
      <c r="B111" s="37" t="s">
        <v>45</v>
      </c>
      <c r="C111" s="105">
        <f>IFERROR(lifespans_all!C110*DTE_mission_minutes!C32,"-")</f>
        <v>64.996111111111119</v>
      </c>
      <c r="D111" s="105">
        <f>IFERROR(lifespans_all!D110*DTE_mission_minutes!D32,"-")</f>
        <v>0</v>
      </c>
      <c r="E111" s="105">
        <f>IFERROR(lifespans_all!E110*DTE_mission_minutes!E32,"-")</f>
        <v>0</v>
      </c>
      <c r="F111" s="105">
        <f>IFERROR(lifespans_all!F110*DTE_mission_minutes!F32,"-")</f>
        <v>0</v>
      </c>
      <c r="G111" s="105">
        <f>IFERROR(lifespans_all!G110*DTE_mission_minutes!G32,"-")</f>
        <v>0</v>
      </c>
      <c r="H111" s="105">
        <f>IFERROR(lifespans_all!H110*DTE_mission_minutes!H32,"-")</f>
        <v>0</v>
      </c>
      <c r="I111" s="105">
        <f>IFERROR(lifespans_all!I110*DTE_mission_minutes!I32,"-")</f>
        <v>0</v>
      </c>
      <c r="J111" s="105">
        <f>IFERROR(lifespans_all!J110*DTE_mission_minutes!J32,"-")</f>
        <v>0</v>
      </c>
      <c r="K111" s="105">
        <f>IFERROR(lifespans_all!K110*DTE_mission_minutes!K32,"-")</f>
        <v>0</v>
      </c>
      <c r="L111" s="105">
        <f>IFERROR(lifespans_all!L110*DTE_mission_minutes!L32,"-")</f>
        <v>0</v>
      </c>
      <c r="M111" s="105">
        <f>IFERROR(lifespans_all!M110*DTE_mission_minutes!M32,"-")</f>
        <v>0</v>
      </c>
      <c r="N111" s="105">
        <f>IFERROR(lifespans_all!N110*DTE_mission_minutes!N32,"-")</f>
        <v>0</v>
      </c>
      <c r="O111" s="105">
        <f>IFERROR(lifespans_all!O110*DTE_mission_minutes!O32,"-")</f>
        <v>0</v>
      </c>
      <c r="P111" s="105">
        <f>IFERROR(lifespans_all!P110*DTE_mission_minutes!P32,"-")</f>
        <v>0</v>
      </c>
      <c r="Q111" s="105">
        <f>IFERROR(lifespans_all!Q110*DTE_mission_minutes!Q32,"-")</f>
        <v>0</v>
      </c>
      <c r="R111" s="105">
        <f>IFERROR(lifespans_all!R110*DTE_mission_minutes!R32,"-")</f>
        <v>0</v>
      </c>
      <c r="S111" s="105">
        <f>IFERROR(lifespans_all!S110*DTE_mission_minutes!S32,"-")</f>
        <v>0</v>
      </c>
      <c r="T111" s="105">
        <f>IFERROR(lifespans_all!T110*DTE_mission_minutes!T32,"-")</f>
        <v>0</v>
      </c>
      <c r="U111" s="105">
        <f>IFERROR(lifespans_all!U110*DTE_mission_minutes!U32,"-")</f>
        <v>0</v>
      </c>
      <c r="V111" s="105">
        <f>IFERROR(lifespans_all!V110*DTE_mission_minutes!V32,"-")</f>
        <v>0</v>
      </c>
    </row>
    <row r="112" spans="1:22" x14ac:dyDescent="0.25">
      <c r="A112" s="29" t="s">
        <v>39</v>
      </c>
      <c r="B112" s="30" t="s">
        <v>41</v>
      </c>
      <c r="C112" s="105">
        <f>IFERROR(lifespans_all!C111*DTE_mission_minutes!C33,"-")</f>
        <v>575.81194444444441</v>
      </c>
      <c r="D112" s="105">
        <f>IFERROR(lifespans_all!D111*DTE_mission_minutes!D33,"-")</f>
        <v>580.59861111111104</v>
      </c>
      <c r="E112" s="105">
        <f>IFERROR(lifespans_all!E111*DTE_mission_minutes!E33,"-")</f>
        <v>499.24888888888893</v>
      </c>
      <c r="F112" s="105">
        <f>IFERROR(lifespans_all!F111*DTE_mission_minutes!F33,"-")</f>
        <v>565.82727777777768</v>
      </c>
      <c r="G112" s="105">
        <f>IFERROR(lifespans_all!G111*DTE_mission_minutes!G33,"-")</f>
        <v>0</v>
      </c>
      <c r="H112" s="105">
        <f>IFERROR(lifespans_all!H111*DTE_mission_minutes!H33,"-")</f>
        <v>0</v>
      </c>
      <c r="I112" s="105">
        <f>IFERROR(lifespans_all!I111*DTE_mission_minutes!I33,"-")</f>
        <v>0</v>
      </c>
      <c r="J112" s="105">
        <f>IFERROR(lifespans_all!J111*DTE_mission_minutes!J33,"-")</f>
        <v>0</v>
      </c>
      <c r="K112" s="105">
        <f>IFERROR(lifespans_all!K111*DTE_mission_minutes!K33,"-")</f>
        <v>0</v>
      </c>
      <c r="L112" s="105">
        <f>IFERROR(lifespans_all!L111*DTE_mission_minutes!L33,"-")</f>
        <v>0</v>
      </c>
      <c r="M112" s="105">
        <f>IFERROR(lifespans_all!M111*DTE_mission_minutes!M33,"-")</f>
        <v>0</v>
      </c>
      <c r="N112" s="105">
        <f>IFERROR(lifespans_all!N111*DTE_mission_minutes!N33,"-")</f>
        <v>0</v>
      </c>
      <c r="O112" s="105">
        <f>IFERROR(lifespans_all!O111*DTE_mission_minutes!O33,"-")</f>
        <v>0</v>
      </c>
      <c r="P112" s="105">
        <f>IFERROR(lifespans_all!P111*DTE_mission_minutes!P33,"-")</f>
        <v>0</v>
      </c>
      <c r="Q112" s="105">
        <f>IFERROR(lifespans_all!Q111*DTE_mission_minutes!Q33,"-")</f>
        <v>0</v>
      </c>
      <c r="R112" s="105">
        <f>IFERROR(lifespans_all!R111*DTE_mission_minutes!R33,"-")</f>
        <v>0</v>
      </c>
      <c r="S112" s="105">
        <f>IFERROR(lifespans_all!S111*DTE_mission_minutes!S33,"-")</f>
        <v>0</v>
      </c>
      <c r="T112" s="105">
        <f>IFERROR(lifespans_all!T111*DTE_mission_minutes!T33,"-")</f>
        <v>0</v>
      </c>
      <c r="U112" s="105">
        <f>IFERROR(lifespans_all!U111*DTE_mission_minutes!U33,"-")</f>
        <v>0</v>
      </c>
      <c r="V112" s="105">
        <f>IFERROR(lifespans_all!V111*DTE_mission_minutes!V33,"-")</f>
        <v>0</v>
      </c>
    </row>
    <row r="113" spans="1:22" x14ac:dyDescent="0.25">
      <c r="A113" s="29" t="s">
        <v>28</v>
      </c>
      <c r="B113" s="29"/>
      <c r="C113" s="105" t="str">
        <f>IFERROR(lifespans_all!C112*DTE_mission_minutes!C34,"-")</f>
        <v>-</v>
      </c>
      <c r="D113" s="105" t="str">
        <f>IFERROR(lifespans_all!D112*DTE_mission_minutes!D34,"-")</f>
        <v>-</v>
      </c>
      <c r="E113" s="105" t="str">
        <f>IFERROR(lifespans_all!E112*DTE_mission_minutes!E34,"-")</f>
        <v>-</v>
      </c>
      <c r="F113" s="105" t="str">
        <f>IFERROR(lifespans_all!F112*DTE_mission_minutes!F34,"-")</f>
        <v>-</v>
      </c>
      <c r="G113" s="105" t="str">
        <f>IFERROR(lifespans_all!G112*DTE_mission_minutes!G34,"-")</f>
        <v>-</v>
      </c>
      <c r="H113" s="105" t="str">
        <f>IFERROR(lifespans_all!H112*DTE_mission_minutes!H34,"-")</f>
        <v>-</v>
      </c>
      <c r="I113" s="105" t="str">
        <f>IFERROR(lifespans_all!I112*DTE_mission_minutes!I34,"-")</f>
        <v>-</v>
      </c>
      <c r="J113" s="105" t="str">
        <f>IFERROR(lifespans_all!J112*DTE_mission_minutes!J34,"-")</f>
        <v>-</v>
      </c>
      <c r="K113" s="105" t="str">
        <f>IFERROR(lifespans_all!K112*DTE_mission_minutes!K34,"-")</f>
        <v>-</v>
      </c>
      <c r="L113" s="105" t="str">
        <f>IFERROR(lifespans_all!L112*DTE_mission_minutes!L34,"-")</f>
        <v>-</v>
      </c>
      <c r="M113" s="105" t="str">
        <f>IFERROR(lifespans_all!M112*DTE_mission_minutes!M34,"-")</f>
        <v>-</v>
      </c>
      <c r="N113" s="105" t="str">
        <f>IFERROR(lifespans_all!N112*DTE_mission_minutes!N34,"-")</f>
        <v>-</v>
      </c>
      <c r="O113" s="105" t="str">
        <f>IFERROR(lifespans_all!O112*DTE_mission_minutes!O34,"-")</f>
        <v>-</v>
      </c>
      <c r="P113" s="105" t="str">
        <f>IFERROR(lifespans_all!P112*DTE_mission_minutes!P34,"-")</f>
        <v>-</v>
      </c>
      <c r="Q113" s="105" t="str">
        <f>IFERROR(lifespans_all!Q112*DTE_mission_minutes!Q34,"-")</f>
        <v>-</v>
      </c>
      <c r="R113" s="105" t="str">
        <f>IFERROR(lifespans_all!R112*DTE_mission_minutes!R34,"-")</f>
        <v>-</v>
      </c>
      <c r="S113" s="105" t="str">
        <f>IFERROR(lifespans_all!S112*DTE_mission_minutes!S34,"-")</f>
        <v>-</v>
      </c>
      <c r="T113" s="105" t="str">
        <f>IFERROR(lifespans_all!T112*DTE_mission_minutes!T34,"-")</f>
        <v>-</v>
      </c>
      <c r="U113" s="105" t="str">
        <f>IFERROR(lifespans_all!U112*DTE_mission_minutes!U34,"-")</f>
        <v>-</v>
      </c>
      <c r="V113" s="105" t="str">
        <f>IFERROR(lifespans_all!V112*DTE_mission_minutes!V34,"-")</f>
        <v>-</v>
      </c>
    </row>
    <row r="114" spans="1:22" x14ac:dyDescent="0.25">
      <c r="A114" s="29" t="s">
        <v>62</v>
      </c>
      <c r="B114" s="30" t="s">
        <v>41</v>
      </c>
      <c r="C114" s="105">
        <f>IFERROR(lifespans_all!C113*DTE_mission_minutes!C35,"-")</f>
        <v>64.579722222222216</v>
      </c>
      <c r="D114" s="105">
        <f>IFERROR(lifespans_all!D113*DTE_mission_minutes!D35,"-")</f>
        <v>56.487941666666664</v>
      </c>
      <c r="E114" s="105">
        <f>IFERROR(lifespans_all!E113*DTE_mission_minutes!E35,"-")</f>
        <v>49.259444444444441</v>
      </c>
      <c r="F114" s="105">
        <f>IFERROR(lifespans_all!F113*DTE_mission_minutes!F35,"-")</f>
        <v>60.035777777777774</v>
      </c>
      <c r="G114" s="105">
        <f>IFERROR(lifespans_all!G113*DTE_mission_minutes!G35,"-")</f>
        <v>60.035777777777774</v>
      </c>
      <c r="H114" s="105">
        <f>IFERROR(lifespans_all!H113*DTE_mission_minutes!H35,"-")</f>
        <v>0</v>
      </c>
      <c r="I114" s="105">
        <f>IFERROR(lifespans_all!I113*DTE_mission_minutes!I35,"-")</f>
        <v>0</v>
      </c>
      <c r="J114" s="105">
        <f>IFERROR(lifespans_all!J113*DTE_mission_minutes!J35,"-")</f>
        <v>0</v>
      </c>
      <c r="K114" s="105">
        <f>IFERROR(lifespans_all!K113*DTE_mission_minutes!K35,"-")</f>
        <v>0</v>
      </c>
      <c r="L114" s="105">
        <f>IFERROR(lifespans_all!L113*DTE_mission_minutes!L35,"-")</f>
        <v>0</v>
      </c>
      <c r="M114" s="105">
        <f>IFERROR(lifespans_all!M113*DTE_mission_minutes!M35,"-")</f>
        <v>0</v>
      </c>
      <c r="N114" s="105">
        <f>IFERROR(lifespans_all!N113*DTE_mission_minutes!N35,"-")</f>
        <v>0</v>
      </c>
      <c r="O114" s="105">
        <f>IFERROR(lifespans_all!O113*DTE_mission_minutes!O35,"-")</f>
        <v>0</v>
      </c>
      <c r="P114" s="105">
        <f>IFERROR(lifespans_all!P113*DTE_mission_minutes!P35,"-")</f>
        <v>0</v>
      </c>
      <c r="Q114" s="105">
        <f>IFERROR(lifespans_all!Q113*DTE_mission_minutes!Q35,"-")</f>
        <v>0</v>
      </c>
      <c r="R114" s="105">
        <f>IFERROR(lifespans_all!R113*DTE_mission_minutes!R35,"-")</f>
        <v>0</v>
      </c>
      <c r="S114" s="105">
        <f>IFERROR(lifespans_all!S113*DTE_mission_minutes!S35,"-")</f>
        <v>0</v>
      </c>
      <c r="T114" s="105">
        <f>IFERROR(lifespans_all!T113*DTE_mission_minutes!T35,"-")</f>
        <v>0</v>
      </c>
      <c r="U114" s="105">
        <f>IFERROR(lifespans_all!U113*DTE_mission_minutes!U35,"-")</f>
        <v>0</v>
      </c>
      <c r="V114" s="105">
        <f>IFERROR(lifespans_all!V113*DTE_mission_minutes!V35,"-")</f>
        <v>0</v>
      </c>
    </row>
    <row r="115" spans="1:22" x14ac:dyDescent="0.25">
      <c r="A115" s="29" t="s">
        <v>29</v>
      </c>
      <c r="B115" s="30" t="s">
        <v>41</v>
      </c>
      <c r="C115" s="105">
        <f>IFERROR(lifespans_all!C114*DTE_mission_minutes!C36,"-")</f>
        <v>133409.35004928565</v>
      </c>
      <c r="D115" s="105">
        <f>IFERROR(lifespans_all!D114*DTE_mission_minutes!D36,"-")</f>
        <v>133409.35004928565</v>
      </c>
      <c r="E115" s="105">
        <f>IFERROR(lifespans_all!E114*DTE_mission_minutes!E36,"-")</f>
        <v>133409.35004928565</v>
      </c>
      <c r="F115" s="105">
        <f>IFERROR(lifespans_all!F114*DTE_mission_minutes!F36,"-")</f>
        <v>0</v>
      </c>
      <c r="G115" s="105">
        <f>IFERROR(lifespans_all!G114*DTE_mission_minutes!G36,"-")</f>
        <v>0</v>
      </c>
      <c r="H115" s="105">
        <f>IFERROR(lifespans_all!H114*DTE_mission_minutes!H36,"-")</f>
        <v>0</v>
      </c>
      <c r="I115" s="105">
        <f>IFERROR(lifespans_all!I114*DTE_mission_minutes!I36,"-")</f>
        <v>0</v>
      </c>
      <c r="J115" s="105">
        <f>IFERROR(lifespans_all!J114*DTE_mission_minutes!J36,"-")</f>
        <v>0</v>
      </c>
      <c r="K115" s="105">
        <f>IFERROR(lifespans_all!K114*DTE_mission_minutes!K36,"-")</f>
        <v>0</v>
      </c>
      <c r="L115" s="105">
        <f>IFERROR(lifespans_all!L114*DTE_mission_minutes!L36,"-")</f>
        <v>0</v>
      </c>
      <c r="M115" s="105">
        <f>IFERROR(lifespans_all!M114*DTE_mission_minutes!M36,"-")</f>
        <v>0</v>
      </c>
      <c r="N115" s="105">
        <f>IFERROR(lifespans_all!N114*DTE_mission_minutes!N36,"-")</f>
        <v>0</v>
      </c>
      <c r="O115" s="105">
        <f>IFERROR(lifespans_all!O114*DTE_mission_minutes!O36,"-")</f>
        <v>0</v>
      </c>
      <c r="P115" s="105">
        <f>IFERROR(lifespans_all!P114*DTE_mission_minutes!P36,"-")</f>
        <v>0</v>
      </c>
      <c r="Q115" s="105">
        <f>IFERROR(lifespans_all!Q114*DTE_mission_minutes!Q36,"-")</f>
        <v>0</v>
      </c>
      <c r="R115" s="105">
        <f>IFERROR(lifespans_all!R114*DTE_mission_minutes!R36,"-")</f>
        <v>0</v>
      </c>
      <c r="S115" s="105">
        <f>IFERROR(lifespans_all!S114*DTE_mission_minutes!S36,"-")</f>
        <v>0</v>
      </c>
      <c r="T115" s="105">
        <f>IFERROR(lifespans_all!T114*DTE_mission_minutes!T36,"-")</f>
        <v>0</v>
      </c>
      <c r="U115" s="105">
        <f>IFERROR(lifespans_all!U114*DTE_mission_minutes!U36,"-")</f>
        <v>0</v>
      </c>
      <c r="V115" s="105">
        <f>IFERROR(lifespans_all!V114*DTE_mission_minutes!V36,"-")</f>
        <v>0</v>
      </c>
    </row>
    <row r="116" spans="1:22" x14ac:dyDescent="0.25">
      <c r="A116" s="29" t="s">
        <v>30</v>
      </c>
      <c r="B116" s="37" t="s">
        <v>43</v>
      </c>
      <c r="C116" s="105">
        <f>IFERROR(lifespans_all!C115*DTE_mission_minutes!C37,"-")</f>
        <v>171572.29579277776</v>
      </c>
      <c r="D116" s="105">
        <f>IFERROR(lifespans_all!D115*DTE_mission_minutes!D37,"-")</f>
        <v>171572.29579277776</v>
      </c>
      <c r="E116" s="105">
        <f>IFERROR(lifespans_all!E115*DTE_mission_minutes!E37,"-")</f>
        <v>171572.29579277776</v>
      </c>
      <c r="F116" s="105">
        <f>IFERROR(lifespans_all!F115*DTE_mission_minutes!F37,"-")</f>
        <v>171572.29579277776</v>
      </c>
      <c r="G116" s="105">
        <f>IFERROR(lifespans_all!G115*DTE_mission_minutes!G37,"-")</f>
        <v>171572.29579277776</v>
      </c>
      <c r="H116" s="105">
        <f>IFERROR(lifespans_all!H115*DTE_mission_minutes!H37,"-")</f>
        <v>171572.29579277776</v>
      </c>
      <c r="I116" s="105">
        <f>IFERROR(lifespans_all!I115*DTE_mission_minutes!I37,"-")</f>
        <v>171572.29579277776</v>
      </c>
      <c r="J116" s="105">
        <f>IFERROR(lifespans_all!J115*DTE_mission_minutes!J37,"-")</f>
        <v>171572.29579277776</v>
      </c>
      <c r="K116" s="105">
        <f>IFERROR(lifespans_all!K115*DTE_mission_minutes!K37,"-")</f>
        <v>171572.29579277776</v>
      </c>
      <c r="L116" s="105">
        <f>IFERROR(lifespans_all!L115*DTE_mission_minutes!L37,"-")</f>
        <v>171572.29579277776</v>
      </c>
      <c r="M116" s="105">
        <f>IFERROR(lifespans_all!M115*DTE_mission_minutes!M37,"-")</f>
        <v>171572.29579277776</v>
      </c>
      <c r="N116" s="105">
        <f>IFERROR(lifespans_all!N115*DTE_mission_minutes!N37,"-")</f>
        <v>171572.29579277776</v>
      </c>
      <c r="O116" s="105">
        <f>IFERROR(lifespans_all!O115*DTE_mission_minutes!O37,"-")</f>
        <v>171572.29579277776</v>
      </c>
      <c r="P116" s="105">
        <f>IFERROR(lifespans_all!P115*DTE_mission_minutes!P37,"-")</f>
        <v>171572.29579277776</v>
      </c>
      <c r="Q116" s="105">
        <f>IFERROR(lifespans_all!Q115*DTE_mission_minutes!Q37,"-")</f>
        <v>171572.29579277776</v>
      </c>
      <c r="R116" s="105">
        <f>IFERROR(lifespans_all!R115*DTE_mission_minutes!R37,"-")</f>
        <v>171572.29579277776</v>
      </c>
      <c r="S116" s="105">
        <f>IFERROR(lifespans_all!S115*DTE_mission_minutes!S37,"-")</f>
        <v>171572.29579277776</v>
      </c>
      <c r="T116" s="105">
        <f>IFERROR(lifespans_all!T115*DTE_mission_minutes!T37,"-")</f>
        <v>171572.29579277776</v>
      </c>
      <c r="U116" s="105">
        <f>IFERROR(lifespans_all!U115*DTE_mission_minutes!U37,"-")</f>
        <v>171572.29579277776</v>
      </c>
      <c r="V116" s="105">
        <f>IFERROR(lifespans_all!V115*DTE_mission_minutes!V37,"-")</f>
        <v>171572.29579277776</v>
      </c>
    </row>
    <row r="117" spans="1:22" x14ac:dyDescent="0.25">
      <c r="A117" s="29" t="s">
        <v>31</v>
      </c>
      <c r="B117" s="38" t="s">
        <v>48</v>
      </c>
      <c r="C117" s="105" t="str">
        <f>IFERROR(lifespans_all!C116*DTE_mission_minutes!C38,"-")</f>
        <v>-</v>
      </c>
      <c r="D117" s="105" t="str">
        <f>IFERROR(lifespans_all!D116*DTE_mission_minutes!D38,"-")</f>
        <v>-</v>
      </c>
      <c r="E117" s="105" t="str">
        <f>IFERROR(lifespans_all!E116*DTE_mission_minutes!E38,"-")</f>
        <v>-</v>
      </c>
      <c r="F117" s="105" t="str">
        <f>IFERROR(lifespans_all!F116*DTE_mission_minutes!F38,"-")</f>
        <v>-</v>
      </c>
      <c r="G117" s="105" t="str">
        <f>IFERROR(lifespans_all!G116*DTE_mission_minutes!G38,"-")</f>
        <v>-</v>
      </c>
      <c r="H117" s="105" t="str">
        <f>IFERROR(lifespans_all!H116*DTE_mission_minutes!H38,"-")</f>
        <v>-</v>
      </c>
      <c r="I117" s="105" t="str">
        <f>IFERROR(lifespans_all!I116*DTE_mission_minutes!I38,"-")</f>
        <v>-</v>
      </c>
      <c r="J117" s="105" t="str">
        <f>IFERROR(lifespans_all!J116*DTE_mission_minutes!J38,"-")</f>
        <v>-</v>
      </c>
      <c r="K117" s="105" t="str">
        <f>IFERROR(lifespans_all!K116*DTE_mission_minutes!K38,"-")</f>
        <v>-</v>
      </c>
      <c r="L117" s="105" t="str">
        <f>IFERROR(lifespans_all!L116*DTE_mission_minutes!L38,"-")</f>
        <v>-</v>
      </c>
      <c r="M117" s="105" t="str">
        <f>IFERROR(lifespans_all!M116*DTE_mission_minutes!M38,"-")</f>
        <v>-</v>
      </c>
      <c r="N117" s="105" t="str">
        <f>IFERROR(lifespans_all!N116*DTE_mission_minutes!N38,"-")</f>
        <v>-</v>
      </c>
      <c r="O117" s="105" t="str">
        <f>IFERROR(lifespans_all!O116*DTE_mission_minutes!O38,"-")</f>
        <v>-</v>
      </c>
      <c r="P117" s="105" t="str">
        <f>IFERROR(lifespans_all!P116*DTE_mission_minutes!P38,"-")</f>
        <v>-</v>
      </c>
      <c r="Q117" s="105" t="str">
        <f>IFERROR(lifespans_all!Q116*DTE_mission_minutes!Q38,"-")</f>
        <v>-</v>
      </c>
      <c r="R117" s="105" t="str">
        <f>IFERROR(lifespans_all!R116*DTE_mission_minutes!R38,"-")</f>
        <v>-</v>
      </c>
      <c r="S117" s="105" t="str">
        <f>IFERROR(lifespans_all!S116*DTE_mission_minutes!S38,"-")</f>
        <v>-</v>
      </c>
      <c r="T117" s="105" t="str">
        <f>IFERROR(lifespans_all!T116*DTE_mission_minutes!T38,"-")</f>
        <v>-</v>
      </c>
      <c r="U117" s="105" t="str">
        <f>IFERROR(lifespans_all!U116*DTE_mission_minutes!U38,"-")</f>
        <v>-</v>
      </c>
      <c r="V117" s="105" t="str">
        <f>IFERROR(lifespans_all!V116*DTE_mission_minutes!V38,"-")</f>
        <v>-</v>
      </c>
    </row>
    <row r="118" spans="1:22" x14ac:dyDescent="0.25">
      <c r="A118" s="29" t="s">
        <v>32</v>
      </c>
      <c r="B118" s="38" t="s">
        <v>48</v>
      </c>
      <c r="C118" s="105" t="str">
        <f>IFERROR(lifespans_all!C117*DTE_mission_minutes!C39,"-")</f>
        <v>-</v>
      </c>
      <c r="D118" s="105" t="str">
        <f>IFERROR(lifespans_all!D117*DTE_mission_minutes!D39,"-")</f>
        <v>-</v>
      </c>
      <c r="E118" s="105" t="str">
        <f>IFERROR(lifespans_all!E117*DTE_mission_minutes!E39,"-")</f>
        <v>-</v>
      </c>
      <c r="F118" s="105" t="str">
        <f>IFERROR(lifespans_all!F117*DTE_mission_minutes!F39,"-")</f>
        <v>-</v>
      </c>
      <c r="G118" s="105" t="str">
        <f>IFERROR(lifespans_all!G117*DTE_mission_minutes!G39,"-")</f>
        <v>-</v>
      </c>
      <c r="H118" s="105" t="str">
        <f>IFERROR(lifespans_all!H117*DTE_mission_minutes!H39,"-")</f>
        <v>-</v>
      </c>
      <c r="I118" s="105" t="str">
        <f>IFERROR(lifespans_all!I117*DTE_mission_minutes!I39,"-")</f>
        <v>-</v>
      </c>
      <c r="J118" s="105" t="str">
        <f>IFERROR(lifespans_all!J117*DTE_mission_minutes!J39,"-")</f>
        <v>-</v>
      </c>
      <c r="K118" s="105" t="str">
        <f>IFERROR(lifespans_all!K117*DTE_mission_minutes!K39,"-")</f>
        <v>-</v>
      </c>
      <c r="L118" s="105" t="str">
        <f>IFERROR(lifespans_all!L117*DTE_mission_minutes!L39,"-")</f>
        <v>-</v>
      </c>
      <c r="M118" s="105" t="str">
        <f>IFERROR(lifespans_all!M117*DTE_mission_minutes!M39,"-")</f>
        <v>-</v>
      </c>
      <c r="N118" s="105" t="str">
        <f>IFERROR(lifespans_all!N117*DTE_mission_minutes!N39,"-")</f>
        <v>-</v>
      </c>
      <c r="O118" s="105" t="str">
        <f>IFERROR(lifespans_all!O117*DTE_mission_minutes!O39,"-")</f>
        <v>-</v>
      </c>
      <c r="P118" s="105" t="str">
        <f>IFERROR(lifespans_all!P117*DTE_mission_minutes!P39,"-")</f>
        <v>-</v>
      </c>
      <c r="Q118" s="105" t="str">
        <f>IFERROR(lifespans_all!Q117*DTE_mission_minutes!Q39,"-")</f>
        <v>-</v>
      </c>
      <c r="R118" s="105" t="str">
        <f>IFERROR(lifespans_all!R117*DTE_mission_minutes!R39,"-")</f>
        <v>-</v>
      </c>
      <c r="S118" s="105" t="str">
        <f>IFERROR(lifespans_all!S117*DTE_mission_minutes!S39,"-")</f>
        <v>-</v>
      </c>
      <c r="T118" s="105" t="str">
        <f>IFERROR(lifespans_all!T117*DTE_mission_minutes!T39,"-")</f>
        <v>-</v>
      </c>
      <c r="U118" s="105" t="str">
        <f>IFERROR(lifespans_all!U117*DTE_mission_minutes!U39,"-")</f>
        <v>-</v>
      </c>
      <c r="V118" s="105" t="str">
        <f>IFERROR(lifespans_all!V117*DTE_mission_minutes!V39,"-")</f>
        <v>-</v>
      </c>
    </row>
    <row r="119" spans="1:22" x14ac:dyDescent="0.25">
      <c r="A119" s="29" t="s">
        <v>33</v>
      </c>
      <c r="B119" s="30" t="s">
        <v>41</v>
      </c>
      <c r="C119" s="105">
        <f>IFERROR(lifespans_all!C118*DTE_mission_minutes!C40,"-")</f>
        <v>0</v>
      </c>
      <c r="D119" s="105">
        <f>IFERROR(lifespans_all!D118*DTE_mission_minutes!D40,"-")</f>
        <v>0</v>
      </c>
      <c r="E119" s="105">
        <f>IFERROR(lifespans_all!E118*DTE_mission_minutes!E40,"-")</f>
        <v>0</v>
      </c>
      <c r="F119" s="105">
        <f>IFERROR(lifespans_all!F118*DTE_mission_minutes!F40,"-")</f>
        <v>0</v>
      </c>
      <c r="G119" s="105">
        <f>IFERROR(lifespans_all!G118*DTE_mission_minutes!G40,"-")</f>
        <v>0</v>
      </c>
      <c r="H119" s="105">
        <f>IFERROR(lifespans_all!H118*DTE_mission_minutes!H40,"-")</f>
        <v>0</v>
      </c>
      <c r="I119" s="105">
        <f>IFERROR(lifespans_all!I118*DTE_mission_minutes!I40,"-")</f>
        <v>0</v>
      </c>
      <c r="J119" s="105">
        <f>IFERROR(lifespans_all!J118*DTE_mission_minutes!J40,"-")</f>
        <v>0</v>
      </c>
      <c r="K119" s="105">
        <f>IFERROR(lifespans_all!K118*DTE_mission_minutes!K40,"-")</f>
        <v>0</v>
      </c>
      <c r="L119" s="105">
        <f>IFERROR(lifespans_all!L118*DTE_mission_minutes!L40,"-")</f>
        <v>0</v>
      </c>
      <c r="M119" s="105">
        <f>IFERROR(lifespans_all!M118*DTE_mission_minutes!M40,"-")</f>
        <v>0</v>
      </c>
      <c r="N119" s="105">
        <f>IFERROR(lifespans_all!N118*DTE_mission_minutes!N40,"-")</f>
        <v>0</v>
      </c>
      <c r="O119" s="105">
        <f>IFERROR(lifespans_all!O118*DTE_mission_minutes!O40,"-")</f>
        <v>0</v>
      </c>
      <c r="P119" s="105">
        <f>IFERROR(lifespans_all!P118*DTE_mission_minutes!P40,"-")</f>
        <v>0</v>
      </c>
      <c r="Q119" s="105">
        <f>IFERROR(lifespans_all!Q118*DTE_mission_minutes!Q40,"-")</f>
        <v>0</v>
      </c>
      <c r="R119" s="105">
        <f>IFERROR(lifespans_all!R118*DTE_mission_minutes!R40,"-")</f>
        <v>0</v>
      </c>
      <c r="S119" s="105">
        <f>IFERROR(lifespans_all!S118*DTE_mission_minutes!S40,"-")</f>
        <v>0</v>
      </c>
      <c r="T119" s="105">
        <f>IFERROR(lifespans_all!T118*DTE_mission_minutes!T40,"-")</f>
        <v>0</v>
      </c>
      <c r="U119" s="105">
        <f>IFERROR(lifespans_all!U118*DTE_mission_minutes!U40,"-")</f>
        <v>0</v>
      </c>
      <c r="V119" s="105">
        <f>IFERROR(lifespans_all!V118*DTE_mission_minutes!V40,"-")</f>
        <v>0</v>
      </c>
    </row>
    <row r="120" spans="1:22" x14ac:dyDescent="0.25">
      <c r="A120" s="29" t="s">
        <v>34</v>
      </c>
      <c r="B120" s="37" t="s">
        <v>45</v>
      </c>
      <c r="C120" s="105">
        <f>IFERROR(lifespans_all!C119*DTE_mission_minutes!C41,"-")</f>
        <v>1321.6547222222223</v>
      </c>
      <c r="D120" s="105">
        <f>IFERROR(lifespans_all!D119*DTE_mission_minutes!D41,"-")</f>
        <v>1450.1822222222222</v>
      </c>
      <c r="E120" s="105">
        <f>IFERROR(lifespans_all!E119*DTE_mission_minutes!E41,"-")</f>
        <v>1386.2452777777776</v>
      </c>
      <c r="F120" s="105">
        <f>IFERROR(lifespans_all!F119*DTE_mission_minutes!F41,"-")</f>
        <v>1393.7255555555555</v>
      </c>
      <c r="G120" s="105">
        <f>IFERROR(lifespans_all!G119*DTE_mission_minutes!G41,"-")</f>
        <v>1393.7255555555555</v>
      </c>
      <c r="H120" s="105">
        <f>IFERROR(lifespans_all!H119*DTE_mission_minutes!H41,"-")</f>
        <v>0</v>
      </c>
      <c r="I120" s="105">
        <f>IFERROR(lifespans_all!I119*DTE_mission_minutes!I41,"-")</f>
        <v>0</v>
      </c>
      <c r="J120" s="105">
        <f>IFERROR(lifespans_all!J119*DTE_mission_minutes!J41,"-")</f>
        <v>0</v>
      </c>
      <c r="K120" s="105">
        <f>IFERROR(lifespans_all!K119*DTE_mission_minutes!K41,"-")</f>
        <v>0</v>
      </c>
      <c r="L120" s="105">
        <f>IFERROR(lifespans_all!L119*DTE_mission_minutes!L41,"-")</f>
        <v>0</v>
      </c>
      <c r="M120" s="105">
        <f>IFERROR(lifespans_all!M119*DTE_mission_minutes!M41,"-")</f>
        <v>0</v>
      </c>
      <c r="N120" s="105">
        <f>IFERROR(lifespans_all!N119*DTE_mission_minutes!N41,"-")</f>
        <v>0</v>
      </c>
      <c r="O120" s="105">
        <f>IFERROR(lifespans_all!O119*DTE_mission_minutes!O41,"-")</f>
        <v>0</v>
      </c>
      <c r="P120" s="105">
        <f>IFERROR(lifespans_all!P119*DTE_mission_minutes!P41,"-")</f>
        <v>0</v>
      </c>
      <c r="Q120" s="105">
        <f>IFERROR(lifespans_all!Q119*DTE_mission_minutes!Q41,"-")</f>
        <v>0</v>
      </c>
      <c r="R120" s="105">
        <f>IFERROR(lifespans_all!R119*DTE_mission_minutes!R41,"-")</f>
        <v>0</v>
      </c>
      <c r="S120" s="105">
        <f>IFERROR(lifespans_all!S119*DTE_mission_minutes!S41,"-")</f>
        <v>0</v>
      </c>
      <c r="T120" s="105">
        <f>IFERROR(lifespans_all!T119*DTE_mission_minutes!T41,"-")</f>
        <v>0</v>
      </c>
      <c r="U120" s="105">
        <f>IFERROR(lifespans_all!U119*DTE_mission_minutes!U41,"-")</f>
        <v>0</v>
      </c>
      <c r="V120" s="105">
        <f>IFERROR(lifespans_all!V119*DTE_mission_minutes!V41,"-")</f>
        <v>0</v>
      </c>
    </row>
    <row r="121" spans="1:22" x14ac:dyDescent="0.25">
      <c r="A121" s="29" t="s">
        <v>63</v>
      </c>
      <c r="B121" s="37" t="s">
        <v>43</v>
      </c>
      <c r="C121" s="105">
        <f>IFERROR(lifespans_all!C120*DTE_mission_minutes!C42,"-")</f>
        <v>171572.29579277776</v>
      </c>
      <c r="D121" s="105">
        <f>IFERROR(lifespans_all!D120*DTE_mission_minutes!D42,"-")</f>
        <v>171572.29579277776</v>
      </c>
      <c r="E121" s="105">
        <f>IFERROR(lifespans_all!E120*DTE_mission_minutes!E42,"-")</f>
        <v>171572.29579277776</v>
      </c>
      <c r="F121" s="105">
        <f>IFERROR(lifespans_all!F120*DTE_mission_minutes!F42,"-")</f>
        <v>171572.29579277776</v>
      </c>
      <c r="G121" s="105">
        <f>IFERROR(lifespans_all!G120*DTE_mission_minutes!G42,"-")</f>
        <v>171572.29579277776</v>
      </c>
      <c r="H121" s="105">
        <f>IFERROR(lifespans_all!H120*DTE_mission_minutes!H42,"-")</f>
        <v>171572.29579277776</v>
      </c>
      <c r="I121" s="105">
        <f>IFERROR(lifespans_all!I120*DTE_mission_minutes!I42,"-")</f>
        <v>171572.29579277776</v>
      </c>
      <c r="J121" s="105">
        <f>IFERROR(lifespans_all!J120*DTE_mission_minutes!J42,"-")</f>
        <v>171572.29579277776</v>
      </c>
      <c r="K121" s="105">
        <f>IFERROR(lifespans_all!K120*DTE_mission_minutes!K42,"-")</f>
        <v>171572.29579277776</v>
      </c>
      <c r="L121" s="105">
        <f>IFERROR(lifespans_all!L120*DTE_mission_minutes!L42,"-")</f>
        <v>171572.29579277776</v>
      </c>
      <c r="M121" s="105">
        <f>IFERROR(lifespans_all!M120*DTE_mission_minutes!M42,"-")</f>
        <v>171572.29579277776</v>
      </c>
      <c r="N121" s="105">
        <f>IFERROR(lifespans_all!N120*DTE_mission_minutes!N42,"-")</f>
        <v>171572.29579277776</v>
      </c>
      <c r="O121" s="105">
        <f>IFERROR(lifespans_all!O120*DTE_mission_minutes!O42,"-")</f>
        <v>171572.29579277776</v>
      </c>
      <c r="P121" s="105">
        <f>IFERROR(lifespans_all!P120*DTE_mission_minutes!P42,"-")</f>
        <v>171572.29579277776</v>
      </c>
      <c r="Q121" s="105">
        <f>IFERROR(lifespans_all!Q120*DTE_mission_minutes!Q42,"-")</f>
        <v>171572.29579277776</v>
      </c>
      <c r="R121" s="105">
        <f>IFERROR(lifespans_all!R120*DTE_mission_minutes!R42,"-")</f>
        <v>171572.29579277776</v>
      </c>
      <c r="S121" s="105">
        <f>IFERROR(lifespans_all!S120*DTE_mission_minutes!S42,"-")</f>
        <v>171572.29579277776</v>
      </c>
      <c r="T121" s="105">
        <f>IFERROR(lifespans_all!T120*DTE_mission_minutes!T42,"-")</f>
        <v>171572.29579277776</v>
      </c>
      <c r="U121" s="105">
        <f>IFERROR(lifespans_all!U120*DTE_mission_minutes!U42,"-")</f>
        <v>171572.29579277776</v>
      </c>
      <c r="V121" s="105">
        <f>IFERROR(lifespans_all!V120*DTE_mission_minutes!V42,"-")</f>
        <v>171572.29579277776</v>
      </c>
    </row>
    <row r="122" spans="1:22" x14ac:dyDescent="0.25">
      <c r="A122" s="29" t="s">
        <v>64</v>
      </c>
      <c r="B122" s="30" t="s">
        <v>46</v>
      </c>
      <c r="C122" s="105" t="str">
        <f>IFERROR(lifespans_all!C121*DTE_mission_minutes!C43,"-")</f>
        <v>-</v>
      </c>
      <c r="D122" s="105" t="str">
        <f>IFERROR(lifespans_all!D121*DTE_mission_minutes!D43,"-")</f>
        <v>-</v>
      </c>
      <c r="E122" s="105" t="str">
        <f>IFERROR(lifespans_all!E121*DTE_mission_minutes!E43,"-")</f>
        <v>-</v>
      </c>
      <c r="F122" s="105" t="str">
        <f>IFERROR(lifespans_all!F121*DTE_mission_minutes!F43,"-")</f>
        <v>-</v>
      </c>
      <c r="G122" s="105" t="str">
        <f>IFERROR(lifespans_all!G121*DTE_mission_minutes!G43,"-")</f>
        <v>-</v>
      </c>
      <c r="H122" s="105" t="str">
        <f>IFERROR(lifespans_all!H121*DTE_mission_minutes!H43,"-")</f>
        <v>-</v>
      </c>
      <c r="I122" s="105" t="str">
        <f>IFERROR(lifespans_all!I121*DTE_mission_minutes!I43,"-")</f>
        <v>-</v>
      </c>
      <c r="J122" s="105" t="str">
        <f>IFERROR(lifespans_all!J121*DTE_mission_minutes!J43,"-")</f>
        <v>-</v>
      </c>
      <c r="K122" s="105" t="str">
        <f>IFERROR(lifespans_all!K121*DTE_mission_minutes!K43,"-")</f>
        <v>-</v>
      </c>
      <c r="L122" s="105" t="str">
        <f>IFERROR(lifespans_all!L121*DTE_mission_minutes!L43,"-")</f>
        <v>-</v>
      </c>
      <c r="M122" s="105" t="str">
        <f>IFERROR(lifespans_all!M121*DTE_mission_minutes!M43,"-")</f>
        <v>-</v>
      </c>
      <c r="N122" s="105" t="str">
        <f>IFERROR(lifespans_all!N121*DTE_mission_minutes!N43,"-")</f>
        <v>-</v>
      </c>
      <c r="O122" s="105" t="str">
        <f>IFERROR(lifespans_all!O121*DTE_mission_minutes!O43,"-")</f>
        <v>-</v>
      </c>
      <c r="P122" s="105" t="str">
        <f>IFERROR(lifespans_all!P121*DTE_mission_minutes!P43,"-")</f>
        <v>-</v>
      </c>
      <c r="Q122" s="105" t="str">
        <f>IFERROR(lifespans_all!Q121*DTE_mission_minutes!Q43,"-")</f>
        <v>-</v>
      </c>
      <c r="R122" s="105" t="str">
        <f>IFERROR(lifespans_all!R121*DTE_mission_minutes!R43,"-")</f>
        <v>-</v>
      </c>
      <c r="S122" s="105" t="str">
        <f>IFERROR(lifespans_all!S121*DTE_mission_minutes!S43,"-")</f>
        <v>-</v>
      </c>
      <c r="T122" s="105" t="str">
        <f>IFERROR(lifespans_all!T121*DTE_mission_minutes!T43,"-")</f>
        <v>-</v>
      </c>
      <c r="U122" s="105" t="str">
        <f>IFERROR(lifespans_all!U121*DTE_mission_minutes!U43,"-")</f>
        <v>-</v>
      </c>
      <c r="V122" s="105" t="str">
        <f>IFERROR(lifespans_all!V121*DTE_mission_minutes!V43,"-")</f>
        <v>-</v>
      </c>
    </row>
    <row r="123" spans="1:22" x14ac:dyDescent="0.25">
      <c r="A123" s="29" t="s">
        <v>65</v>
      </c>
      <c r="B123" s="30" t="s">
        <v>41</v>
      </c>
      <c r="C123" s="105">
        <f>IFERROR(lifespans_all!C122*DTE_mission_minutes!C44,"-")</f>
        <v>3017.8666666666668</v>
      </c>
      <c r="D123" s="105">
        <f>IFERROR(lifespans_all!D122*DTE_mission_minutes!D44,"-")</f>
        <v>3078.4611111111108</v>
      </c>
      <c r="E123" s="105">
        <f>IFERROR(lifespans_all!E122*DTE_mission_minutes!E44,"-")</f>
        <v>2765.7895222222219</v>
      </c>
      <c r="F123" s="105">
        <f>IFERROR(lifespans_all!F122*DTE_mission_minutes!F44,"-")</f>
        <v>3000.2460561111111</v>
      </c>
      <c r="G123" s="105">
        <f>IFERROR(lifespans_all!G122*DTE_mission_minutes!G44,"-")</f>
        <v>3000.2460561111111</v>
      </c>
      <c r="H123" s="105">
        <f>IFERROR(lifespans_all!H122*DTE_mission_minutes!H44,"-")</f>
        <v>3000.2460561111111</v>
      </c>
      <c r="I123" s="105">
        <f>IFERROR(lifespans_all!I122*DTE_mission_minutes!I44,"-")</f>
        <v>3000.2460561111111</v>
      </c>
      <c r="J123" s="105">
        <f>IFERROR(lifespans_all!J122*DTE_mission_minutes!J44,"-")</f>
        <v>0</v>
      </c>
      <c r="K123" s="105">
        <f>IFERROR(lifespans_all!K122*DTE_mission_minutes!K44,"-")</f>
        <v>0</v>
      </c>
      <c r="L123" s="105">
        <f>IFERROR(lifespans_all!L122*DTE_mission_minutes!L44,"-")</f>
        <v>0</v>
      </c>
      <c r="M123" s="105">
        <f>IFERROR(lifespans_all!M122*DTE_mission_minutes!M44,"-")</f>
        <v>0</v>
      </c>
      <c r="N123" s="105">
        <f>IFERROR(lifespans_all!N122*DTE_mission_minutes!N44,"-")</f>
        <v>0</v>
      </c>
      <c r="O123" s="105">
        <f>IFERROR(lifespans_all!O122*DTE_mission_minutes!O44,"-")</f>
        <v>0</v>
      </c>
      <c r="P123" s="105">
        <f>IFERROR(lifespans_all!P122*DTE_mission_minutes!P44,"-")</f>
        <v>0</v>
      </c>
      <c r="Q123" s="105">
        <f>IFERROR(lifespans_all!Q122*DTE_mission_minutes!Q44,"-")</f>
        <v>0</v>
      </c>
      <c r="R123" s="105">
        <f>IFERROR(lifespans_all!R122*DTE_mission_minutes!R44,"-")</f>
        <v>0</v>
      </c>
      <c r="S123" s="105">
        <f>IFERROR(lifespans_all!S122*DTE_mission_minutes!S44,"-")</f>
        <v>0</v>
      </c>
      <c r="T123" s="105">
        <f>IFERROR(lifespans_all!T122*DTE_mission_minutes!T44,"-")</f>
        <v>0</v>
      </c>
      <c r="U123" s="105">
        <f>IFERROR(lifespans_all!U122*DTE_mission_minutes!U44,"-")</f>
        <v>0</v>
      </c>
      <c r="V123" s="105">
        <f>IFERROR(lifespans_all!V122*DTE_mission_minutes!V44,"-")</f>
        <v>0</v>
      </c>
    </row>
    <row r="124" spans="1:22" x14ac:dyDescent="0.25">
      <c r="A124" s="29" t="s">
        <v>35</v>
      </c>
      <c r="B124" s="30" t="s">
        <v>40</v>
      </c>
      <c r="C124" s="105">
        <f>IFERROR(lifespans_all!C123*DTE_mission_minutes!C45,"-")</f>
        <v>2140.4341038095235</v>
      </c>
      <c r="D124" s="105">
        <f>IFERROR(lifespans_all!D123*DTE_mission_minutes!D45,"-")</f>
        <v>2140.4341038095235</v>
      </c>
      <c r="E124" s="105">
        <f>IFERROR(lifespans_all!E123*DTE_mission_minutes!E45,"-")</f>
        <v>0</v>
      </c>
      <c r="F124" s="105">
        <f>IFERROR(lifespans_all!F123*DTE_mission_minutes!F45,"-")</f>
        <v>0</v>
      </c>
      <c r="G124" s="105">
        <f>IFERROR(lifespans_all!G123*DTE_mission_minutes!G45,"-")</f>
        <v>0</v>
      </c>
      <c r="H124" s="105">
        <f>IFERROR(lifespans_all!H123*DTE_mission_minutes!H45,"-")</f>
        <v>0</v>
      </c>
      <c r="I124" s="105">
        <f>IFERROR(lifespans_all!I123*DTE_mission_minutes!I45,"-")</f>
        <v>0</v>
      </c>
      <c r="J124" s="105">
        <f>IFERROR(lifespans_all!J123*DTE_mission_minutes!J45,"-")</f>
        <v>0</v>
      </c>
      <c r="K124" s="105">
        <f>IFERROR(lifespans_all!K123*DTE_mission_minutes!K45,"-")</f>
        <v>0</v>
      </c>
      <c r="L124" s="105">
        <f>IFERROR(lifespans_all!L123*DTE_mission_minutes!L45,"-")</f>
        <v>0</v>
      </c>
      <c r="M124" s="105">
        <f>IFERROR(lifespans_all!M123*DTE_mission_minutes!M45,"-")</f>
        <v>0</v>
      </c>
      <c r="N124" s="105">
        <f>IFERROR(lifespans_all!N123*DTE_mission_minutes!N45,"-")</f>
        <v>0</v>
      </c>
      <c r="O124" s="105">
        <f>IFERROR(lifespans_all!O123*DTE_mission_minutes!O45,"-")</f>
        <v>0</v>
      </c>
      <c r="P124" s="105">
        <f>IFERROR(lifespans_all!P123*DTE_mission_minutes!P45,"-")</f>
        <v>0</v>
      </c>
      <c r="Q124" s="105">
        <f>IFERROR(lifespans_all!Q123*DTE_mission_minutes!Q45,"-")</f>
        <v>0</v>
      </c>
      <c r="R124" s="105">
        <f>IFERROR(lifespans_all!R123*DTE_mission_minutes!R45,"-")</f>
        <v>0</v>
      </c>
      <c r="S124" s="105">
        <f>IFERROR(lifespans_all!S123*DTE_mission_minutes!S45,"-")</f>
        <v>0</v>
      </c>
      <c r="T124" s="105">
        <f>IFERROR(lifespans_all!T123*DTE_mission_minutes!T45,"-")</f>
        <v>0</v>
      </c>
      <c r="U124" s="105">
        <f>IFERROR(lifespans_all!U123*DTE_mission_minutes!U45,"-")</f>
        <v>0</v>
      </c>
      <c r="V124" s="105">
        <f>IFERROR(lifespans_all!V123*DTE_mission_minutes!V45,"-")</f>
        <v>0</v>
      </c>
    </row>
    <row r="125" spans="1:22" x14ac:dyDescent="0.25">
      <c r="A125" s="29" t="s">
        <v>36</v>
      </c>
      <c r="B125" s="30" t="s">
        <v>40</v>
      </c>
      <c r="C125" s="105">
        <f>IFERROR(lifespans_all!C124*DTE_mission_minutes!C46,"-")</f>
        <v>2140.4341038095235</v>
      </c>
      <c r="D125" s="105">
        <f>IFERROR(lifespans_all!D124*DTE_mission_minutes!D46,"-")</f>
        <v>2140.4341038095235</v>
      </c>
      <c r="E125" s="105">
        <f>IFERROR(lifespans_all!E124*DTE_mission_minutes!E46,"-")</f>
        <v>0</v>
      </c>
      <c r="F125" s="105">
        <f>IFERROR(lifespans_all!F124*DTE_mission_minutes!F46,"-")</f>
        <v>0</v>
      </c>
      <c r="G125" s="105">
        <f>IFERROR(lifespans_all!G124*DTE_mission_minutes!G46,"-")</f>
        <v>0</v>
      </c>
      <c r="H125" s="105">
        <f>IFERROR(lifespans_all!H124*DTE_mission_minutes!H46,"-")</f>
        <v>0</v>
      </c>
      <c r="I125" s="105">
        <f>IFERROR(lifespans_all!I124*DTE_mission_minutes!I46,"-")</f>
        <v>0</v>
      </c>
      <c r="J125" s="105">
        <f>IFERROR(lifespans_all!J124*DTE_mission_minutes!J46,"-")</f>
        <v>0</v>
      </c>
      <c r="K125" s="105">
        <f>IFERROR(lifespans_all!K124*DTE_mission_minutes!K46,"-")</f>
        <v>0</v>
      </c>
      <c r="L125" s="105">
        <f>IFERROR(lifespans_all!L124*DTE_mission_minutes!L46,"-")</f>
        <v>0</v>
      </c>
      <c r="M125" s="105">
        <f>IFERROR(lifespans_all!M124*DTE_mission_minutes!M46,"-")</f>
        <v>0</v>
      </c>
      <c r="N125" s="105">
        <f>IFERROR(lifespans_all!N124*DTE_mission_minutes!N46,"-")</f>
        <v>0</v>
      </c>
      <c r="O125" s="105">
        <f>IFERROR(lifespans_all!O124*DTE_mission_minutes!O46,"-")</f>
        <v>0</v>
      </c>
      <c r="P125" s="105">
        <f>IFERROR(lifespans_all!P124*DTE_mission_minutes!P46,"-")</f>
        <v>0</v>
      </c>
      <c r="Q125" s="105">
        <f>IFERROR(lifespans_all!Q124*DTE_mission_minutes!Q46,"-")</f>
        <v>0</v>
      </c>
      <c r="R125" s="105">
        <f>IFERROR(lifespans_all!R124*DTE_mission_minutes!R46,"-")</f>
        <v>0</v>
      </c>
      <c r="S125" s="105">
        <f>IFERROR(lifespans_all!S124*DTE_mission_minutes!S46,"-")</f>
        <v>0</v>
      </c>
      <c r="T125" s="105">
        <f>IFERROR(lifespans_all!T124*DTE_mission_minutes!T46,"-")</f>
        <v>0</v>
      </c>
      <c r="U125" s="105">
        <f>IFERROR(lifespans_all!U124*DTE_mission_minutes!U46,"-")</f>
        <v>0</v>
      </c>
      <c r="V125" s="105">
        <f>IFERROR(lifespans_all!V124*DTE_mission_minutes!V46,"-")</f>
        <v>0</v>
      </c>
    </row>
    <row r="126" spans="1:22" x14ac:dyDescent="0.25">
      <c r="A126" s="29" t="s">
        <v>37</v>
      </c>
      <c r="B126" s="30" t="s">
        <v>40</v>
      </c>
      <c r="C126" s="105">
        <f>IFERROR(lifespans_all!C125*DTE_mission_minutes!C47,"-")</f>
        <v>2140.4341038095235</v>
      </c>
      <c r="D126" s="105">
        <f>IFERROR(lifespans_all!D125*DTE_mission_minutes!D47,"-")</f>
        <v>2140.4341038095235</v>
      </c>
      <c r="E126" s="105">
        <f>IFERROR(lifespans_all!E125*DTE_mission_minutes!E47,"-")</f>
        <v>0</v>
      </c>
      <c r="F126" s="105">
        <f>IFERROR(lifespans_all!F125*DTE_mission_minutes!F47,"-")</f>
        <v>0</v>
      </c>
      <c r="G126" s="105">
        <f>IFERROR(lifespans_all!G125*DTE_mission_minutes!G47,"-")</f>
        <v>0</v>
      </c>
      <c r="H126" s="105">
        <f>IFERROR(lifespans_all!H125*DTE_mission_minutes!H47,"-")</f>
        <v>0</v>
      </c>
      <c r="I126" s="105">
        <f>IFERROR(lifespans_all!I125*DTE_mission_minutes!I47,"-")</f>
        <v>0</v>
      </c>
      <c r="J126" s="105">
        <f>IFERROR(lifespans_all!J125*DTE_mission_minutes!J47,"-")</f>
        <v>0</v>
      </c>
      <c r="K126" s="105">
        <f>IFERROR(lifespans_all!K125*DTE_mission_minutes!K47,"-")</f>
        <v>0</v>
      </c>
      <c r="L126" s="105">
        <f>IFERROR(lifespans_all!L125*DTE_mission_minutes!L47,"-")</f>
        <v>0</v>
      </c>
      <c r="M126" s="105">
        <f>IFERROR(lifespans_all!M125*DTE_mission_minutes!M47,"-")</f>
        <v>0</v>
      </c>
      <c r="N126" s="105">
        <f>IFERROR(lifespans_all!N125*DTE_mission_minutes!N47,"-")</f>
        <v>0</v>
      </c>
      <c r="O126" s="105">
        <f>IFERROR(lifespans_all!O125*DTE_mission_minutes!O47,"-")</f>
        <v>0</v>
      </c>
      <c r="P126" s="105">
        <f>IFERROR(lifespans_all!P125*DTE_mission_minutes!P47,"-")</f>
        <v>0</v>
      </c>
      <c r="Q126" s="105">
        <f>IFERROR(lifespans_all!Q125*DTE_mission_minutes!Q47,"-")</f>
        <v>0</v>
      </c>
      <c r="R126" s="105">
        <f>IFERROR(lifespans_all!R125*DTE_mission_minutes!R47,"-")</f>
        <v>0</v>
      </c>
      <c r="S126" s="105">
        <f>IFERROR(lifespans_all!S125*DTE_mission_minutes!S47,"-")</f>
        <v>0</v>
      </c>
      <c r="T126" s="105">
        <f>IFERROR(lifespans_all!T125*DTE_mission_minutes!T47,"-")</f>
        <v>0</v>
      </c>
      <c r="U126" s="105">
        <f>IFERROR(lifespans_all!U125*DTE_mission_minutes!U47,"-")</f>
        <v>0</v>
      </c>
      <c r="V126" s="105">
        <f>IFERROR(lifespans_all!V125*DTE_mission_minutes!V47,"-")</f>
        <v>0</v>
      </c>
    </row>
    <row r="127" spans="1:22" x14ac:dyDescent="0.25">
      <c r="A127" s="29" t="s">
        <v>38</v>
      </c>
      <c r="B127" s="30" t="s">
        <v>41</v>
      </c>
      <c r="C127" s="105">
        <f>IFERROR(lifespans_all!C126*DTE_mission_minutes!C48,"-")</f>
        <v>133409.35004928565</v>
      </c>
      <c r="D127" s="105">
        <f>IFERROR(lifespans_all!D126*DTE_mission_minutes!D48,"-")</f>
        <v>0</v>
      </c>
      <c r="E127" s="105">
        <f>IFERROR(lifespans_all!E126*DTE_mission_minutes!E48,"-")</f>
        <v>0</v>
      </c>
      <c r="F127" s="105">
        <f>IFERROR(lifespans_all!F126*DTE_mission_minutes!F48,"-")</f>
        <v>0</v>
      </c>
      <c r="G127" s="105">
        <f>IFERROR(lifespans_all!G126*DTE_mission_minutes!G48,"-")</f>
        <v>0</v>
      </c>
      <c r="H127" s="105">
        <f>IFERROR(lifespans_all!H126*DTE_mission_minutes!H48,"-")</f>
        <v>0</v>
      </c>
      <c r="I127" s="105">
        <f>IFERROR(lifespans_all!I126*DTE_mission_minutes!I48,"-")</f>
        <v>0</v>
      </c>
      <c r="J127" s="105">
        <f>IFERROR(lifespans_all!J126*DTE_mission_minutes!J48,"-")</f>
        <v>0</v>
      </c>
      <c r="K127" s="105">
        <f>IFERROR(lifespans_all!K126*DTE_mission_minutes!K48,"-")</f>
        <v>0</v>
      </c>
      <c r="L127" s="105">
        <f>IFERROR(lifespans_all!L126*DTE_mission_minutes!L48,"-")</f>
        <v>0</v>
      </c>
      <c r="M127" s="105">
        <f>IFERROR(lifespans_all!M126*DTE_mission_minutes!M48,"-")</f>
        <v>0</v>
      </c>
      <c r="N127" s="105">
        <f>IFERROR(lifespans_all!N126*DTE_mission_minutes!N48,"-")</f>
        <v>0</v>
      </c>
      <c r="O127" s="105">
        <f>IFERROR(lifespans_all!O126*DTE_mission_minutes!O48,"-")</f>
        <v>0</v>
      </c>
      <c r="P127" s="105">
        <f>IFERROR(lifespans_all!P126*DTE_mission_minutes!P48,"-")</f>
        <v>0</v>
      </c>
      <c r="Q127" s="105">
        <f>IFERROR(lifespans_all!Q126*DTE_mission_minutes!Q48,"-")</f>
        <v>0</v>
      </c>
      <c r="R127" s="105">
        <f>IFERROR(lifespans_all!R126*DTE_mission_minutes!R48,"-")</f>
        <v>0</v>
      </c>
      <c r="S127" s="105">
        <f>IFERROR(lifespans_all!S126*DTE_mission_minutes!S48,"-")</f>
        <v>0</v>
      </c>
      <c r="T127" s="105">
        <f>IFERROR(lifespans_all!T126*DTE_mission_minutes!T48,"-")</f>
        <v>0</v>
      </c>
      <c r="U127" s="105">
        <f>IFERROR(lifespans_all!U126*DTE_mission_minutes!U48,"-")</f>
        <v>0</v>
      </c>
      <c r="V127" s="105">
        <f>IFERROR(lifespans_all!V126*DTE_mission_minutes!V48,"-")</f>
        <v>0</v>
      </c>
    </row>
    <row r="128" spans="1:22" x14ac:dyDescent="0.25">
      <c r="A128" s="21" t="str">
        <f t="shared" ref="A128:B135" si="14">A49</f>
        <v>New</v>
      </c>
      <c r="B128" s="21" t="str">
        <f t="shared" si="14"/>
        <v>Human Space Flight</v>
      </c>
      <c r="C128" s="105" t="str">
        <f>IFERROR((lifespans_all!C127*DTE_mission_minutes!C49)*POWER(1+(#REF!/100),C$1-2021),"-")</f>
        <v>-</v>
      </c>
      <c r="D128" s="105" t="str">
        <f>IFERROR((lifespans_all!D127*DTE_mission_minutes!D49)*POWER(1+(#REF!/100),D$1-2021),"-")</f>
        <v>-</v>
      </c>
      <c r="E128" s="105" t="str">
        <f>IFERROR((lifespans_all!E127*DTE_mission_minutes!E49)*POWER(1+(#REF!/100),E$1-2021),"-")</f>
        <v>-</v>
      </c>
      <c r="F128" s="105" t="str">
        <f>IFERROR((lifespans_all!F127*DTE_mission_minutes!F49)*POWER(1+(#REF!/100),F$1-2021),"-")</f>
        <v>-</v>
      </c>
      <c r="G128" s="105" t="str">
        <f>IFERROR((lifespans_all!G127*DTE_mission_minutes!G49)*POWER(1+(#REF!/100),G$1-2021),"-")</f>
        <v>-</v>
      </c>
      <c r="H128" s="105" t="str">
        <f>IFERROR((lifespans_all!H127*DTE_mission_minutes!H49)*POWER(1+(#REF!/100),H$1-2021),"-")</f>
        <v>-</v>
      </c>
      <c r="I128" s="105" t="str">
        <f>IFERROR((lifespans_all!I127*DTE_mission_minutes!I49)*POWER(1+(#REF!/100),I$1-2021),"-")</f>
        <v>-</v>
      </c>
      <c r="J128" s="105" t="str">
        <f>IFERROR((lifespans_all!J127*DTE_mission_minutes!J49)*POWER(1+(#REF!/100),J$1-2021),"-")</f>
        <v>-</v>
      </c>
      <c r="K128" s="105" t="str">
        <f>IFERROR((lifespans_all!K127*DTE_mission_minutes!K49)*POWER(1+(#REF!/100),K$1-2021),"-")</f>
        <v>-</v>
      </c>
      <c r="L128" s="105" t="str">
        <f>IFERROR((lifespans_all!L127*DTE_mission_minutes!L49)*POWER(1+(#REF!/100),L$1-2021),"-")</f>
        <v>-</v>
      </c>
      <c r="M128" s="105" t="str">
        <f>IFERROR((lifespans_all!M127*DTE_mission_minutes!M49)*POWER(1+(#REF!/100),M$1-2021),"-")</f>
        <v>-</v>
      </c>
      <c r="N128" s="105" t="str">
        <f>IFERROR((lifespans_all!N127*DTE_mission_minutes!N49)*POWER(1+(#REF!/100),N$1-2021),"-")</f>
        <v>-</v>
      </c>
      <c r="O128" s="105" t="str">
        <f>IFERROR((lifespans_all!O127*DTE_mission_minutes!O49)*POWER(1+(#REF!/100),O$1-2021),"-")</f>
        <v>-</v>
      </c>
      <c r="P128" s="105" t="str">
        <f>IFERROR((lifespans_all!P127*DTE_mission_minutes!P49)*POWER(1+(#REF!/100),P$1-2021),"-")</f>
        <v>-</v>
      </c>
      <c r="Q128" s="105" t="str">
        <f>IFERROR((lifespans_all!Q127*DTE_mission_minutes!Q49)*POWER(1+(#REF!/100),Q$1-2021),"-")</f>
        <v>-</v>
      </c>
      <c r="R128" s="105" t="str">
        <f>IFERROR((lifespans_all!R127*DTE_mission_minutes!R49)*POWER(1+(#REF!/100),R$1-2021),"-")</f>
        <v>-</v>
      </c>
      <c r="S128" s="105" t="str">
        <f>IFERROR((lifespans_all!S127*DTE_mission_minutes!S49)*POWER(1+(#REF!/100),S$1-2021),"-")</f>
        <v>-</v>
      </c>
      <c r="T128" s="105" t="str">
        <f>IFERROR((lifespans_all!T127*DTE_mission_minutes!T49)*POWER(1+(#REF!/100),T$1-2021),"-")</f>
        <v>-</v>
      </c>
      <c r="U128" s="105" t="str">
        <f>IFERROR((lifespans_all!U127*DTE_mission_minutes!U49)*POWER(1+(#REF!/100),U$1-2021),"-")</f>
        <v>-</v>
      </c>
      <c r="V128" s="105" t="str">
        <f>IFERROR((lifespans_all!V127*DTE_mission_minutes!V49)*POWER(1+(#REF!/100),V$1-2021),"-")</f>
        <v>-</v>
      </c>
    </row>
    <row r="129" spans="1:22" x14ac:dyDescent="0.25">
      <c r="A129" s="21" t="str">
        <f t="shared" si="14"/>
        <v>New</v>
      </c>
      <c r="B129" s="21" t="str">
        <f t="shared" si="14"/>
        <v>Near Earth Robotic - LEO Science</v>
      </c>
      <c r="C129" s="105" t="str">
        <f>IFERROR((lifespans_all!C128*DTE_mission_minutes!C50)*POWER(1+(#REF!/100),C$1-2021),"-")</f>
        <v>-</v>
      </c>
      <c r="D129" s="105" t="str">
        <f>IFERROR((lifespans_all!D128*DTE_mission_minutes!D50)*POWER(1+(#REF!/100),D$1-2021),"-")</f>
        <v>-</v>
      </c>
      <c r="E129" s="105" t="str">
        <f>IFERROR((lifespans_all!E128*DTE_mission_minutes!E50)*POWER(1+(#REF!/100),E$1-2021),"-")</f>
        <v>-</v>
      </c>
      <c r="F129" s="105" t="str">
        <f>IFERROR((lifespans_all!F128*DTE_mission_minutes!F50)*POWER(1+(#REF!/100),F$1-2021),"-")</f>
        <v>-</v>
      </c>
      <c r="G129" s="105" t="str">
        <f>IFERROR((lifespans_all!G128*DTE_mission_minutes!G50)*POWER(1+(#REF!/100),G$1-2021),"-")</f>
        <v>-</v>
      </c>
      <c r="H129" s="105" t="str">
        <f>IFERROR((lifespans_all!H128*DTE_mission_minutes!H50)*POWER(1+(#REF!/100),H$1-2021),"-")</f>
        <v>-</v>
      </c>
      <c r="I129" s="105" t="str">
        <f>IFERROR((lifespans_all!I128*DTE_mission_minutes!I50)*POWER(1+(#REF!/100),I$1-2021),"-")</f>
        <v>-</v>
      </c>
      <c r="J129" s="105" t="str">
        <f>IFERROR((lifespans_all!J128*DTE_mission_minutes!J50)*POWER(1+(#REF!/100),J$1-2021),"-")</f>
        <v>-</v>
      </c>
      <c r="K129" s="105" t="str">
        <f>IFERROR((lifespans_all!K128*DTE_mission_minutes!K50)*POWER(1+(#REF!/100),K$1-2021),"-")</f>
        <v>-</v>
      </c>
      <c r="L129" s="105" t="str">
        <f>IFERROR((lifespans_all!L128*DTE_mission_minutes!L50)*POWER(1+(#REF!/100),L$1-2021),"-")</f>
        <v>-</v>
      </c>
      <c r="M129" s="105" t="str">
        <f>IFERROR((lifespans_all!M128*DTE_mission_minutes!M50)*POWER(1+(#REF!/100),M$1-2021),"-")</f>
        <v>-</v>
      </c>
      <c r="N129" s="105" t="str">
        <f>IFERROR((lifespans_all!N128*DTE_mission_minutes!N50)*POWER(1+(#REF!/100),N$1-2021),"-")</f>
        <v>-</v>
      </c>
      <c r="O129" s="105" t="str">
        <f>IFERROR((lifespans_all!O128*DTE_mission_minutes!O50)*POWER(1+(#REF!/100),O$1-2021),"-")</f>
        <v>-</v>
      </c>
      <c r="P129" s="105" t="str">
        <f>IFERROR((lifespans_all!P128*DTE_mission_minutes!P50)*POWER(1+(#REF!/100),P$1-2021),"-")</f>
        <v>-</v>
      </c>
      <c r="Q129" s="105" t="str">
        <f>IFERROR((lifespans_all!Q128*DTE_mission_minutes!Q50)*POWER(1+(#REF!/100),Q$1-2021),"-")</f>
        <v>-</v>
      </c>
      <c r="R129" s="105" t="str">
        <f>IFERROR((lifespans_all!R128*DTE_mission_minutes!R50)*POWER(1+(#REF!/100),R$1-2021),"-")</f>
        <v>-</v>
      </c>
      <c r="S129" s="105" t="str">
        <f>IFERROR((lifespans_all!S128*DTE_mission_minutes!S50)*POWER(1+(#REF!/100),S$1-2021),"-")</f>
        <v>-</v>
      </c>
      <c r="T129" s="105" t="str">
        <f>IFERROR((lifespans_all!T128*DTE_mission_minutes!T50)*POWER(1+(#REF!/100),T$1-2021),"-")</f>
        <v>-</v>
      </c>
      <c r="U129" s="105" t="str">
        <f>IFERROR((lifespans_all!U128*DTE_mission_minutes!U50)*POWER(1+(#REF!/100),U$1-2021),"-")</f>
        <v>-</v>
      </c>
      <c r="V129" s="105" t="str">
        <f>IFERROR((lifespans_all!V128*DTE_mission_minutes!V50)*POWER(1+(#REF!/100),V$1-2021),"-")</f>
        <v>-</v>
      </c>
    </row>
    <row r="130" spans="1:22" x14ac:dyDescent="0.25">
      <c r="A130" s="21" t="str">
        <f t="shared" si="14"/>
        <v>New</v>
      </c>
      <c r="B130" s="21" t="str">
        <f t="shared" si="14"/>
        <v>Near Earth Robotic - GEO and Near Earth</v>
      </c>
      <c r="C130" s="105" t="str">
        <f>IFERROR((lifespans_all!C129*DTE_mission_minutes!C51)*POWER(1+(#REF!/100),C$1-2021),"-")</f>
        <v>-</v>
      </c>
      <c r="D130" s="105" t="str">
        <f>IFERROR((lifespans_all!D129*DTE_mission_minutes!D51)*POWER(1+(#REF!/100),D$1-2021),"-")</f>
        <v>-</v>
      </c>
      <c r="E130" s="105" t="str">
        <f>IFERROR((lifespans_all!E129*DTE_mission_minutes!E51)*POWER(1+(#REF!/100),E$1-2021),"-")</f>
        <v>-</v>
      </c>
      <c r="F130" s="105" t="str">
        <f>IFERROR((lifespans_all!F129*DTE_mission_minutes!F51)*POWER(1+(#REF!/100),F$1-2021),"-")</f>
        <v>-</v>
      </c>
      <c r="G130" s="105" t="str">
        <f>IFERROR((lifespans_all!G129*DTE_mission_minutes!G51)*POWER(1+(#REF!/100),G$1-2021),"-")</f>
        <v>-</v>
      </c>
      <c r="H130" s="105" t="str">
        <f>IFERROR((lifespans_all!H129*DTE_mission_minutes!H51)*POWER(1+(#REF!/100),H$1-2021),"-")</f>
        <v>-</v>
      </c>
      <c r="I130" s="105" t="str">
        <f>IFERROR((lifespans_all!I129*DTE_mission_minutes!I51)*POWER(1+(#REF!/100),I$1-2021),"-")</f>
        <v>-</v>
      </c>
      <c r="J130" s="105" t="str">
        <f>IFERROR((lifespans_all!J129*DTE_mission_minutes!J51)*POWER(1+(#REF!/100),J$1-2021),"-")</f>
        <v>-</v>
      </c>
      <c r="K130" s="105" t="str">
        <f>IFERROR((lifespans_all!K129*DTE_mission_minutes!K51)*POWER(1+(#REF!/100),K$1-2021),"-")</f>
        <v>-</v>
      </c>
      <c r="L130" s="105" t="str">
        <f>IFERROR((lifespans_all!L129*DTE_mission_minutes!L51)*POWER(1+(#REF!/100),L$1-2021),"-")</f>
        <v>-</v>
      </c>
      <c r="M130" s="105" t="str">
        <f>IFERROR((lifespans_all!M129*DTE_mission_minutes!M51)*POWER(1+(#REF!/100),M$1-2021),"-")</f>
        <v>-</v>
      </c>
      <c r="N130" s="105" t="str">
        <f>IFERROR((lifespans_all!N129*DTE_mission_minutes!N51)*POWER(1+(#REF!/100),N$1-2021),"-")</f>
        <v>-</v>
      </c>
      <c r="O130" s="105" t="str">
        <f>IFERROR((lifespans_all!O129*DTE_mission_minutes!O51)*POWER(1+(#REF!/100),O$1-2021),"-")</f>
        <v>-</v>
      </c>
      <c r="P130" s="105" t="str">
        <f>IFERROR((lifespans_all!P129*DTE_mission_minutes!P51)*POWER(1+(#REF!/100),P$1-2021),"-")</f>
        <v>-</v>
      </c>
      <c r="Q130" s="105" t="str">
        <f>IFERROR((lifespans_all!Q129*DTE_mission_minutes!Q51)*POWER(1+(#REF!/100),Q$1-2021),"-")</f>
        <v>-</v>
      </c>
      <c r="R130" s="105" t="str">
        <f>IFERROR((lifespans_all!R129*DTE_mission_minutes!R51)*POWER(1+(#REF!/100),R$1-2021),"-")</f>
        <v>-</v>
      </c>
      <c r="S130" s="105" t="str">
        <f>IFERROR((lifespans_all!S129*DTE_mission_minutes!S51)*POWER(1+(#REF!/100),S$1-2021),"-")</f>
        <v>-</v>
      </c>
      <c r="T130" s="105" t="str">
        <f>IFERROR((lifespans_all!T129*DTE_mission_minutes!T51)*POWER(1+(#REF!/100),T$1-2021),"-")</f>
        <v>-</v>
      </c>
      <c r="U130" s="105" t="str">
        <f>IFERROR((lifespans_all!U129*DTE_mission_minutes!U51)*POWER(1+(#REF!/100),U$1-2021),"-")</f>
        <v>-</v>
      </c>
      <c r="V130" s="105" t="str">
        <f>IFERROR((lifespans_all!V129*DTE_mission_minutes!V51)*POWER(1+(#REF!/100),V$1-2021),"-")</f>
        <v>-</v>
      </c>
    </row>
    <row r="131" spans="1:22" x14ac:dyDescent="0.25">
      <c r="A131" s="21" t="str">
        <f t="shared" si="14"/>
        <v>New</v>
      </c>
      <c r="B131" s="21" t="str">
        <f t="shared" si="14"/>
        <v>Deep Space Robotic</v>
      </c>
      <c r="C131" s="105" t="str">
        <f>IFERROR((lifespans_all!C130*DTE_mission_minutes!C52)*POWER(1+(#REF!/100),C$1-2021),"-")</f>
        <v>-</v>
      </c>
      <c r="D131" s="105" t="str">
        <f>IFERROR((lifespans_all!D130*DTE_mission_minutes!D52)*POWER(1+(#REF!/100),D$1-2021),"-")</f>
        <v>-</v>
      </c>
      <c r="E131" s="105" t="str">
        <f>IFERROR((lifespans_all!E130*DTE_mission_minutes!E52)*POWER(1+(#REF!/100),E$1-2021),"-")</f>
        <v>-</v>
      </c>
      <c r="F131" s="105" t="str">
        <f>IFERROR((lifespans_all!F130*DTE_mission_minutes!F52)*POWER(1+(#REF!/100),F$1-2021),"-")</f>
        <v>-</v>
      </c>
      <c r="G131" s="105" t="str">
        <f>IFERROR((lifespans_all!G130*DTE_mission_minutes!G52)*POWER(1+(#REF!/100),G$1-2021),"-")</f>
        <v>-</v>
      </c>
      <c r="H131" s="105" t="str">
        <f>IFERROR((lifespans_all!H130*DTE_mission_minutes!H52)*POWER(1+(#REF!/100),H$1-2021),"-")</f>
        <v>-</v>
      </c>
      <c r="I131" s="105" t="str">
        <f>IFERROR((lifespans_all!I130*DTE_mission_minutes!I52)*POWER(1+(#REF!/100),I$1-2021),"-")</f>
        <v>-</v>
      </c>
      <c r="J131" s="105" t="str">
        <f>IFERROR((lifespans_all!J130*DTE_mission_minutes!J52)*POWER(1+(#REF!/100),J$1-2021),"-")</f>
        <v>-</v>
      </c>
      <c r="K131" s="105" t="str">
        <f>IFERROR((lifespans_all!K130*DTE_mission_minutes!K52)*POWER(1+(#REF!/100),K$1-2021),"-")</f>
        <v>-</v>
      </c>
      <c r="L131" s="105" t="str">
        <f>IFERROR((lifespans_all!L130*DTE_mission_minutes!L52)*POWER(1+(#REF!/100),L$1-2021),"-")</f>
        <v>-</v>
      </c>
      <c r="M131" s="105" t="str">
        <f>IFERROR((lifespans_all!M130*DTE_mission_minutes!M52)*POWER(1+(#REF!/100),M$1-2021),"-")</f>
        <v>-</v>
      </c>
      <c r="N131" s="105" t="str">
        <f>IFERROR((lifespans_all!N130*DTE_mission_minutes!N52)*POWER(1+(#REF!/100),N$1-2021),"-")</f>
        <v>-</v>
      </c>
      <c r="O131" s="105" t="str">
        <f>IFERROR((lifespans_all!O130*DTE_mission_minutes!O52)*POWER(1+(#REF!/100),O$1-2021),"-")</f>
        <v>-</v>
      </c>
      <c r="P131" s="105" t="str">
        <f>IFERROR((lifespans_all!P130*DTE_mission_minutes!P52)*POWER(1+(#REF!/100),P$1-2021),"-")</f>
        <v>-</v>
      </c>
      <c r="Q131" s="105" t="str">
        <f>IFERROR((lifespans_all!Q130*DTE_mission_minutes!Q52)*POWER(1+(#REF!/100),Q$1-2021),"-")</f>
        <v>-</v>
      </c>
      <c r="R131" s="105" t="str">
        <f>IFERROR((lifespans_all!R130*DTE_mission_minutes!R52)*POWER(1+(#REF!/100),R$1-2021),"-")</f>
        <v>-</v>
      </c>
      <c r="S131" s="105" t="str">
        <f>IFERROR((lifespans_all!S130*DTE_mission_minutes!S52)*POWER(1+(#REF!/100),S$1-2021),"-")</f>
        <v>-</v>
      </c>
      <c r="T131" s="105" t="str">
        <f>IFERROR((lifespans_all!T130*DTE_mission_minutes!T52)*POWER(1+(#REF!/100),T$1-2021),"-")</f>
        <v>-</v>
      </c>
      <c r="U131" s="105" t="str">
        <f>IFERROR((lifespans_all!U130*DTE_mission_minutes!U52)*POWER(1+(#REF!/100),U$1-2021),"-")</f>
        <v>-</v>
      </c>
      <c r="V131" s="105" t="str">
        <f>IFERROR((lifespans_all!V130*DTE_mission_minutes!V52)*POWER(1+(#REF!/100),V$1-2021),"-")</f>
        <v>-</v>
      </c>
    </row>
    <row r="132" spans="1:22" x14ac:dyDescent="0.25">
      <c r="A132" s="21" t="str">
        <f t="shared" si="14"/>
        <v>New</v>
      </c>
      <c r="B132" s="21" t="str">
        <f t="shared" si="14"/>
        <v>Near Earth Robotic - Low Latency &amp; Complex Needs</v>
      </c>
      <c r="C132" s="105" t="str">
        <f>IFERROR((lifespans_all!C131*DTE_mission_minutes!C53)*POWER(1+(#REF!/100),C$1-2021),"-")</f>
        <v>-</v>
      </c>
      <c r="D132" s="105" t="str">
        <f>IFERROR((lifespans_all!D131*DTE_mission_minutes!D53)*POWER(1+(#REF!/100),D$1-2021),"-")</f>
        <v>-</v>
      </c>
      <c r="E132" s="105" t="str">
        <f>IFERROR((lifespans_all!E131*DTE_mission_minutes!E53)*POWER(1+(#REF!/100),E$1-2021),"-")</f>
        <v>-</v>
      </c>
      <c r="F132" s="105" t="str">
        <f>IFERROR((lifespans_all!F131*DTE_mission_minutes!F53)*POWER(1+(#REF!/100),F$1-2021),"-")</f>
        <v>-</v>
      </c>
      <c r="G132" s="105" t="str">
        <f>IFERROR((lifespans_all!G131*DTE_mission_minutes!G53)*POWER(1+(#REF!/100),G$1-2021),"-")</f>
        <v>-</v>
      </c>
      <c r="H132" s="105" t="str">
        <f>IFERROR((lifespans_all!H131*DTE_mission_minutes!H53)*POWER(1+(#REF!/100),H$1-2021),"-")</f>
        <v>-</v>
      </c>
      <c r="I132" s="105" t="str">
        <f>IFERROR((lifespans_all!I131*DTE_mission_minutes!I53)*POWER(1+(#REF!/100),I$1-2021),"-")</f>
        <v>-</v>
      </c>
      <c r="J132" s="105" t="str">
        <f>IFERROR((lifespans_all!J131*DTE_mission_minutes!J53)*POWER(1+(#REF!/100),J$1-2021),"-")</f>
        <v>-</v>
      </c>
      <c r="K132" s="105" t="str">
        <f>IFERROR((lifespans_all!K131*DTE_mission_minutes!K53)*POWER(1+(#REF!/100),K$1-2021),"-")</f>
        <v>-</v>
      </c>
      <c r="L132" s="105" t="str">
        <f>IFERROR((lifespans_all!L131*DTE_mission_minutes!L53)*POWER(1+(#REF!/100),L$1-2021),"-")</f>
        <v>-</v>
      </c>
      <c r="M132" s="105" t="str">
        <f>IFERROR((lifespans_all!M131*DTE_mission_minutes!M53)*POWER(1+(#REF!/100),M$1-2021),"-")</f>
        <v>-</v>
      </c>
      <c r="N132" s="105" t="str">
        <f>IFERROR((lifespans_all!N131*DTE_mission_minutes!N53)*POWER(1+(#REF!/100),N$1-2021),"-")</f>
        <v>-</v>
      </c>
      <c r="O132" s="105" t="str">
        <f>IFERROR((lifespans_all!O131*DTE_mission_minutes!O53)*POWER(1+(#REF!/100),O$1-2021),"-")</f>
        <v>-</v>
      </c>
      <c r="P132" s="105" t="str">
        <f>IFERROR((lifespans_all!P131*DTE_mission_minutes!P53)*POWER(1+(#REF!/100),P$1-2021),"-")</f>
        <v>-</v>
      </c>
      <c r="Q132" s="105" t="str">
        <f>IFERROR((lifespans_all!Q131*DTE_mission_minutes!Q53)*POWER(1+(#REF!/100),Q$1-2021),"-")</f>
        <v>-</v>
      </c>
      <c r="R132" s="105" t="str">
        <f>IFERROR((lifespans_all!R131*DTE_mission_minutes!R53)*POWER(1+(#REF!/100),R$1-2021),"-")</f>
        <v>-</v>
      </c>
      <c r="S132" s="105" t="str">
        <f>IFERROR((lifespans_all!S131*DTE_mission_minutes!S53)*POWER(1+(#REF!/100),S$1-2021),"-")</f>
        <v>-</v>
      </c>
      <c r="T132" s="105" t="str">
        <f>IFERROR((lifespans_all!T131*DTE_mission_minutes!T53)*POWER(1+(#REF!/100),T$1-2021),"-")</f>
        <v>-</v>
      </c>
      <c r="U132" s="105" t="str">
        <f>IFERROR((lifespans_all!U131*DTE_mission_minutes!U53)*POWER(1+(#REF!/100),U$1-2021),"-")</f>
        <v>-</v>
      </c>
      <c r="V132" s="105" t="str">
        <f>IFERROR((lifespans_all!V131*DTE_mission_minutes!V53)*POWER(1+(#REF!/100),V$1-2021),"-")</f>
        <v>-</v>
      </c>
    </row>
    <row r="133" spans="1:22" x14ac:dyDescent="0.25">
      <c r="A133" s="21" t="str">
        <f t="shared" si="14"/>
        <v>New</v>
      </c>
      <c r="B133" s="21" t="str">
        <f t="shared" si="14"/>
        <v>Mission Operations</v>
      </c>
      <c r="C133" s="105" t="str">
        <f>IFERROR((lifespans_all!C132*DTE_mission_minutes!C54)*POWER(1+(#REF!/100),C$1-2021),"-")</f>
        <v>-</v>
      </c>
      <c r="D133" s="105" t="str">
        <f>IFERROR((lifespans_all!D132*DTE_mission_minutes!D54)*POWER(1+(#REF!/100),D$1-2021),"-")</f>
        <v>-</v>
      </c>
      <c r="E133" s="105" t="str">
        <f>IFERROR((lifespans_all!E132*DTE_mission_minutes!E54)*POWER(1+(#REF!/100),E$1-2021),"-")</f>
        <v>-</v>
      </c>
      <c r="F133" s="105" t="str">
        <f>IFERROR((lifespans_all!F132*DTE_mission_minutes!F54)*POWER(1+(#REF!/100),F$1-2021),"-")</f>
        <v>-</v>
      </c>
      <c r="G133" s="105" t="str">
        <f>IFERROR((lifespans_all!G132*DTE_mission_minutes!G54)*POWER(1+(#REF!/100),G$1-2021),"-")</f>
        <v>-</v>
      </c>
      <c r="H133" s="105" t="str">
        <f>IFERROR((lifespans_all!H132*DTE_mission_minutes!H54)*POWER(1+(#REF!/100),H$1-2021),"-")</f>
        <v>-</v>
      </c>
      <c r="I133" s="105" t="str">
        <f>IFERROR((lifespans_all!I132*DTE_mission_minutes!I54)*POWER(1+(#REF!/100),I$1-2021),"-")</f>
        <v>-</v>
      </c>
      <c r="J133" s="105" t="str">
        <f>IFERROR((lifespans_all!J132*DTE_mission_minutes!J54)*POWER(1+(#REF!/100),J$1-2021),"-")</f>
        <v>-</v>
      </c>
      <c r="K133" s="105" t="str">
        <f>IFERROR((lifespans_all!K132*DTE_mission_minutes!K54)*POWER(1+(#REF!/100),K$1-2021),"-")</f>
        <v>-</v>
      </c>
      <c r="L133" s="105" t="str">
        <f>IFERROR((lifespans_all!L132*DTE_mission_minutes!L54)*POWER(1+(#REF!/100),L$1-2021),"-")</f>
        <v>-</v>
      </c>
      <c r="M133" s="105" t="str">
        <f>IFERROR((lifespans_all!M132*DTE_mission_minutes!M54)*POWER(1+(#REF!/100),M$1-2021),"-")</f>
        <v>-</v>
      </c>
      <c r="N133" s="105" t="str">
        <f>IFERROR((lifespans_all!N132*DTE_mission_minutes!N54)*POWER(1+(#REF!/100),N$1-2021),"-")</f>
        <v>-</v>
      </c>
      <c r="O133" s="105" t="str">
        <f>IFERROR((lifespans_all!O132*DTE_mission_minutes!O54)*POWER(1+(#REF!/100),O$1-2021),"-")</f>
        <v>-</v>
      </c>
      <c r="P133" s="105" t="str">
        <f>IFERROR((lifespans_all!P132*DTE_mission_minutes!P54)*POWER(1+(#REF!/100),P$1-2021),"-")</f>
        <v>-</v>
      </c>
      <c r="Q133" s="105" t="str">
        <f>IFERROR((lifespans_all!Q132*DTE_mission_minutes!Q54)*POWER(1+(#REF!/100),Q$1-2021),"-")</f>
        <v>-</v>
      </c>
      <c r="R133" s="105" t="str">
        <f>IFERROR((lifespans_all!R132*DTE_mission_minutes!R54)*POWER(1+(#REF!/100),R$1-2021),"-")</f>
        <v>-</v>
      </c>
      <c r="S133" s="105" t="str">
        <f>IFERROR((lifespans_all!S132*DTE_mission_minutes!S54)*POWER(1+(#REF!/100),S$1-2021),"-")</f>
        <v>-</v>
      </c>
      <c r="T133" s="105" t="str">
        <f>IFERROR((lifespans_all!T132*DTE_mission_minutes!T54)*POWER(1+(#REF!/100),T$1-2021),"-")</f>
        <v>-</v>
      </c>
      <c r="U133" s="105" t="str">
        <f>IFERROR((lifespans_all!U132*DTE_mission_minutes!U54)*POWER(1+(#REF!/100),U$1-2021),"-")</f>
        <v>-</v>
      </c>
      <c r="V133" s="105" t="str">
        <f>IFERROR((lifespans_all!V132*DTE_mission_minutes!V54)*POWER(1+(#REF!/100),V$1-2021),"-")</f>
        <v>-</v>
      </c>
    </row>
    <row r="134" spans="1:22" x14ac:dyDescent="0.25">
      <c r="A134" s="21" t="str">
        <f t="shared" si="14"/>
        <v>New</v>
      </c>
      <c r="B134" s="21" t="str">
        <f t="shared" si="14"/>
        <v>Launch Events</v>
      </c>
      <c r="C134" s="105" t="str">
        <f>IFERROR((lifespans_all!C133*DTE_mission_minutes!C55)*POWER(1+(#REF!/100),C$1-2021),"-")</f>
        <v>-</v>
      </c>
      <c r="D134" s="105" t="str">
        <f>IFERROR((lifespans_all!D133*DTE_mission_minutes!D55)*POWER(1+(#REF!/100),D$1-2021),"-")</f>
        <v>-</v>
      </c>
      <c r="E134" s="105" t="str">
        <f>IFERROR((lifespans_all!E133*DTE_mission_minutes!E55)*POWER(1+(#REF!/100),E$1-2021),"-")</f>
        <v>-</v>
      </c>
      <c r="F134" s="105" t="str">
        <f>IFERROR((lifespans_all!F133*DTE_mission_minutes!F55)*POWER(1+(#REF!/100),F$1-2021),"-")</f>
        <v>-</v>
      </c>
      <c r="G134" s="105" t="str">
        <f>IFERROR((lifespans_all!G133*DTE_mission_minutes!G55)*POWER(1+(#REF!/100),G$1-2021),"-")</f>
        <v>-</v>
      </c>
      <c r="H134" s="105" t="str">
        <f>IFERROR((lifespans_all!H133*DTE_mission_minutes!H55)*POWER(1+(#REF!/100),H$1-2021),"-")</f>
        <v>-</v>
      </c>
      <c r="I134" s="105" t="str">
        <f>IFERROR((lifespans_all!I133*DTE_mission_minutes!I55)*POWER(1+(#REF!/100),I$1-2021),"-")</f>
        <v>-</v>
      </c>
      <c r="J134" s="105" t="str">
        <f>IFERROR((lifespans_all!J133*DTE_mission_minutes!J55)*POWER(1+(#REF!/100),J$1-2021),"-")</f>
        <v>-</v>
      </c>
      <c r="K134" s="105" t="str">
        <f>IFERROR((lifespans_all!K133*DTE_mission_minutes!K55)*POWER(1+(#REF!/100),K$1-2021),"-")</f>
        <v>-</v>
      </c>
      <c r="L134" s="105" t="str">
        <f>IFERROR((lifespans_all!L133*DTE_mission_minutes!L55)*POWER(1+(#REF!/100),L$1-2021),"-")</f>
        <v>-</v>
      </c>
      <c r="M134" s="105" t="str">
        <f>IFERROR((lifespans_all!M133*DTE_mission_minutes!M55)*POWER(1+(#REF!/100),M$1-2021),"-")</f>
        <v>-</v>
      </c>
      <c r="N134" s="105" t="str">
        <f>IFERROR((lifespans_all!N133*DTE_mission_minutes!N55)*POWER(1+(#REF!/100),N$1-2021),"-")</f>
        <v>-</v>
      </c>
      <c r="O134" s="105" t="str">
        <f>IFERROR((lifespans_all!O133*DTE_mission_minutes!O55)*POWER(1+(#REF!/100),O$1-2021),"-")</f>
        <v>-</v>
      </c>
      <c r="P134" s="105" t="str">
        <f>IFERROR((lifespans_all!P133*DTE_mission_minutes!P55)*POWER(1+(#REF!/100),P$1-2021),"-")</f>
        <v>-</v>
      </c>
      <c r="Q134" s="105" t="str">
        <f>IFERROR((lifespans_all!Q133*DTE_mission_minutes!Q55)*POWER(1+(#REF!/100),Q$1-2021),"-")</f>
        <v>-</v>
      </c>
      <c r="R134" s="105" t="str">
        <f>IFERROR((lifespans_all!R133*DTE_mission_minutes!R55)*POWER(1+(#REF!/100),R$1-2021),"-")</f>
        <v>-</v>
      </c>
      <c r="S134" s="105" t="str">
        <f>IFERROR((lifespans_all!S133*DTE_mission_minutes!S55)*POWER(1+(#REF!/100),S$1-2021),"-")</f>
        <v>-</v>
      </c>
      <c r="T134" s="105" t="str">
        <f>IFERROR((lifespans_all!T133*DTE_mission_minutes!T55)*POWER(1+(#REF!/100),T$1-2021),"-")</f>
        <v>-</v>
      </c>
      <c r="U134" s="105" t="str">
        <f>IFERROR((lifespans_all!U133*DTE_mission_minutes!U55)*POWER(1+(#REF!/100),U$1-2021),"-")</f>
        <v>-</v>
      </c>
      <c r="V134" s="105" t="str">
        <f>IFERROR((lifespans_all!V133*DTE_mission_minutes!V55)*POWER(1+(#REF!/100),V$1-2021),"-")</f>
        <v>-</v>
      </c>
    </row>
    <row r="135" spans="1:22" x14ac:dyDescent="0.25">
      <c r="A135" s="21" t="str">
        <f t="shared" si="14"/>
        <v>New</v>
      </c>
      <c r="B135" s="21" t="str">
        <f t="shared" si="14"/>
        <v>Terrestrial &amp; Aerial</v>
      </c>
      <c r="C135" s="105" t="str">
        <f>IFERROR((lifespans_all!C134*DTE_mission_minutes!C56)*POWER(1+(#REF!/100),C$1-2021),"-")</f>
        <v>-</v>
      </c>
      <c r="D135" s="105" t="str">
        <f>IFERROR((lifespans_all!D134*DTE_mission_minutes!D56)*POWER(1+(#REF!/100),D$1-2021),"-")</f>
        <v>-</v>
      </c>
      <c r="E135" s="105" t="str">
        <f>IFERROR((lifespans_all!E134*DTE_mission_minutes!E56)*POWER(1+(#REF!/100),E$1-2021),"-")</f>
        <v>-</v>
      </c>
      <c r="F135" s="105" t="str">
        <f>IFERROR((lifespans_all!F134*DTE_mission_minutes!F56)*POWER(1+(#REF!/100),F$1-2021),"-")</f>
        <v>-</v>
      </c>
      <c r="G135" s="105" t="str">
        <f>IFERROR((lifespans_all!G134*DTE_mission_minutes!G56)*POWER(1+(#REF!/100),G$1-2021),"-")</f>
        <v>-</v>
      </c>
      <c r="H135" s="105" t="str">
        <f>IFERROR((lifespans_all!H134*DTE_mission_minutes!H56)*POWER(1+(#REF!/100),H$1-2021),"-")</f>
        <v>-</v>
      </c>
      <c r="I135" s="105" t="str">
        <f>IFERROR((lifespans_all!I134*DTE_mission_minutes!I56)*POWER(1+(#REF!/100),I$1-2021),"-")</f>
        <v>-</v>
      </c>
      <c r="J135" s="105" t="str">
        <f>IFERROR((lifespans_all!J134*DTE_mission_minutes!J56)*POWER(1+(#REF!/100),J$1-2021),"-")</f>
        <v>-</v>
      </c>
      <c r="K135" s="105" t="str">
        <f>IFERROR((lifespans_all!K134*DTE_mission_minutes!K56)*POWER(1+(#REF!/100),K$1-2021),"-")</f>
        <v>-</v>
      </c>
      <c r="L135" s="105" t="str">
        <f>IFERROR((lifespans_all!L134*DTE_mission_minutes!L56)*POWER(1+(#REF!/100),L$1-2021),"-")</f>
        <v>-</v>
      </c>
      <c r="M135" s="105" t="str">
        <f>IFERROR((lifespans_all!M134*DTE_mission_minutes!M56)*POWER(1+(#REF!/100),M$1-2021),"-")</f>
        <v>-</v>
      </c>
      <c r="N135" s="105" t="str">
        <f>IFERROR((lifespans_all!N134*DTE_mission_minutes!N56)*POWER(1+(#REF!/100),N$1-2021),"-")</f>
        <v>-</v>
      </c>
      <c r="O135" s="105" t="str">
        <f>IFERROR((lifespans_all!O134*DTE_mission_minutes!O56)*POWER(1+(#REF!/100),O$1-2021),"-")</f>
        <v>-</v>
      </c>
      <c r="P135" s="105" t="str">
        <f>IFERROR((lifespans_all!P134*DTE_mission_minutes!P56)*POWER(1+(#REF!/100),P$1-2021),"-")</f>
        <v>-</v>
      </c>
      <c r="Q135" s="105" t="str">
        <f>IFERROR((lifespans_all!Q134*DTE_mission_minutes!Q56)*POWER(1+(#REF!/100),Q$1-2021),"-")</f>
        <v>-</v>
      </c>
      <c r="R135" s="105" t="str">
        <f>IFERROR((lifespans_all!R134*DTE_mission_minutes!R56)*POWER(1+(#REF!/100),R$1-2021),"-")</f>
        <v>-</v>
      </c>
      <c r="S135" s="105" t="str">
        <f>IFERROR((lifespans_all!S134*DTE_mission_minutes!S56)*POWER(1+(#REF!/100),S$1-2021),"-")</f>
        <v>-</v>
      </c>
      <c r="T135" s="105" t="str">
        <f>IFERROR((lifespans_all!T134*DTE_mission_minutes!T56)*POWER(1+(#REF!/100),T$1-2021),"-")</f>
        <v>-</v>
      </c>
      <c r="U135" s="105" t="str">
        <f>IFERROR((lifespans_all!U134*DTE_mission_minutes!U56)*POWER(1+(#REF!/100),U$1-2021),"-")</f>
        <v>-</v>
      </c>
      <c r="V135" s="105" t="str">
        <f>IFERROR((lifespans_all!V134*DTE_mission_minutes!V56)*POWER(1+(#REF!/100),V$1-2021),"-")</f>
        <v>-</v>
      </c>
    </row>
    <row r="136" spans="1:22" x14ac:dyDescent="0.25">
      <c r="C136" s="2"/>
      <c r="D136" s="2"/>
      <c r="E136" s="2"/>
      <c r="F136" s="2"/>
      <c r="G136" s="2"/>
      <c r="H136" s="2"/>
      <c r="I136" s="2"/>
      <c r="J136" s="2"/>
      <c r="K136" s="2"/>
      <c r="L136" s="2"/>
      <c r="M136" s="2"/>
      <c r="N136" s="2"/>
      <c r="O136" s="2"/>
      <c r="P136" s="2"/>
      <c r="Q136" s="2"/>
      <c r="R136" s="2"/>
      <c r="S136" s="2"/>
      <c r="T136" s="2"/>
      <c r="U136" s="2"/>
      <c r="V136" s="2"/>
    </row>
    <row r="137" spans="1:22" x14ac:dyDescent="0.25">
      <c r="C137" s="23">
        <f t="shared" ref="C137:V137" si="15">SUM(C81:C135)</f>
        <v>1752490.7143116661</v>
      </c>
      <c r="D137" s="23">
        <f t="shared" si="15"/>
        <v>1484345.8994103172</v>
      </c>
      <c r="E137" s="23">
        <f t="shared" si="15"/>
        <v>1340904.3555357142</v>
      </c>
      <c r="F137" s="23">
        <f t="shared" si="15"/>
        <v>1077474.1436682539</v>
      </c>
      <c r="G137" s="23">
        <f t="shared" si="15"/>
        <v>1075186.4077471427</v>
      </c>
      <c r="H137" s="23">
        <f t="shared" si="15"/>
        <v>936868.51792507921</v>
      </c>
      <c r="I137" s="23">
        <f t="shared" si="15"/>
        <v>801695.03898690466</v>
      </c>
      <c r="J137" s="23">
        <f t="shared" si="15"/>
        <v>797898.18758468248</v>
      </c>
      <c r="K137" s="23">
        <f t="shared" si="15"/>
        <v>797898.18758468248</v>
      </c>
      <c r="L137" s="23">
        <f t="shared" si="15"/>
        <v>797898.18758468248</v>
      </c>
      <c r="M137" s="23">
        <f t="shared" si="15"/>
        <v>789277.16085634916</v>
      </c>
      <c r="N137" s="23">
        <f t="shared" si="15"/>
        <v>789277.16085634916</v>
      </c>
      <c r="O137" s="23">
        <f t="shared" si="15"/>
        <v>789277.16085634916</v>
      </c>
      <c r="P137" s="23">
        <f t="shared" si="15"/>
        <v>789277.16085634916</v>
      </c>
      <c r="Q137" s="23">
        <f t="shared" si="15"/>
        <v>789277.16085634916</v>
      </c>
      <c r="R137" s="23">
        <f t="shared" si="15"/>
        <v>789277.16085634916</v>
      </c>
      <c r="S137" s="23">
        <f t="shared" si="15"/>
        <v>789277.16085634916</v>
      </c>
      <c r="T137" s="23">
        <f t="shared" si="15"/>
        <v>789277.16085634916</v>
      </c>
      <c r="U137" s="23">
        <f t="shared" si="15"/>
        <v>789277.16085634916</v>
      </c>
      <c r="V137" s="23">
        <f t="shared" si="15"/>
        <v>789277.16085634916</v>
      </c>
    </row>
    <row r="139" spans="1:22" ht="14.4" thickBot="1" x14ac:dyDescent="0.3">
      <c r="B139" s="2" t="s">
        <v>76</v>
      </c>
      <c r="L139" s="46"/>
      <c r="M139" s="46"/>
    </row>
    <row r="140" spans="1:22" x14ac:dyDescent="0.25">
      <c r="B140" s="54" t="s">
        <v>82</v>
      </c>
      <c r="C140" s="74">
        <f>C80</f>
        <v>2021</v>
      </c>
      <c r="D140" s="74">
        <f t="shared" ref="D140:V140" si="16">D80</f>
        <v>2022</v>
      </c>
      <c r="E140" s="74">
        <f t="shared" si="16"/>
        <v>2023</v>
      </c>
      <c r="F140" s="74">
        <f t="shared" si="16"/>
        <v>2024</v>
      </c>
      <c r="G140" s="74">
        <f t="shared" si="16"/>
        <v>2025</v>
      </c>
      <c r="H140" s="74">
        <f t="shared" si="16"/>
        <v>2026</v>
      </c>
      <c r="I140" s="74">
        <f t="shared" si="16"/>
        <v>2027</v>
      </c>
      <c r="J140" s="74">
        <f t="shared" si="16"/>
        <v>2028</v>
      </c>
      <c r="K140" s="74">
        <f t="shared" si="16"/>
        <v>2029</v>
      </c>
      <c r="L140" s="74">
        <f t="shared" si="16"/>
        <v>2030</v>
      </c>
      <c r="M140" s="74">
        <f t="shared" si="16"/>
        <v>2031</v>
      </c>
      <c r="N140" s="74">
        <f t="shared" si="16"/>
        <v>2032</v>
      </c>
      <c r="O140" s="74">
        <f t="shared" si="16"/>
        <v>2033</v>
      </c>
      <c r="P140" s="74">
        <f t="shared" si="16"/>
        <v>2034</v>
      </c>
      <c r="Q140" s="74">
        <f t="shared" si="16"/>
        <v>2035</v>
      </c>
      <c r="R140" s="74">
        <f t="shared" si="16"/>
        <v>2036</v>
      </c>
      <c r="S140" s="74">
        <f t="shared" si="16"/>
        <v>2037</v>
      </c>
      <c r="T140" s="74">
        <f t="shared" si="16"/>
        <v>2038</v>
      </c>
      <c r="U140" s="74">
        <f t="shared" si="16"/>
        <v>2039</v>
      </c>
      <c r="V140" s="74">
        <f t="shared" si="16"/>
        <v>2040</v>
      </c>
    </row>
    <row r="141" spans="1:22" x14ac:dyDescent="0.25">
      <c r="B141" s="33" t="s">
        <v>43</v>
      </c>
      <c r="C141" s="34">
        <f>SUMIF($B81:$B135,$B141,C$81:C$135)</f>
        <v>695225.26900166669</v>
      </c>
      <c r="D141" s="34">
        <f t="shared" ref="D141:V141" si="17">SUMIF($B81:$B135,$B141,D$81:D$135)</f>
        <v>694952.65458500001</v>
      </c>
      <c r="E141" s="34">
        <f t="shared" si="17"/>
        <v>693704.46733777772</v>
      </c>
      <c r="F141" s="34">
        <f t="shared" si="17"/>
        <v>694910.20989944437</v>
      </c>
      <c r="G141" s="34">
        <f t="shared" si="17"/>
        <v>694910.20989944437</v>
      </c>
      <c r="H141" s="34">
        <f t="shared" si="17"/>
        <v>694910.20989944437</v>
      </c>
      <c r="I141" s="34">
        <f t="shared" si="17"/>
        <v>694910.20989944437</v>
      </c>
      <c r="J141" s="34">
        <f t="shared" si="17"/>
        <v>694910.20989944437</v>
      </c>
      <c r="K141" s="34">
        <f t="shared" si="17"/>
        <v>694910.20989944437</v>
      </c>
      <c r="L141" s="34">
        <f t="shared" si="17"/>
        <v>694910.20989944437</v>
      </c>
      <c r="M141" s="34">
        <f t="shared" si="17"/>
        <v>686289.18317111104</v>
      </c>
      <c r="N141" s="34">
        <f t="shared" si="17"/>
        <v>686289.18317111104</v>
      </c>
      <c r="O141" s="34">
        <f t="shared" si="17"/>
        <v>686289.18317111104</v>
      </c>
      <c r="P141" s="34">
        <f t="shared" si="17"/>
        <v>686289.18317111104</v>
      </c>
      <c r="Q141" s="34">
        <f t="shared" si="17"/>
        <v>686289.18317111104</v>
      </c>
      <c r="R141" s="34">
        <f t="shared" si="17"/>
        <v>686289.18317111104</v>
      </c>
      <c r="S141" s="34">
        <f t="shared" si="17"/>
        <v>686289.18317111104</v>
      </c>
      <c r="T141" s="34">
        <f t="shared" si="17"/>
        <v>686289.18317111104</v>
      </c>
      <c r="U141" s="34">
        <f t="shared" si="17"/>
        <v>686289.18317111104</v>
      </c>
      <c r="V141" s="34">
        <f t="shared" si="17"/>
        <v>686289.18317111104</v>
      </c>
    </row>
    <row r="142" spans="1:22" x14ac:dyDescent="0.25">
      <c r="B142" s="33" t="s">
        <v>41</v>
      </c>
      <c r="C142" s="34">
        <f>SUMIF($B81:$B135,$B142,C$81:C$135)</f>
        <v>949239.69982833299</v>
      </c>
      <c r="D142" s="34">
        <f t="shared" ref="D142:V142" si="18">SUMIF($B81:$B135,$B142,D$81:D$135)</f>
        <v>681372.56149365043</v>
      </c>
      <c r="E142" s="34">
        <f t="shared" si="18"/>
        <v>546030.30369714263</v>
      </c>
      <c r="F142" s="34">
        <f t="shared" si="18"/>
        <v>281284.76277857134</v>
      </c>
      <c r="G142" s="34">
        <f t="shared" si="18"/>
        <v>279032.46749468247</v>
      </c>
      <c r="H142" s="34">
        <f t="shared" si="18"/>
        <v>142108.30322817457</v>
      </c>
      <c r="I142" s="34">
        <f t="shared" si="18"/>
        <v>6934.8242899999996</v>
      </c>
      <c r="J142" s="34">
        <f t="shared" si="18"/>
        <v>3137.9728877777775</v>
      </c>
      <c r="K142" s="34">
        <f t="shared" si="18"/>
        <v>3137.9728877777775</v>
      </c>
      <c r="L142" s="34">
        <f t="shared" si="18"/>
        <v>3137.9728877777775</v>
      </c>
      <c r="M142" s="34">
        <f t="shared" si="18"/>
        <v>3137.9728877777775</v>
      </c>
      <c r="N142" s="34">
        <f t="shared" si="18"/>
        <v>3137.9728877777775</v>
      </c>
      <c r="O142" s="34">
        <f t="shared" si="18"/>
        <v>3137.9728877777775</v>
      </c>
      <c r="P142" s="34">
        <f t="shared" si="18"/>
        <v>3137.9728877777775</v>
      </c>
      <c r="Q142" s="34">
        <f t="shared" si="18"/>
        <v>3137.9728877777775</v>
      </c>
      <c r="R142" s="34">
        <f t="shared" si="18"/>
        <v>3137.9728877777775</v>
      </c>
      <c r="S142" s="34">
        <f t="shared" si="18"/>
        <v>3137.9728877777775</v>
      </c>
      <c r="T142" s="34">
        <f t="shared" si="18"/>
        <v>3137.9728877777775</v>
      </c>
      <c r="U142" s="34">
        <f t="shared" si="18"/>
        <v>3137.9728877777775</v>
      </c>
      <c r="V142" s="34">
        <f t="shared" si="18"/>
        <v>3137.9728877777775</v>
      </c>
    </row>
    <row r="143" spans="1:22" x14ac:dyDescent="0.25">
      <c r="B143" s="33" t="s">
        <v>40</v>
      </c>
      <c r="C143" s="34">
        <f>SUMIF($B81:$B135,$B143,C$81:C$135)</f>
        <v>15204.330498888885</v>
      </c>
      <c r="D143" s="34">
        <f t="shared" ref="D143:V143" si="19">SUMIF($B81:$B135,$B143,D$81:D$135)</f>
        <v>15227.070671111109</v>
      </c>
      <c r="E143" s="34">
        <f t="shared" si="19"/>
        <v>8561.7364152380942</v>
      </c>
      <c r="F143" s="34">
        <f t="shared" si="19"/>
        <v>8561.7364152380942</v>
      </c>
      <c r="G143" s="34">
        <f t="shared" si="19"/>
        <v>8561.7364152380942</v>
      </c>
      <c r="H143" s="34">
        <f t="shared" si="19"/>
        <v>8561.7364152380942</v>
      </c>
      <c r="I143" s="34">
        <f t="shared" si="19"/>
        <v>8561.7364152380942</v>
      </c>
      <c r="J143" s="34">
        <f t="shared" si="19"/>
        <v>8561.7364152380942</v>
      </c>
      <c r="K143" s="34">
        <f t="shared" si="19"/>
        <v>8561.7364152380942</v>
      </c>
      <c r="L143" s="34">
        <f t="shared" si="19"/>
        <v>8561.7364152380942</v>
      </c>
      <c r="M143" s="34">
        <f t="shared" si="19"/>
        <v>8561.7364152380942</v>
      </c>
      <c r="N143" s="34">
        <f t="shared" si="19"/>
        <v>8561.7364152380942</v>
      </c>
      <c r="O143" s="34">
        <f t="shared" si="19"/>
        <v>8561.7364152380942</v>
      </c>
      <c r="P143" s="34">
        <f t="shared" si="19"/>
        <v>8561.7364152380942</v>
      </c>
      <c r="Q143" s="34">
        <f t="shared" si="19"/>
        <v>8561.7364152380942</v>
      </c>
      <c r="R143" s="34">
        <f t="shared" si="19"/>
        <v>8561.7364152380942</v>
      </c>
      <c r="S143" s="34">
        <f t="shared" si="19"/>
        <v>8561.7364152380942</v>
      </c>
      <c r="T143" s="34">
        <f t="shared" si="19"/>
        <v>8561.7364152380942</v>
      </c>
      <c r="U143" s="34">
        <f t="shared" si="19"/>
        <v>8561.7364152380942</v>
      </c>
      <c r="V143" s="34">
        <f t="shared" si="19"/>
        <v>8561.7364152380942</v>
      </c>
    </row>
    <row r="144" spans="1:22" x14ac:dyDescent="0.25">
      <c r="B144" s="33" t="s">
        <v>80</v>
      </c>
      <c r="C144" s="34">
        <f>SUMIF($B81:$B135,$B144,C$81:C$135)</f>
        <v>0</v>
      </c>
      <c r="D144" s="34">
        <f t="shared" ref="D144:V144" si="20">SUMIF($B81:$B135,$B144,D$81:D$135)</f>
        <v>0</v>
      </c>
      <c r="E144" s="34">
        <f t="shared" si="20"/>
        <v>0</v>
      </c>
      <c r="F144" s="34">
        <f t="shared" si="20"/>
        <v>0</v>
      </c>
      <c r="G144" s="34">
        <f t="shared" si="20"/>
        <v>0</v>
      </c>
      <c r="H144" s="34">
        <f>SUMIF($B81:$B135,$B144,H$81:H$135)</f>
        <v>0</v>
      </c>
      <c r="I144" s="34">
        <f t="shared" si="20"/>
        <v>0</v>
      </c>
      <c r="J144" s="34">
        <f t="shared" si="20"/>
        <v>0</v>
      </c>
      <c r="K144" s="34">
        <f t="shared" si="20"/>
        <v>0</v>
      </c>
      <c r="L144" s="34">
        <f t="shared" si="20"/>
        <v>0</v>
      </c>
      <c r="M144" s="34">
        <f t="shared" si="20"/>
        <v>0</v>
      </c>
      <c r="N144" s="34">
        <f t="shared" si="20"/>
        <v>0</v>
      </c>
      <c r="O144" s="34">
        <f t="shared" si="20"/>
        <v>0</v>
      </c>
      <c r="P144" s="34">
        <f t="shared" si="20"/>
        <v>0</v>
      </c>
      <c r="Q144" s="34">
        <f t="shared" si="20"/>
        <v>0</v>
      </c>
      <c r="R144" s="34">
        <f t="shared" si="20"/>
        <v>0</v>
      </c>
      <c r="S144" s="34">
        <f t="shared" si="20"/>
        <v>0</v>
      </c>
      <c r="T144" s="34">
        <f t="shared" si="20"/>
        <v>0</v>
      </c>
      <c r="U144" s="34">
        <f t="shared" si="20"/>
        <v>0</v>
      </c>
      <c r="V144" s="34">
        <f t="shared" si="20"/>
        <v>0</v>
      </c>
    </row>
    <row r="145" spans="1:22" x14ac:dyDescent="0.25">
      <c r="B145" s="33" t="s">
        <v>44</v>
      </c>
      <c r="C145" s="34">
        <f>SUMIF($B81:$B135,$B145,C$81:C$135)</f>
        <v>0</v>
      </c>
      <c r="D145" s="34">
        <f t="shared" ref="D145:V145" si="21">SUMIF($B81:$B135,$B145,D$81:D$135)</f>
        <v>0</v>
      </c>
      <c r="E145" s="34">
        <f t="shared" si="21"/>
        <v>0</v>
      </c>
      <c r="F145" s="34">
        <f t="shared" si="21"/>
        <v>0</v>
      </c>
      <c r="G145" s="34">
        <f t="shared" si="21"/>
        <v>0</v>
      </c>
      <c r="H145" s="34">
        <f t="shared" si="21"/>
        <v>0</v>
      </c>
      <c r="I145" s="34">
        <f t="shared" si="21"/>
        <v>0</v>
      </c>
      <c r="J145" s="34">
        <f t="shared" si="21"/>
        <v>0</v>
      </c>
      <c r="K145" s="34">
        <f t="shared" si="21"/>
        <v>0</v>
      </c>
      <c r="L145" s="34">
        <f t="shared" si="21"/>
        <v>0</v>
      </c>
      <c r="M145" s="34">
        <f t="shared" si="21"/>
        <v>0</v>
      </c>
      <c r="N145" s="34">
        <f t="shared" si="21"/>
        <v>0</v>
      </c>
      <c r="O145" s="34">
        <f t="shared" si="21"/>
        <v>0</v>
      </c>
      <c r="P145" s="34">
        <f t="shared" si="21"/>
        <v>0</v>
      </c>
      <c r="Q145" s="34">
        <f t="shared" si="21"/>
        <v>0</v>
      </c>
      <c r="R145" s="34">
        <f t="shared" si="21"/>
        <v>0</v>
      </c>
      <c r="S145" s="34">
        <f t="shared" si="21"/>
        <v>0</v>
      </c>
      <c r="T145" s="34">
        <f t="shared" si="21"/>
        <v>0</v>
      </c>
      <c r="U145" s="34">
        <f t="shared" si="21"/>
        <v>0</v>
      </c>
      <c r="V145" s="34">
        <f t="shared" si="21"/>
        <v>0</v>
      </c>
    </row>
    <row r="146" spans="1:22" x14ac:dyDescent="0.25">
      <c r="B146" s="33" t="s">
        <v>81</v>
      </c>
      <c r="C146" s="34">
        <f>SUMIF($B81:$B135,$B146,C$81:C$135)</f>
        <v>0</v>
      </c>
      <c r="D146" s="34">
        <f t="shared" ref="D146:V146" si="22">SUMIF($B81:$B135,$B146,D$81:D$135)</f>
        <v>0</v>
      </c>
      <c r="E146" s="34">
        <f t="shared" si="22"/>
        <v>0</v>
      </c>
      <c r="F146" s="34">
        <f t="shared" si="22"/>
        <v>0</v>
      </c>
      <c r="G146" s="34">
        <f t="shared" si="22"/>
        <v>0</v>
      </c>
      <c r="H146" s="34">
        <f t="shared" si="22"/>
        <v>0</v>
      </c>
      <c r="I146" s="34">
        <f t="shared" si="22"/>
        <v>0</v>
      </c>
      <c r="J146" s="34">
        <f t="shared" si="22"/>
        <v>0</v>
      </c>
      <c r="K146" s="34">
        <f t="shared" si="22"/>
        <v>0</v>
      </c>
      <c r="L146" s="34">
        <f t="shared" si="22"/>
        <v>0</v>
      </c>
      <c r="M146" s="34">
        <f t="shared" si="22"/>
        <v>0</v>
      </c>
      <c r="N146" s="34">
        <f t="shared" si="22"/>
        <v>0</v>
      </c>
      <c r="O146" s="34">
        <f t="shared" si="22"/>
        <v>0</v>
      </c>
      <c r="P146" s="34">
        <f t="shared" si="22"/>
        <v>0</v>
      </c>
      <c r="Q146" s="34">
        <f t="shared" si="22"/>
        <v>0</v>
      </c>
      <c r="R146" s="34">
        <f t="shared" si="22"/>
        <v>0</v>
      </c>
      <c r="S146" s="34">
        <f t="shared" si="22"/>
        <v>0</v>
      </c>
      <c r="T146" s="34">
        <f t="shared" si="22"/>
        <v>0</v>
      </c>
      <c r="U146" s="34">
        <f t="shared" si="22"/>
        <v>0</v>
      </c>
      <c r="V146" s="34">
        <f t="shared" si="22"/>
        <v>0</v>
      </c>
    </row>
    <row r="147" spans="1:22" x14ac:dyDescent="0.25">
      <c r="B147" s="33" t="s">
        <v>42</v>
      </c>
      <c r="C147" s="34">
        <f>SUMIF($B81:$B135,$B147,C$81:C$135)</f>
        <v>1472.7862655555555</v>
      </c>
      <c r="D147" s="34">
        <f t="shared" ref="D147:V147" si="23">SUMIF($B81:$B135,$B147,D$81:D$135)</f>
        <v>1512.0012127777777</v>
      </c>
      <c r="E147" s="34">
        <f t="shared" si="23"/>
        <v>1460.5163599999998</v>
      </c>
      <c r="F147" s="34">
        <f t="shared" si="23"/>
        <v>1477.6676861111109</v>
      </c>
      <c r="G147" s="34">
        <f t="shared" si="23"/>
        <v>1442.2270488888887</v>
      </c>
      <c r="H147" s="34">
        <f t="shared" si="23"/>
        <v>1442.2270488888887</v>
      </c>
      <c r="I147" s="34">
        <f t="shared" si="23"/>
        <v>1442.2270488888887</v>
      </c>
      <c r="J147" s="34">
        <f t="shared" si="23"/>
        <v>1442.2270488888887</v>
      </c>
      <c r="K147" s="34">
        <f t="shared" si="23"/>
        <v>1442.2270488888887</v>
      </c>
      <c r="L147" s="34">
        <f t="shared" si="23"/>
        <v>1442.2270488888887</v>
      </c>
      <c r="M147" s="34">
        <f t="shared" si="23"/>
        <v>1442.2270488888887</v>
      </c>
      <c r="N147" s="34">
        <f t="shared" si="23"/>
        <v>1442.2270488888887</v>
      </c>
      <c r="O147" s="34">
        <f t="shared" si="23"/>
        <v>1442.2270488888887</v>
      </c>
      <c r="P147" s="34">
        <f t="shared" si="23"/>
        <v>1442.2270488888887</v>
      </c>
      <c r="Q147" s="34">
        <f t="shared" si="23"/>
        <v>1442.2270488888887</v>
      </c>
      <c r="R147" s="34">
        <f t="shared" si="23"/>
        <v>1442.2270488888887</v>
      </c>
      <c r="S147" s="34">
        <f t="shared" si="23"/>
        <v>1442.2270488888887</v>
      </c>
      <c r="T147" s="34">
        <f t="shared" si="23"/>
        <v>1442.2270488888887</v>
      </c>
      <c r="U147" s="34">
        <f t="shared" si="23"/>
        <v>1442.2270488888887</v>
      </c>
      <c r="V147" s="34">
        <f t="shared" si="23"/>
        <v>1442.2270488888887</v>
      </c>
    </row>
    <row r="148" spans="1:22" ht="14.4" thickBot="1" x14ac:dyDescent="0.3">
      <c r="B148" s="39" t="s">
        <v>45</v>
      </c>
      <c r="C148" s="34">
        <f>SUMIF($B81:$B135,$B148,C$81:C$135)</f>
        <v>90840.488670000021</v>
      </c>
      <c r="D148" s="34">
        <f t="shared" ref="D148:V148" si="24">SUMIF($B81:$B135,$B148,D$81:D$135)</f>
        <v>90904.020058888913</v>
      </c>
      <c r="E148" s="34">
        <f t="shared" si="24"/>
        <v>90840.083114444467</v>
      </c>
      <c r="F148" s="34">
        <f t="shared" si="24"/>
        <v>90847.563392222248</v>
      </c>
      <c r="G148" s="34">
        <f t="shared" si="24"/>
        <v>90847.563392222248</v>
      </c>
      <c r="H148" s="34">
        <f t="shared" si="24"/>
        <v>89453.837836666688</v>
      </c>
      <c r="I148" s="34">
        <f t="shared" si="24"/>
        <v>89453.837836666688</v>
      </c>
      <c r="J148" s="34">
        <f t="shared" si="24"/>
        <v>89453.837836666688</v>
      </c>
      <c r="K148" s="34">
        <f t="shared" si="24"/>
        <v>89453.837836666688</v>
      </c>
      <c r="L148" s="34">
        <f t="shared" si="24"/>
        <v>89453.837836666688</v>
      </c>
      <c r="M148" s="34">
        <f t="shared" si="24"/>
        <v>89453.837836666688</v>
      </c>
      <c r="N148" s="34">
        <f t="shared" si="24"/>
        <v>89453.837836666688</v>
      </c>
      <c r="O148" s="34">
        <f t="shared" si="24"/>
        <v>89453.837836666688</v>
      </c>
      <c r="P148" s="34">
        <f t="shared" si="24"/>
        <v>89453.837836666688</v>
      </c>
      <c r="Q148" s="34">
        <f t="shared" si="24"/>
        <v>89453.837836666688</v>
      </c>
      <c r="R148" s="34">
        <f t="shared" si="24"/>
        <v>89453.837836666688</v>
      </c>
      <c r="S148" s="34">
        <f t="shared" si="24"/>
        <v>89453.837836666688</v>
      </c>
      <c r="T148" s="34">
        <f t="shared" si="24"/>
        <v>89453.837836666688</v>
      </c>
      <c r="U148" s="34">
        <f t="shared" si="24"/>
        <v>89453.837836666688</v>
      </c>
      <c r="V148" s="34">
        <f t="shared" si="24"/>
        <v>89453.837836666688</v>
      </c>
    </row>
    <row r="149" spans="1:22" x14ac:dyDescent="0.25">
      <c r="L149" s="46"/>
      <c r="M149" s="46"/>
    </row>
    <row r="150" spans="1:22" x14ac:dyDescent="0.25">
      <c r="C150" s="23">
        <f>SUM(C141:C148)</f>
        <v>1751982.5742644442</v>
      </c>
      <c r="D150" s="23">
        <f t="shared" ref="D150:V150" si="25">SUM(D141:D148)</f>
        <v>1483968.3080214283</v>
      </c>
      <c r="E150" s="23">
        <f t="shared" si="25"/>
        <v>1340597.106924603</v>
      </c>
      <c r="F150" s="23">
        <f t="shared" si="25"/>
        <v>1077081.940171587</v>
      </c>
      <c r="G150" s="23">
        <f t="shared" si="25"/>
        <v>1074794.2042504761</v>
      </c>
      <c r="H150" s="23">
        <f t="shared" si="25"/>
        <v>936476.3144284127</v>
      </c>
      <c r="I150" s="23">
        <f t="shared" si="25"/>
        <v>801302.83549023815</v>
      </c>
      <c r="J150" s="23">
        <f t="shared" si="25"/>
        <v>797505.98408801586</v>
      </c>
      <c r="K150" s="23">
        <f t="shared" si="25"/>
        <v>797505.98408801586</v>
      </c>
      <c r="L150" s="108">
        <f t="shared" si="25"/>
        <v>797505.98408801586</v>
      </c>
      <c r="M150" s="108">
        <f t="shared" si="25"/>
        <v>788884.95735968254</v>
      </c>
      <c r="N150" s="23">
        <f t="shared" si="25"/>
        <v>788884.95735968254</v>
      </c>
      <c r="O150" s="23">
        <f t="shared" si="25"/>
        <v>788884.95735968254</v>
      </c>
      <c r="P150" s="23">
        <f t="shared" si="25"/>
        <v>788884.95735968254</v>
      </c>
      <c r="Q150" s="23">
        <f t="shared" si="25"/>
        <v>788884.95735968254</v>
      </c>
      <c r="R150" s="23">
        <f t="shared" si="25"/>
        <v>788884.95735968254</v>
      </c>
      <c r="S150" s="23">
        <f t="shared" si="25"/>
        <v>788884.95735968254</v>
      </c>
      <c r="T150" s="23">
        <f t="shared" si="25"/>
        <v>788884.95735968254</v>
      </c>
      <c r="U150" s="23">
        <f t="shared" si="25"/>
        <v>788884.95735968254</v>
      </c>
      <c r="V150" s="23">
        <f t="shared" si="25"/>
        <v>788884.95735968254</v>
      </c>
    </row>
    <row r="151" spans="1:22" x14ac:dyDescent="0.25">
      <c r="C151" s="93"/>
      <c r="D151" s="93"/>
      <c r="E151" s="93"/>
      <c r="F151" s="93"/>
      <c r="G151" s="93"/>
      <c r="H151" s="93"/>
      <c r="I151" s="93"/>
      <c r="J151" s="93"/>
      <c r="K151" s="93"/>
      <c r="L151" s="107"/>
      <c r="M151" s="107"/>
      <c r="N151" s="93"/>
      <c r="O151" s="93"/>
      <c r="P151" s="93"/>
      <c r="Q151" s="93"/>
      <c r="R151" s="93"/>
      <c r="S151" s="93"/>
      <c r="T151" s="93"/>
      <c r="U151" s="93"/>
      <c r="V151" s="93"/>
    </row>
    <row r="152" spans="1:22" ht="14.4" thickBot="1" x14ac:dyDescent="0.3">
      <c r="B152" s="2" t="s">
        <v>76</v>
      </c>
      <c r="L152" s="46"/>
      <c r="M152" s="46"/>
    </row>
    <row r="153" spans="1:22" x14ac:dyDescent="0.25">
      <c r="B153" s="54" t="s">
        <v>82</v>
      </c>
      <c r="C153" s="74">
        <v>2021</v>
      </c>
      <c r="D153" s="74">
        <v>2022</v>
      </c>
      <c r="E153" s="74">
        <v>2023</v>
      </c>
      <c r="F153" s="74">
        <v>2024</v>
      </c>
      <c r="G153" s="74">
        <v>2025</v>
      </c>
      <c r="H153" s="74">
        <v>2026</v>
      </c>
      <c r="I153" s="74">
        <v>2027</v>
      </c>
      <c r="J153" s="74">
        <v>2028</v>
      </c>
      <c r="K153" s="74">
        <v>2029</v>
      </c>
      <c r="L153" s="74">
        <v>2030</v>
      </c>
      <c r="M153" s="74">
        <v>2031</v>
      </c>
      <c r="N153" s="74">
        <v>2032</v>
      </c>
      <c r="O153" s="74">
        <v>2033</v>
      </c>
      <c r="P153" s="74">
        <v>2034</v>
      </c>
      <c r="Q153" s="74">
        <v>2035</v>
      </c>
      <c r="R153" s="74">
        <v>2036</v>
      </c>
      <c r="S153" s="74">
        <v>2037</v>
      </c>
      <c r="T153" s="74">
        <v>2038</v>
      </c>
      <c r="U153" s="74">
        <v>2039</v>
      </c>
      <c r="V153" s="74">
        <v>2040</v>
      </c>
    </row>
    <row r="154" spans="1:22" x14ac:dyDescent="0.25">
      <c r="B154" s="33" t="s">
        <v>93</v>
      </c>
      <c r="C154" s="106">
        <f>SUM(C81:C127)</f>
        <v>1752490.7143116661</v>
      </c>
      <c r="D154" s="106">
        <f>SUM(D81:D127)</f>
        <v>1484345.8994103172</v>
      </c>
      <c r="E154" s="106">
        <f t="shared" ref="E154:V154" si="26">SUM(E81:E127)</f>
        <v>1340904.3555357142</v>
      </c>
      <c r="F154" s="106">
        <f t="shared" si="26"/>
        <v>1077474.1436682539</v>
      </c>
      <c r="G154" s="106">
        <f t="shared" si="26"/>
        <v>1075186.4077471427</v>
      </c>
      <c r="H154" s="106">
        <f t="shared" si="26"/>
        <v>936868.51792507921</v>
      </c>
      <c r="I154" s="106">
        <f t="shared" si="26"/>
        <v>801695.03898690466</v>
      </c>
      <c r="J154" s="106">
        <f t="shared" si="26"/>
        <v>797898.18758468248</v>
      </c>
      <c r="K154" s="106">
        <f t="shared" si="26"/>
        <v>797898.18758468248</v>
      </c>
      <c r="L154" s="106">
        <f t="shared" si="26"/>
        <v>797898.18758468248</v>
      </c>
      <c r="M154" s="106">
        <f t="shared" si="26"/>
        <v>789277.16085634916</v>
      </c>
      <c r="N154" s="106">
        <f t="shared" si="26"/>
        <v>789277.16085634916</v>
      </c>
      <c r="O154" s="106">
        <f t="shared" si="26"/>
        <v>789277.16085634916</v>
      </c>
      <c r="P154" s="106">
        <f t="shared" si="26"/>
        <v>789277.16085634916</v>
      </c>
      <c r="Q154" s="106">
        <f t="shared" si="26"/>
        <v>789277.16085634916</v>
      </c>
      <c r="R154" s="106">
        <f t="shared" si="26"/>
        <v>789277.16085634916</v>
      </c>
      <c r="S154" s="106">
        <f t="shared" si="26"/>
        <v>789277.16085634916</v>
      </c>
      <c r="T154" s="106">
        <f t="shared" si="26"/>
        <v>789277.16085634916</v>
      </c>
      <c r="U154" s="106">
        <f t="shared" si="26"/>
        <v>789277.16085634916</v>
      </c>
      <c r="V154" s="106">
        <f t="shared" si="26"/>
        <v>789277.16085634916</v>
      </c>
    </row>
    <row r="155" spans="1:22" x14ac:dyDescent="0.25">
      <c r="B155" s="33" t="s">
        <v>94</v>
      </c>
      <c r="C155" s="95">
        <f>SUM(C128:C135)</f>
        <v>0</v>
      </c>
      <c r="D155" s="95">
        <f>SUM(D128:D135)</f>
        <v>0</v>
      </c>
      <c r="E155" s="95">
        <f t="shared" ref="E155:V155" si="27">SUM(E128:E135)</f>
        <v>0</v>
      </c>
      <c r="F155" s="95">
        <f t="shared" si="27"/>
        <v>0</v>
      </c>
      <c r="G155" s="95">
        <f t="shared" si="27"/>
        <v>0</v>
      </c>
      <c r="H155" s="95">
        <f t="shared" si="27"/>
        <v>0</v>
      </c>
      <c r="I155" s="95">
        <f t="shared" si="27"/>
        <v>0</v>
      </c>
      <c r="J155" s="95">
        <f t="shared" si="27"/>
        <v>0</v>
      </c>
      <c r="K155" s="95">
        <f t="shared" si="27"/>
        <v>0</v>
      </c>
      <c r="L155" s="95">
        <f t="shared" si="27"/>
        <v>0</v>
      </c>
      <c r="M155" s="95">
        <f t="shared" si="27"/>
        <v>0</v>
      </c>
      <c r="N155" s="95">
        <f t="shared" si="27"/>
        <v>0</v>
      </c>
      <c r="O155" s="95">
        <f t="shared" si="27"/>
        <v>0</v>
      </c>
      <c r="P155" s="95">
        <f t="shared" si="27"/>
        <v>0</v>
      </c>
      <c r="Q155" s="95">
        <f t="shared" si="27"/>
        <v>0</v>
      </c>
      <c r="R155" s="95">
        <f t="shared" si="27"/>
        <v>0</v>
      </c>
      <c r="S155" s="95">
        <f t="shared" si="27"/>
        <v>0</v>
      </c>
      <c r="T155" s="95">
        <f t="shared" si="27"/>
        <v>0</v>
      </c>
      <c r="U155" s="95">
        <f t="shared" si="27"/>
        <v>0</v>
      </c>
      <c r="V155" s="95">
        <f t="shared" si="27"/>
        <v>0</v>
      </c>
    </row>
    <row r="156" spans="1:22" x14ac:dyDescent="0.25">
      <c r="C156" s="107"/>
      <c r="D156" s="107"/>
      <c r="E156" s="107"/>
      <c r="F156" s="107"/>
      <c r="G156" s="107"/>
      <c r="H156" s="107"/>
      <c r="I156" s="107"/>
      <c r="J156" s="107"/>
      <c r="K156" s="107"/>
      <c r="L156" s="107"/>
      <c r="M156" s="107"/>
      <c r="N156" s="107"/>
      <c r="O156" s="107"/>
      <c r="P156" s="107"/>
      <c r="Q156" s="107"/>
      <c r="R156" s="107"/>
      <c r="S156" s="107"/>
      <c r="T156" s="107"/>
      <c r="U156" s="107"/>
      <c r="V156" s="107"/>
    </row>
    <row r="157" spans="1:22" x14ac:dyDescent="0.25">
      <c r="C157" s="23">
        <f>SUM(C154:C155)</f>
        <v>1752490.7143116661</v>
      </c>
      <c r="D157" s="23">
        <f t="shared" ref="D157:V157" si="28">SUM(D154:D155)</f>
        <v>1484345.8994103172</v>
      </c>
      <c r="E157" s="23">
        <f t="shared" si="28"/>
        <v>1340904.3555357142</v>
      </c>
      <c r="F157" s="23">
        <f t="shared" si="28"/>
        <v>1077474.1436682539</v>
      </c>
      <c r="G157" s="23">
        <f t="shared" si="28"/>
        <v>1075186.4077471427</v>
      </c>
      <c r="H157" s="23">
        <f t="shared" si="28"/>
        <v>936868.51792507921</v>
      </c>
      <c r="I157" s="23">
        <f t="shared" si="28"/>
        <v>801695.03898690466</v>
      </c>
      <c r="J157" s="23">
        <f t="shared" si="28"/>
        <v>797898.18758468248</v>
      </c>
      <c r="K157" s="23">
        <f t="shared" si="28"/>
        <v>797898.18758468248</v>
      </c>
      <c r="L157" s="23">
        <f t="shared" si="28"/>
        <v>797898.18758468248</v>
      </c>
      <c r="M157" s="23">
        <f t="shared" si="28"/>
        <v>789277.16085634916</v>
      </c>
      <c r="N157" s="23">
        <f t="shared" si="28"/>
        <v>789277.16085634916</v>
      </c>
      <c r="O157" s="23">
        <f t="shared" si="28"/>
        <v>789277.16085634916</v>
      </c>
      <c r="P157" s="23">
        <f t="shared" si="28"/>
        <v>789277.16085634916</v>
      </c>
      <c r="Q157" s="23">
        <f t="shared" si="28"/>
        <v>789277.16085634916</v>
      </c>
      <c r="R157" s="23">
        <f t="shared" si="28"/>
        <v>789277.16085634916</v>
      </c>
      <c r="S157" s="23">
        <f t="shared" si="28"/>
        <v>789277.16085634916</v>
      </c>
      <c r="T157" s="23">
        <f t="shared" si="28"/>
        <v>789277.16085634916</v>
      </c>
      <c r="U157" s="23">
        <f t="shared" si="28"/>
        <v>789277.16085634916</v>
      </c>
      <c r="V157" s="23">
        <f t="shared" si="28"/>
        <v>789277.16085634916</v>
      </c>
    </row>
    <row r="159" spans="1:22" x14ac:dyDescent="0.25">
      <c r="A159" s="27" t="s">
        <v>16</v>
      </c>
      <c r="B159" s="27"/>
      <c r="C159" s="27">
        <v>2021</v>
      </c>
      <c r="D159" s="28">
        <v>2022</v>
      </c>
      <c r="E159" s="27">
        <v>2023</v>
      </c>
      <c r="F159" s="28">
        <v>2024</v>
      </c>
      <c r="G159" s="27">
        <v>2025</v>
      </c>
      <c r="H159" s="28">
        <v>2026</v>
      </c>
      <c r="I159" s="27">
        <v>2027</v>
      </c>
      <c r="J159" s="28">
        <v>2028</v>
      </c>
      <c r="K159" s="27">
        <v>2029</v>
      </c>
      <c r="L159" s="28">
        <v>2030</v>
      </c>
      <c r="M159" s="27">
        <v>2031</v>
      </c>
      <c r="N159" s="28">
        <v>2032</v>
      </c>
      <c r="O159" s="27">
        <v>2033</v>
      </c>
      <c r="P159" s="28">
        <v>2034</v>
      </c>
      <c r="Q159" s="27">
        <v>2035</v>
      </c>
      <c r="R159" s="28">
        <v>2036</v>
      </c>
      <c r="S159" s="27">
        <v>2037</v>
      </c>
      <c r="T159" s="28">
        <v>2038</v>
      </c>
      <c r="U159" s="27">
        <v>2039</v>
      </c>
      <c r="V159" s="28">
        <v>2040</v>
      </c>
    </row>
    <row r="160" spans="1:22" x14ac:dyDescent="0.25">
      <c r="A160" s="29" t="s">
        <v>47</v>
      </c>
      <c r="B160" s="30" t="s">
        <v>41</v>
      </c>
      <c r="C160" s="105">
        <f>IFERROR(lifespans_all!C158*DTE_mission_minutes!C2,"-")</f>
        <v>133409.35004928565</v>
      </c>
      <c r="D160" s="105">
        <f>IFERROR(lifespans_all!D158*DTE_mission_minutes!D2,"-")</f>
        <v>133409.35004928565</v>
      </c>
      <c r="E160" s="105">
        <f>IFERROR(lifespans_all!E158*DTE_mission_minutes!E2,"-")</f>
        <v>0</v>
      </c>
      <c r="F160" s="105">
        <f>IFERROR(lifespans_all!F158*DTE_mission_minutes!F2,"-")</f>
        <v>0</v>
      </c>
      <c r="G160" s="105">
        <f>IFERROR(lifespans_all!G158*DTE_mission_minutes!G2,"-")</f>
        <v>0</v>
      </c>
      <c r="H160" s="105">
        <f>IFERROR(lifespans_all!H158*DTE_mission_minutes!H2,"-")</f>
        <v>0</v>
      </c>
      <c r="I160" s="105">
        <f>IFERROR(lifespans_all!I158*DTE_mission_minutes!I2,"-")</f>
        <v>0</v>
      </c>
      <c r="J160" s="105">
        <f>IFERROR(lifespans_all!J158*DTE_mission_minutes!J2,"-")</f>
        <v>0</v>
      </c>
      <c r="K160" s="105">
        <f>IFERROR(lifespans_all!K158*DTE_mission_minutes!K2,"-")</f>
        <v>0</v>
      </c>
      <c r="L160" s="105">
        <f>IFERROR(lifespans_all!L158*DTE_mission_minutes!L2,"-")</f>
        <v>0</v>
      </c>
      <c r="M160" s="105">
        <f>IFERROR(lifespans_all!M158*DTE_mission_minutes!M2,"-")</f>
        <v>0</v>
      </c>
      <c r="N160" s="105">
        <f>IFERROR(lifespans_all!N158*DTE_mission_minutes!N2,"-")</f>
        <v>0</v>
      </c>
      <c r="O160" s="105">
        <f>IFERROR(lifespans_all!O158*DTE_mission_minutes!O2,"-")</f>
        <v>0</v>
      </c>
      <c r="P160" s="105">
        <f>IFERROR(lifespans_all!P158*DTE_mission_minutes!P2,"-")</f>
        <v>0</v>
      </c>
      <c r="Q160" s="105">
        <f>IFERROR(lifespans_all!Q158*DTE_mission_minutes!Q2,"-")</f>
        <v>0</v>
      </c>
      <c r="R160" s="105">
        <f>IFERROR(lifespans_all!R158*DTE_mission_minutes!R2,"-")</f>
        <v>0</v>
      </c>
      <c r="S160" s="105">
        <f>IFERROR(lifespans_all!S158*DTE_mission_minutes!S2,"-")</f>
        <v>0</v>
      </c>
      <c r="T160" s="105">
        <f>IFERROR(lifespans_all!T158*DTE_mission_minutes!T2,"-")</f>
        <v>0</v>
      </c>
      <c r="U160" s="105">
        <f>IFERROR(lifespans_all!U158*DTE_mission_minutes!U2,"-")</f>
        <v>0</v>
      </c>
      <c r="V160" s="105">
        <f>IFERROR(lifespans_all!V158*DTE_mission_minutes!V2,"-")</f>
        <v>0</v>
      </c>
    </row>
    <row r="161" spans="1:22" x14ac:dyDescent="0.25">
      <c r="A161" s="29" t="s">
        <v>17</v>
      </c>
      <c r="B161" s="30" t="s">
        <v>41</v>
      </c>
      <c r="C161" s="105">
        <f>IFERROR(lifespans_all!C159*DTE_mission_minutes!C3,"-")</f>
        <v>2249.4702694444441</v>
      </c>
      <c r="D161" s="105">
        <f>IFERROR(lifespans_all!D159*DTE_mission_minutes!D3,"-")</f>
        <v>1189.7750000000001</v>
      </c>
      <c r="E161" s="105">
        <f>IFERROR(lifespans_all!E159*DTE_mission_minutes!E3,"-")</f>
        <v>649.57638888888891</v>
      </c>
      <c r="F161" s="105">
        <f>IFERROR(lifespans_all!F159*DTE_mission_minutes!F3,"-")</f>
        <v>1663.1641649999997</v>
      </c>
      <c r="G161" s="105">
        <f>IFERROR(lifespans_all!G159*DTE_mission_minutes!G3,"-")</f>
        <v>0</v>
      </c>
      <c r="H161" s="105">
        <f>IFERROR(lifespans_all!H159*DTE_mission_minutes!H3,"-")</f>
        <v>0</v>
      </c>
      <c r="I161" s="105">
        <f>IFERROR(lifespans_all!I159*DTE_mission_minutes!I3,"-")</f>
        <v>0</v>
      </c>
      <c r="J161" s="105">
        <f>IFERROR(lifespans_all!J159*DTE_mission_minutes!J3,"-")</f>
        <v>0</v>
      </c>
      <c r="K161" s="105">
        <f>IFERROR(lifespans_all!K159*DTE_mission_minutes!K3,"-")</f>
        <v>0</v>
      </c>
      <c r="L161" s="105">
        <f>IFERROR(lifespans_all!L159*DTE_mission_minutes!L3,"-")</f>
        <v>0</v>
      </c>
      <c r="M161" s="105">
        <f>IFERROR(lifespans_all!M159*DTE_mission_minutes!M3,"-")</f>
        <v>0</v>
      </c>
      <c r="N161" s="105">
        <f>IFERROR(lifespans_all!N159*DTE_mission_minutes!N3,"-")</f>
        <v>0</v>
      </c>
      <c r="O161" s="105">
        <f>IFERROR(lifespans_all!O159*DTE_mission_minutes!O3,"-")</f>
        <v>0</v>
      </c>
      <c r="P161" s="105">
        <f>IFERROR(lifespans_all!P159*DTE_mission_minutes!P3,"-")</f>
        <v>0</v>
      </c>
      <c r="Q161" s="105">
        <f>IFERROR(lifespans_all!Q159*DTE_mission_minutes!Q3,"-")</f>
        <v>0</v>
      </c>
      <c r="R161" s="105">
        <f>IFERROR(lifespans_all!R159*DTE_mission_minutes!R3,"-")</f>
        <v>0</v>
      </c>
      <c r="S161" s="105">
        <f>IFERROR(lifespans_all!S159*DTE_mission_minutes!S3,"-")</f>
        <v>0</v>
      </c>
      <c r="T161" s="105">
        <f>IFERROR(lifespans_all!T159*DTE_mission_minutes!T3,"-")</f>
        <v>0</v>
      </c>
      <c r="U161" s="105">
        <f>IFERROR(lifespans_all!U159*DTE_mission_minutes!U3,"-")</f>
        <v>0</v>
      </c>
      <c r="V161" s="105">
        <f>IFERROR(lifespans_all!V159*DTE_mission_minutes!V3,"-")</f>
        <v>0</v>
      </c>
    </row>
    <row r="162" spans="1:22" x14ac:dyDescent="0.25">
      <c r="A162" s="29" t="s">
        <v>49</v>
      </c>
      <c r="B162" s="30" t="s">
        <v>41</v>
      </c>
      <c r="C162" s="105">
        <f>IFERROR(lifespans_all!C160*DTE_mission_minutes!C4,"-")</f>
        <v>1151.5091666666667</v>
      </c>
      <c r="D162" s="105">
        <f>IFERROR(lifespans_all!D160*DTE_mission_minutes!D4,"-")</f>
        <v>1164.4527777777778</v>
      </c>
      <c r="E162" s="105">
        <f>IFERROR(lifespans_all!E160*DTE_mission_minutes!E4,"-")</f>
        <v>862.00805555555553</v>
      </c>
      <c r="F162" s="105">
        <f>IFERROR(lifespans_all!F160*DTE_mission_minutes!F4,"-")</f>
        <v>1093.0107777777775</v>
      </c>
      <c r="G162" s="105">
        <f>IFERROR(lifespans_all!G160*DTE_mission_minutes!G4,"-")</f>
        <v>1093.0107777777775</v>
      </c>
      <c r="H162" s="105">
        <f>IFERROR(lifespans_all!H160*DTE_mission_minutes!H4,"-")</f>
        <v>1093.0107777777775</v>
      </c>
      <c r="I162" s="105">
        <f>IFERROR(lifespans_all!I160*DTE_mission_minutes!I4,"-")</f>
        <v>0</v>
      </c>
      <c r="J162" s="105">
        <f>IFERROR(lifespans_all!J160*DTE_mission_minutes!J4,"-")</f>
        <v>0</v>
      </c>
      <c r="K162" s="105">
        <f>IFERROR(lifespans_all!K160*DTE_mission_minutes!K4,"-")</f>
        <v>0</v>
      </c>
      <c r="L162" s="105">
        <f>IFERROR(lifespans_all!L160*DTE_mission_minutes!L4,"-")</f>
        <v>0</v>
      </c>
      <c r="M162" s="105">
        <f>IFERROR(lifespans_all!M160*DTE_mission_minutes!M4,"-")</f>
        <v>0</v>
      </c>
      <c r="N162" s="105">
        <f>IFERROR(lifespans_all!N160*DTE_mission_minutes!N4,"-")</f>
        <v>0</v>
      </c>
      <c r="O162" s="105">
        <f>IFERROR(lifespans_all!O160*DTE_mission_minutes!O4,"-")</f>
        <v>0</v>
      </c>
      <c r="P162" s="105">
        <f>IFERROR(lifespans_all!P160*DTE_mission_minutes!P4,"-")</f>
        <v>0</v>
      </c>
      <c r="Q162" s="105">
        <f>IFERROR(lifespans_all!Q160*DTE_mission_minutes!Q4,"-")</f>
        <v>0</v>
      </c>
      <c r="R162" s="105">
        <f>IFERROR(lifespans_all!R160*DTE_mission_minutes!R4,"-")</f>
        <v>0</v>
      </c>
      <c r="S162" s="105">
        <f>IFERROR(lifespans_all!S160*DTE_mission_minutes!S4,"-")</f>
        <v>0</v>
      </c>
      <c r="T162" s="105">
        <f>IFERROR(lifespans_all!T160*DTE_mission_minutes!T4,"-")</f>
        <v>0</v>
      </c>
      <c r="U162" s="105">
        <f>IFERROR(lifespans_all!U160*DTE_mission_minutes!U4,"-")</f>
        <v>0</v>
      </c>
      <c r="V162" s="105">
        <f>IFERROR(lifespans_all!V160*DTE_mission_minutes!V4,"-")</f>
        <v>0</v>
      </c>
    </row>
    <row r="163" spans="1:22" x14ac:dyDescent="0.25">
      <c r="A163" s="29" t="s">
        <v>50</v>
      </c>
      <c r="B163" s="36" t="s">
        <v>43</v>
      </c>
      <c r="C163" s="105">
        <f>IFERROR(lifespans_all!C161*DTE_mission_minutes!C5,"-")</f>
        <v>171572.29579277776</v>
      </c>
      <c r="D163" s="105">
        <f>IFERROR(lifespans_all!D161*DTE_mission_minutes!D5,"-")</f>
        <v>171572.29579277776</v>
      </c>
      <c r="E163" s="105">
        <f>IFERROR(lifespans_all!E161*DTE_mission_minutes!E5,"-")</f>
        <v>171572.29579277776</v>
      </c>
      <c r="F163" s="105">
        <f>IFERROR(lifespans_all!F161*DTE_mission_minutes!F5,"-")</f>
        <v>171572.29579277776</v>
      </c>
      <c r="G163" s="105">
        <f>IFERROR(lifespans_all!G161*DTE_mission_minutes!G5,"-")</f>
        <v>171572.29579277776</v>
      </c>
      <c r="H163" s="105">
        <f>IFERROR(lifespans_all!H161*DTE_mission_minutes!H5,"-")</f>
        <v>171572.29579277776</v>
      </c>
      <c r="I163" s="105">
        <f>IFERROR(lifespans_all!I161*DTE_mission_minutes!I5,"-")</f>
        <v>171572.29579277776</v>
      </c>
      <c r="J163" s="105">
        <f>IFERROR(lifespans_all!J161*DTE_mission_minutes!J5,"-")</f>
        <v>171572.29579277776</v>
      </c>
      <c r="K163" s="105">
        <f>IFERROR(lifespans_all!K161*DTE_mission_minutes!K5,"-")</f>
        <v>171572.29579277776</v>
      </c>
      <c r="L163" s="105">
        <f>IFERROR(lifespans_all!L161*DTE_mission_minutes!L5,"-")</f>
        <v>171572.29579277776</v>
      </c>
      <c r="M163" s="105">
        <f>IFERROR(lifespans_all!M161*DTE_mission_minutes!M5,"-")</f>
        <v>171572.29579277776</v>
      </c>
      <c r="N163" s="105">
        <f>IFERROR(lifespans_all!N161*DTE_mission_minutes!N5,"-")</f>
        <v>171572.29579277776</v>
      </c>
      <c r="O163" s="105">
        <f>IFERROR(lifespans_all!O161*DTE_mission_minutes!O5,"-")</f>
        <v>171572.29579277776</v>
      </c>
      <c r="P163" s="105">
        <f>IFERROR(lifespans_all!P161*DTE_mission_minutes!P5,"-")</f>
        <v>171572.29579277776</v>
      </c>
      <c r="Q163" s="105">
        <f>IFERROR(lifespans_all!Q161*DTE_mission_minutes!Q5,"-")</f>
        <v>171572.29579277776</v>
      </c>
      <c r="R163" s="105">
        <f>IFERROR(lifespans_all!R161*DTE_mission_minutes!R5,"-")</f>
        <v>171572.29579277776</v>
      </c>
      <c r="S163" s="105">
        <f>IFERROR(lifespans_all!S161*DTE_mission_minutes!S5,"-")</f>
        <v>171572.29579277776</v>
      </c>
      <c r="T163" s="105">
        <f>IFERROR(lifespans_all!T161*DTE_mission_minutes!T5,"-")</f>
        <v>171572.29579277776</v>
      </c>
      <c r="U163" s="105">
        <f>IFERROR(lifespans_all!U161*DTE_mission_minutes!U5,"-")</f>
        <v>171572.29579277776</v>
      </c>
      <c r="V163" s="105">
        <f>IFERROR(lifespans_all!V161*DTE_mission_minutes!V5,"-")</f>
        <v>171572.29579277776</v>
      </c>
    </row>
    <row r="164" spans="1:22" x14ac:dyDescent="0.25">
      <c r="A164" s="29" t="s">
        <v>51</v>
      </c>
      <c r="B164" s="37" t="s">
        <v>42</v>
      </c>
      <c r="C164" s="105">
        <f>IFERROR(lifespans_all!C162*DTE_mission_minutes!C6,"-")</f>
        <v>30.559216666666664</v>
      </c>
      <c r="D164" s="105">
        <f>IFERROR(lifespans_all!D162*DTE_mission_minutes!D6,"-")</f>
        <v>69.774163888888879</v>
      </c>
      <c r="E164" s="105">
        <f>IFERROR(lifespans_all!E162*DTE_mission_minutes!E6,"-")</f>
        <v>18.289311111111111</v>
      </c>
      <c r="F164" s="105">
        <f>IFERROR(lifespans_all!F162*DTE_mission_minutes!F6,"-")</f>
        <v>35.440637222222215</v>
      </c>
      <c r="G164" s="105">
        <f>IFERROR(lifespans_all!G162*DTE_mission_minutes!G6,"-")</f>
        <v>0</v>
      </c>
      <c r="H164" s="105">
        <f>IFERROR(lifespans_all!H162*DTE_mission_minutes!H6,"-")</f>
        <v>0</v>
      </c>
      <c r="I164" s="105">
        <f>IFERROR(lifespans_all!I162*DTE_mission_minutes!I6,"-")</f>
        <v>0</v>
      </c>
      <c r="J164" s="105">
        <f>IFERROR(lifespans_all!J162*DTE_mission_minutes!J6,"-")</f>
        <v>0</v>
      </c>
      <c r="K164" s="105">
        <f>IFERROR(lifespans_all!K162*DTE_mission_minutes!K6,"-")</f>
        <v>0</v>
      </c>
      <c r="L164" s="105">
        <f>IFERROR(lifespans_all!L162*DTE_mission_minutes!L6,"-")</f>
        <v>0</v>
      </c>
      <c r="M164" s="105">
        <f>IFERROR(lifespans_all!M162*DTE_mission_minutes!M6,"-")</f>
        <v>0</v>
      </c>
      <c r="N164" s="105">
        <f>IFERROR(lifespans_all!N162*DTE_mission_minutes!N6,"-")</f>
        <v>0</v>
      </c>
      <c r="O164" s="105">
        <f>IFERROR(lifespans_all!O162*DTE_mission_minutes!O6,"-")</f>
        <v>0</v>
      </c>
      <c r="P164" s="105">
        <f>IFERROR(lifespans_all!P162*DTE_mission_minutes!P6,"-")</f>
        <v>0</v>
      </c>
      <c r="Q164" s="105">
        <f>IFERROR(lifespans_all!Q162*DTE_mission_minutes!Q6,"-")</f>
        <v>0</v>
      </c>
      <c r="R164" s="105">
        <f>IFERROR(lifespans_all!R162*DTE_mission_minutes!R6,"-")</f>
        <v>0</v>
      </c>
      <c r="S164" s="105">
        <f>IFERROR(lifespans_all!S162*DTE_mission_minutes!S6,"-")</f>
        <v>0</v>
      </c>
      <c r="T164" s="105">
        <f>IFERROR(lifespans_all!T162*DTE_mission_minutes!T6,"-")</f>
        <v>0</v>
      </c>
      <c r="U164" s="105">
        <f>IFERROR(lifespans_all!U162*DTE_mission_minutes!U6,"-")</f>
        <v>0</v>
      </c>
      <c r="V164" s="105">
        <f>IFERROR(lifespans_all!V162*DTE_mission_minutes!V6,"-")</f>
        <v>0</v>
      </c>
    </row>
    <row r="165" spans="1:22" x14ac:dyDescent="0.25">
      <c r="A165" s="29" t="s">
        <v>52</v>
      </c>
      <c r="B165" s="30" t="s">
        <v>41</v>
      </c>
      <c r="C165" s="105">
        <f>IFERROR(lifespans_all!C163*DTE_mission_minutes!C7,"-")</f>
        <v>667.42555555555555</v>
      </c>
      <c r="D165" s="105">
        <f>IFERROR(lifespans_all!D163*DTE_mission_minutes!D7,"-")</f>
        <v>707.53916666666669</v>
      </c>
      <c r="E165" s="105">
        <f>IFERROR(lifespans_all!E163*DTE_mission_minutes!E7,"-")</f>
        <v>608.43833333333339</v>
      </c>
      <c r="F165" s="105">
        <f>IFERROR(lifespans_all!F163*DTE_mission_minutes!F7,"-")</f>
        <v>671.11811111111115</v>
      </c>
      <c r="G165" s="105">
        <f>IFERROR(lifespans_all!G163*DTE_mission_minutes!G7,"-")</f>
        <v>671.11811111111115</v>
      </c>
      <c r="H165" s="105">
        <f>IFERROR(lifespans_all!H163*DTE_mission_minutes!H7,"-")</f>
        <v>671.11811111111115</v>
      </c>
      <c r="I165" s="105">
        <f>IFERROR(lifespans_all!I163*DTE_mission_minutes!I7,"-")</f>
        <v>0</v>
      </c>
      <c r="J165" s="105">
        <f>IFERROR(lifespans_all!J163*DTE_mission_minutes!J7,"-")</f>
        <v>0</v>
      </c>
      <c r="K165" s="105">
        <f>IFERROR(lifespans_all!K163*DTE_mission_minutes!K7,"-")</f>
        <v>0</v>
      </c>
      <c r="L165" s="105">
        <f>IFERROR(lifespans_all!L163*DTE_mission_minutes!L7,"-")</f>
        <v>0</v>
      </c>
      <c r="M165" s="105">
        <f>IFERROR(lifespans_all!M163*DTE_mission_minutes!M7,"-")</f>
        <v>0</v>
      </c>
      <c r="N165" s="105">
        <f>IFERROR(lifespans_all!N163*DTE_mission_minutes!N7,"-")</f>
        <v>0</v>
      </c>
      <c r="O165" s="105">
        <f>IFERROR(lifespans_all!O163*DTE_mission_minutes!O7,"-")</f>
        <v>0</v>
      </c>
      <c r="P165" s="105">
        <f>IFERROR(lifespans_all!P163*DTE_mission_minutes!P7,"-")</f>
        <v>0</v>
      </c>
      <c r="Q165" s="105">
        <f>IFERROR(lifespans_all!Q163*DTE_mission_minutes!Q7,"-")</f>
        <v>0</v>
      </c>
      <c r="R165" s="105">
        <f>IFERROR(lifespans_all!R163*DTE_mission_minutes!R7,"-")</f>
        <v>0</v>
      </c>
      <c r="S165" s="105">
        <f>IFERROR(lifespans_all!S163*DTE_mission_minutes!S7,"-")</f>
        <v>0</v>
      </c>
      <c r="T165" s="105">
        <f>IFERROR(lifespans_all!T163*DTE_mission_minutes!T7,"-")</f>
        <v>0</v>
      </c>
      <c r="U165" s="105">
        <f>IFERROR(lifespans_all!U163*DTE_mission_minutes!U7,"-")</f>
        <v>0</v>
      </c>
      <c r="V165" s="105">
        <f>IFERROR(lifespans_all!V163*DTE_mission_minutes!V7,"-")</f>
        <v>0</v>
      </c>
    </row>
    <row r="166" spans="1:22" x14ac:dyDescent="0.25">
      <c r="A166" s="29" t="s">
        <v>18</v>
      </c>
      <c r="B166" s="38" t="s">
        <v>48</v>
      </c>
      <c r="C166" s="105">
        <f>IFERROR(lifespans_all!C164*DTE_mission_minutes!C8,"-")</f>
        <v>508.14004722222222</v>
      </c>
      <c r="D166" s="105">
        <f>IFERROR(lifespans_all!D164*DTE_mission_minutes!D8,"-")</f>
        <v>377.5913888888889</v>
      </c>
      <c r="E166" s="105">
        <f>IFERROR(lifespans_all!E164*DTE_mission_minutes!E8,"-")</f>
        <v>307.24861111111113</v>
      </c>
      <c r="F166" s="105">
        <f>IFERROR(lifespans_all!F164*DTE_mission_minutes!F8,"-")</f>
        <v>392.20349666666669</v>
      </c>
      <c r="G166" s="105">
        <f>IFERROR(lifespans_all!G164*DTE_mission_minutes!G8,"-")</f>
        <v>392.20349666666669</v>
      </c>
      <c r="H166" s="105">
        <f>IFERROR(lifespans_all!H164*DTE_mission_minutes!H8,"-")</f>
        <v>392.20349666666669</v>
      </c>
      <c r="I166" s="105">
        <f>IFERROR(lifespans_all!I164*DTE_mission_minutes!I8,"-")</f>
        <v>392.20349666666669</v>
      </c>
      <c r="J166" s="105">
        <f>IFERROR(lifespans_all!J164*DTE_mission_minutes!J8,"-")</f>
        <v>392.20349666666669</v>
      </c>
      <c r="K166" s="105">
        <f>IFERROR(lifespans_all!K164*DTE_mission_minutes!K8,"-")</f>
        <v>392.20349666666669</v>
      </c>
      <c r="L166" s="105">
        <f>IFERROR(lifespans_all!L164*DTE_mission_minutes!L8,"-")</f>
        <v>392.20349666666669</v>
      </c>
      <c r="M166" s="105">
        <f>IFERROR(lifespans_all!M164*DTE_mission_minutes!M8,"-")</f>
        <v>392.20349666666669</v>
      </c>
      <c r="N166" s="105">
        <f>IFERROR(lifespans_all!N164*DTE_mission_minutes!N8,"-")</f>
        <v>392.20349666666669</v>
      </c>
      <c r="O166" s="105">
        <f>IFERROR(lifespans_all!O164*DTE_mission_minutes!O8,"-")</f>
        <v>392.20349666666669</v>
      </c>
      <c r="P166" s="105">
        <f>IFERROR(lifespans_all!P164*DTE_mission_minutes!P8,"-")</f>
        <v>392.20349666666669</v>
      </c>
      <c r="Q166" s="105">
        <f>IFERROR(lifespans_all!Q164*DTE_mission_minutes!Q8,"-")</f>
        <v>392.20349666666669</v>
      </c>
      <c r="R166" s="105">
        <f>IFERROR(lifespans_all!R164*DTE_mission_minutes!R8,"-")</f>
        <v>392.20349666666669</v>
      </c>
      <c r="S166" s="105">
        <f>IFERROR(lifespans_all!S164*DTE_mission_minutes!S8,"-")</f>
        <v>392.20349666666669</v>
      </c>
      <c r="T166" s="105">
        <f>IFERROR(lifespans_all!T164*DTE_mission_minutes!T8,"-")</f>
        <v>392.20349666666669</v>
      </c>
      <c r="U166" s="105">
        <f>IFERROR(lifespans_all!U164*DTE_mission_minutes!U8,"-")</f>
        <v>392.20349666666669</v>
      </c>
      <c r="V166" s="105">
        <f>IFERROR(lifespans_all!V164*DTE_mission_minutes!V8,"-")</f>
        <v>392.20349666666669</v>
      </c>
    </row>
    <row r="167" spans="1:22" x14ac:dyDescent="0.25">
      <c r="A167" s="29" t="s">
        <v>53</v>
      </c>
      <c r="B167" s="30" t="s">
        <v>41</v>
      </c>
      <c r="C167" s="105">
        <f>IFERROR(lifespans_all!C165*DTE_mission_minutes!C9,"-")</f>
        <v>0</v>
      </c>
      <c r="D167" s="105">
        <f>IFERROR(lifespans_all!D165*DTE_mission_minutes!D9,"-")</f>
        <v>0</v>
      </c>
      <c r="E167" s="105">
        <f>IFERROR(lifespans_all!E165*DTE_mission_minutes!E9,"-")</f>
        <v>0</v>
      </c>
      <c r="F167" s="105">
        <f>IFERROR(lifespans_all!F165*DTE_mission_minutes!F9,"-")</f>
        <v>0</v>
      </c>
      <c r="G167" s="105">
        <f>IFERROR(lifespans_all!G165*DTE_mission_minutes!G9,"-")</f>
        <v>0</v>
      </c>
      <c r="H167" s="105">
        <f>IFERROR(lifespans_all!H165*DTE_mission_minutes!H9,"-")</f>
        <v>0</v>
      </c>
      <c r="I167" s="105">
        <f>IFERROR(lifespans_all!I165*DTE_mission_minutes!I9,"-")</f>
        <v>0</v>
      </c>
      <c r="J167" s="105">
        <f>IFERROR(lifespans_all!J165*DTE_mission_minutes!J9,"-")</f>
        <v>0</v>
      </c>
      <c r="K167" s="105">
        <f>IFERROR(lifespans_all!K165*DTE_mission_minutes!K9,"-")</f>
        <v>0</v>
      </c>
      <c r="L167" s="105">
        <f>IFERROR(lifespans_all!L165*DTE_mission_minutes!L9,"-")</f>
        <v>0</v>
      </c>
      <c r="M167" s="105">
        <f>IFERROR(lifespans_all!M165*DTE_mission_minutes!M9,"-")</f>
        <v>0</v>
      </c>
      <c r="N167" s="105">
        <f>IFERROR(lifespans_all!N165*DTE_mission_minutes!N9,"-")</f>
        <v>0</v>
      </c>
      <c r="O167" s="105">
        <f>IFERROR(lifespans_all!O165*DTE_mission_minutes!O9,"-")</f>
        <v>0</v>
      </c>
      <c r="P167" s="105">
        <f>IFERROR(lifespans_all!P165*DTE_mission_minutes!P9,"-")</f>
        <v>0</v>
      </c>
      <c r="Q167" s="105">
        <f>IFERROR(lifespans_all!Q165*DTE_mission_minutes!Q9,"-")</f>
        <v>0</v>
      </c>
      <c r="R167" s="105">
        <f>IFERROR(lifespans_all!R165*DTE_mission_minutes!R9,"-")</f>
        <v>0</v>
      </c>
      <c r="S167" s="105">
        <f>IFERROR(lifespans_all!S165*DTE_mission_minutes!S9,"-")</f>
        <v>0</v>
      </c>
      <c r="T167" s="105">
        <f>IFERROR(lifespans_all!T165*DTE_mission_minutes!T9,"-")</f>
        <v>0</v>
      </c>
      <c r="U167" s="105">
        <f>IFERROR(lifespans_all!U165*DTE_mission_minutes!U9,"-")</f>
        <v>0</v>
      </c>
      <c r="V167" s="105">
        <f>IFERROR(lifespans_all!V165*DTE_mission_minutes!V9,"-")</f>
        <v>0</v>
      </c>
    </row>
    <row r="168" spans="1:22" x14ac:dyDescent="0.25">
      <c r="A168" s="29" t="s">
        <v>54</v>
      </c>
      <c r="B168" s="37" t="s">
        <v>43</v>
      </c>
      <c r="C168" s="105">
        <f>IFERROR(lifespans_all!C166*DTE_mission_minutes!C10,"-")</f>
        <v>1178.5658305555555</v>
      </c>
      <c r="D168" s="105">
        <f>IFERROR(lifespans_all!D166*DTE_mission_minutes!D10,"-")</f>
        <v>779.39891388888896</v>
      </c>
      <c r="E168" s="105">
        <f>IFERROR(lifespans_all!E166*DTE_mission_minutes!E10,"-")</f>
        <v>4.2386111111111111</v>
      </c>
      <c r="F168" s="105">
        <f>IFERROR(lifespans_all!F166*DTE_mission_minutes!F10,"-")</f>
        <v>871.54136999999992</v>
      </c>
      <c r="G168" s="105">
        <f>IFERROR(lifespans_all!G166*DTE_mission_minutes!G10,"-")</f>
        <v>871.54136999999992</v>
      </c>
      <c r="H168" s="105">
        <f>IFERROR(lifespans_all!H166*DTE_mission_minutes!H10,"-")</f>
        <v>871.54136999999992</v>
      </c>
      <c r="I168" s="105">
        <f>IFERROR(lifespans_all!I166*DTE_mission_minutes!I10,"-")</f>
        <v>871.54136999999992</v>
      </c>
      <c r="J168" s="105">
        <f>IFERROR(lifespans_all!J166*DTE_mission_minutes!J10,"-")</f>
        <v>871.54136999999992</v>
      </c>
      <c r="K168" s="105">
        <f>IFERROR(lifespans_all!K166*DTE_mission_minutes!K10,"-")</f>
        <v>871.54136999999992</v>
      </c>
      <c r="L168" s="105">
        <f>IFERROR(lifespans_all!L166*DTE_mission_minutes!L10,"-")</f>
        <v>871.54136999999992</v>
      </c>
      <c r="M168" s="105">
        <f>IFERROR(lifespans_all!M166*DTE_mission_minutes!M10,"-")</f>
        <v>0</v>
      </c>
      <c r="N168" s="105">
        <f>IFERROR(lifespans_all!N166*DTE_mission_minutes!N10,"-")</f>
        <v>0</v>
      </c>
      <c r="O168" s="105">
        <f>IFERROR(lifespans_all!O166*DTE_mission_minutes!O10,"-")</f>
        <v>0</v>
      </c>
      <c r="P168" s="105">
        <f>IFERROR(lifespans_all!P166*DTE_mission_minutes!P10,"-")</f>
        <v>0</v>
      </c>
      <c r="Q168" s="105">
        <f>IFERROR(lifespans_all!Q166*DTE_mission_minutes!Q10,"-")</f>
        <v>0</v>
      </c>
      <c r="R168" s="105">
        <f>IFERROR(lifespans_all!R166*DTE_mission_minutes!R10,"-")</f>
        <v>0</v>
      </c>
      <c r="S168" s="105">
        <f>IFERROR(lifespans_all!S166*DTE_mission_minutes!S10,"-")</f>
        <v>0</v>
      </c>
      <c r="T168" s="105">
        <f>IFERROR(lifespans_all!T166*DTE_mission_minutes!T10,"-")</f>
        <v>0</v>
      </c>
      <c r="U168" s="105">
        <f>IFERROR(lifespans_all!U166*DTE_mission_minutes!U10,"-")</f>
        <v>0</v>
      </c>
      <c r="V168" s="105">
        <f>IFERROR(lifespans_all!V166*DTE_mission_minutes!V10,"-")</f>
        <v>0</v>
      </c>
    </row>
    <row r="169" spans="1:22" x14ac:dyDescent="0.25">
      <c r="A169" s="29" t="s">
        <v>55</v>
      </c>
      <c r="B169" s="37" t="s">
        <v>42</v>
      </c>
      <c r="C169" s="105">
        <f>IFERROR(lifespans_all!C167*DTE_mission_minutes!C11,"-")</f>
        <v>721.11352444444435</v>
      </c>
      <c r="D169" s="105">
        <f>IFERROR(lifespans_all!D167*DTE_mission_minutes!D11,"-")</f>
        <v>721.11352444444435</v>
      </c>
      <c r="E169" s="105">
        <f>IFERROR(lifespans_all!E167*DTE_mission_minutes!E11,"-")</f>
        <v>721.11352444444435</v>
      </c>
      <c r="F169" s="105">
        <f>IFERROR(lifespans_all!F167*DTE_mission_minutes!F11,"-")</f>
        <v>721.11352444444435</v>
      </c>
      <c r="G169" s="105">
        <f>IFERROR(lifespans_all!G167*DTE_mission_minutes!G11,"-")</f>
        <v>721.11352444444435</v>
      </c>
      <c r="H169" s="105">
        <f>IFERROR(lifespans_all!H167*DTE_mission_minutes!H11,"-")</f>
        <v>721.11352444444435</v>
      </c>
      <c r="I169" s="105">
        <f>IFERROR(lifespans_all!I167*DTE_mission_minutes!I11,"-")</f>
        <v>721.11352444444435</v>
      </c>
      <c r="J169" s="105">
        <f>IFERROR(lifespans_all!J167*DTE_mission_minutes!J11,"-")</f>
        <v>721.11352444444435</v>
      </c>
      <c r="K169" s="105">
        <f>IFERROR(lifespans_all!K167*DTE_mission_minutes!K11,"-")</f>
        <v>721.11352444444435</v>
      </c>
      <c r="L169" s="105">
        <f>IFERROR(lifespans_all!L167*DTE_mission_minutes!L11,"-")</f>
        <v>721.11352444444435</v>
      </c>
      <c r="M169" s="105">
        <f>IFERROR(lifespans_all!M167*DTE_mission_minutes!M11,"-")</f>
        <v>721.11352444444435</v>
      </c>
      <c r="N169" s="105">
        <f>IFERROR(lifespans_all!N167*DTE_mission_minutes!N11,"-")</f>
        <v>721.11352444444435</v>
      </c>
      <c r="O169" s="105">
        <f>IFERROR(lifespans_all!O167*DTE_mission_minutes!O11,"-")</f>
        <v>721.11352444444435</v>
      </c>
      <c r="P169" s="105">
        <f>IFERROR(lifespans_all!P167*DTE_mission_minutes!P11,"-")</f>
        <v>721.11352444444435</v>
      </c>
      <c r="Q169" s="105">
        <f>IFERROR(lifespans_all!Q167*DTE_mission_minutes!Q11,"-")</f>
        <v>721.11352444444435</v>
      </c>
      <c r="R169" s="105">
        <f>IFERROR(lifespans_all!R167*DTE_mission_minutes!R11,"-")</f>
        <v>721.11352444444435</v>
      </c>
      <c r="S169" s="105">
        <f>IFERROR(lifespans_all!S167*DTE_mission_minutes!S11,"-")</f>
        <v>721.11352444444435</v>
      </c>
      <c r="T169" s="105">
        <f>IFERROR(lifespans_all!T167*DTE_mission_minutes!T11,"-")</f>
        <v>721.11352444444435</v>
      </c>
      <c r="U169" s="105">
        <f>IFERROR(lifespans_all!U167*DTE_mission_minutes!U11,"-")</f>
        <v>721.11352444444435</v>
      </c>
      <c r="V169" s="105">
        <f>IFERROR(lifespans_all!V167*DTE_mission_minutes!V11,"-")</f>
        <v>721.11352444444435</v>
      </c>
    </row>
    <row r="170" spans="1:22" x14ac:dyDescent="0.25">
      <c r="A170" s="29" t="s">
        <v>56</v>
      </c>
      <c r="B170" s="36" t="s">
        <v>43</v>
      </c>
      <c r="C170" s="105">
        <f>IFERROR(lifespans_all!C168*DTE_mission_minutes!C12,"-")</f>
        <v>171572.29579277776</v>
      </c>
      <c r="D170" s="105">
        <f>IFERROR(lifespans_all!D168*DTE_mission_minutes!D12,"-")</f>
        <v>171572.29579277776</v>
      </c>
      <c r="E170" s="105">
        <f>IFERROR(lifespans_all!E168*DTE_mission_minutes!E12,"-")</f>
        <v>171572.29579277776</v>
      </c>
      <c r="F170" s="105">
        <f>IFERROR(lifespans_all!F168*DTE_mission_minutes!F12,"-")</f>
        <v>171572.29579277776</v>
      </c>
      <c r="G170" s="105">
        <f>IFERROR(lifespans_all!G168*DTE_mission_minutes!G12,"-")</f>
        <v>171572.29579277776</v>
      </c>
      <c r="H170" s="105">
        <f>IFERROR(lifespans_all!H168*DTE_mission_minutes!H12,"-")</f>
        <v>171572.29579277776</v>
      </c>
      <c r="I170" s="105">
        <f>IFERROR(lifespans_all!I168*DTE_mission_minutes!I12,"-")</f>
        <v>171572.29579277776</v>
      </c>
      <c r="J170" s="105">
        <f>IFERROR(lifespans_all!J168*DTE_mission_minutes!J12,"-")</f>
        <v>171572.29579277776</v>
      </c>
      <c r="K170" s="105">
        <f>IFERROR(lifespans_all!K168*DTE_mission_minutes!K12,"-")</f>
        <v>171572.29579277776</v>
      </c>
      <c r="L170" s="105">
        <f>IFERROR(lifespans_all!L168*DTE_mission_minutes!L12,"-")</f>
        <v>171572.29579277776</v>
      </c>
      <c r="M170" s="105">
        <f>IFERROR(lifespans_all!M168*DTE_mission_minutes!M12,"-")</f>
        <v>171572.29579277776</v>
      </c>
      <c r="N170" s="105">
        <f>IFERROR(lifespans_all!N168*DTE_mission_minutes!N12,"-")</f>
        <v>171572.29579277776</v>
      </c>
      <c r="O170" s="105">
        <f>IFERROR(lifespans_all!O168*DTE_mission_minutes!O12,"-")</f>
        <v>171572.29579277776</v>
      </c>
      <c r="P170" s="105">
        <f>IFERROR(lifespans_all!P168*DTE_mission_minutes!P12,"-")</f>
        <v>171572.29579277776</v>
      </c>
      <c r="Q170" s="105">
        <f>IFERROR(lifespans_all!Q168*DTE_mission_minutes!Q12,"-")</f>
        <v>171572.29579277776</v>
      </c>
      <c r="R170" s="105">
        <f>IFERROR(lifespans_all!R168*DTE_mission_minutes!R12,"-")</f>
        <v>171572.29579277776</v>
      </c>
      <c r="S170" s="105">
        <f>IFERROR(lifespans_all!S168*DTE_mission_minutes!S12,"-")</f>
        <v>171572.29579277776</v>
      </c>
      <c r="T170" s="105">
        <f>IFERROR(lifespans_all!T168*DTE_mission_minutes!T12,"-")</f>
        <v>171572.29579277776</v>
      </c>
      <c r="U170" s="105">
        <f>IFERROR(lifespans_all!U168*DTE_mission_minutes!U12,"-")</f>
        <v>171572.29579277776</v>
      </c>
      <c r="V170" s="105">
        <f>IFERROR(lifespans_all!V168*DTE_mission_minutes!V12,"-")</f>
        <v>171572.29579277776</v>
      </c>
    </row>
    <row r="171" spans="1:22" x14ac:dyDescent="0.25">
      <c r="A171" s="29" t="s">
        <v>66</v>
      </c>
      <c r="B171" s="38" t="s">
        <v>48</v>
      </c>
      <c r="C171" s="105" t="str">
        <f>IFERROR(lifespans_all!C169*DTE_mission_minutes!C13,"-")</f>
        <v>-</v>
      </c>
      <c r="D171" s="105" t="str">
        <f>IFERROR(lifespans_all!D169*DTE_mission_minutes!D13,"-")</f>
        <v>-</v>
      </c>
      <c r="E171" s="105" t="str">
        <f>IFERROR(lifespans_all!E169*DTE_mission_minutes!E13,"-")</f>
        <v>-</v>
      </c>
      <c r="F171" s="105" t="str">
        <f>IFERROR(lifespans_all!F169*DTE_mission_minutes!F13,"-")</f>
        <v>-</v>
      </c>
      <c r="G171" s="105" t="str">
        <f>IFERROR(lifespans_all!G169*DTE_mission_minutes!G13,"-")</f>
        <v>-</v>
      </c>
      <c r="H171" s="105" t="str">
        <f>IFERROR(lifespans_all!H169*DTE_mission_minutes!H13,"-")</f>
        <v>-</v>
      </c>
      <c r="I171" s="105" t="str">
        <f>IFERROR(lifespans_all!I169*DTE_mission_minutes!I13,"-")</f>
        <v>-</v>
      </c>
      <c r="J171" s="105" t="str">
        <f>IFERROR(lifespans_all!J169*DTE_mission_minutes!J13,"-")</f>
        <v>-</v>
      </c>
      <c r="K171" s="105" t="str">
        <f>IFERROR(lifespans_all!K169*DTE_mission_minutes!K13,"-")</f>
        <v>-</v>
      </c>
      <c r="L171" s="105" t="str">
        <f>IFERROR(lifespans_all!L169*DTE_mission_minutes!L13,"-")</f>
        <v>-</v>
      </c>
      <c r="M171" s="105" t="str">
        <f>IFERROR(lifespans_all!M169*DTE_mission_minutes!M13,"-")</f>
        <v>-</v>
      </c>
      <c r="N171" s="105" t="str">
        <f>IFERROR(lifespans_all!N169*DTE_mission_minutes!N13,"-")</f>
        <v>-</v>
      </c>
      <c r="O171" s="105" t="str">
        <f>IFERROR(lifespans_all!O169*DTE_mission_minutes!O13,"-")</f>
        <v>-</v>
      </c>
      <c r="P171" s="105" t="str">
        <f>IFERROR(lifespans_all!P169*DTE_mission_minutes!P13,"-")</f>
        <v>-</v>
      </c>
      <c r="Q171" s="105" t="str">
        <f>IFERROR(lifespans_all!Q169*DTE_mission_minutes!Q13,"-")</f>
        <v>-</v>
      </c>
      <c r="R171" s="105" t="str">
        <f>IFERROR(lifespans_all!R169*DTE_mission_minutes!R13,"-")</f>
        <v>-</v>
      </c>
      <c r="S171" s="105" t="str">
        <f>IFERROR(lifespans_all!S169*DTE_mission_minutes!S13,"-")</f>
        <v>-</v>
      </c>
      <c r="T171" s="105" t="str">
        <f>IFERROR(lifespans_all!T169*DTE_mission_minutes!T13,"-")</f>
        <v>-</v>
      </c>
      <c r="U171" s="105" t="str">
        <f>IFERROR(lifespans_all!U169*DTE_mission_minutes!U13,"-")</f>
        <v>-</v>
      </c>
      <c r="V171" s="105" t="str">
        <f>IFERROR(lifespans_all!V169*DTE_mission_minutes!V13,"-")</f>
        <v>-</v>
      </c>
    </row>
    <row r="172" spans="1:22" x14ac:dyDescent="0.25">
      <c r="A172" s="29" t="s">
        <v>19</v>
      </c>
      <c r="B172" s="30" t="s">
        <v>41</v>
      </c>
      <c r="C172" s="105">
        <f>IFERROR(lifespans_all!C170*DTE_mission_minutes!C14,"-")</f>
        <v>851.36055555555549</v>
      </c>
      <c r="D172" s="105">
        <f>IFERROR(lifespans_all!D170*DTE_mission_minutes!D14,"-")</f>
        <v>921.41561944444436</v>
      </c>
      <c r="E172" s="105">
        <f>IFERROR(lifespans_all!E170*DTE_mission_minutes!E14,"-")</f>
        <v>793.34499999999991</v>
      </c>
      <c r="F172" s="105">
        <f>IFERROR(lifespans_all!F170*DTE_mission_minutes!F14,"-")</f>
        <v>796.60534611111109</v>
      </c>
      <c r="G172" s="105">
        <f>IFERROR(lifespans_all!G170*DTE_mission_minutes!G14,"-")</f>
        <v>796.60534611111109</v>
      </c>
      <c r="H172" s="105">
        <f>IFERROR(lifespans_all!H170*DTE_mission_minutes!H14,"-")</f>
        <v>796.60534611111109</v>
      </c>
      <c r="I172" s="105">
        <f>IFERROR(lifespans_all!I170*DTE_mission_minutes!I14,"-")</f>
        <v>796.60534611111109</v>
      </c>
      <c r="J172" s="105">
        <f>IFERROR(lifespans_all!J170*DTE_mission_minutes!J14,"-")</f>
        <v>0</v>
      </c>
      <c r="K172" s="105">
        <f>IFERROR(lifespans_all!K170*DTE_mission_minutes!K14,"-")</f>
        <v>0</v>
      </c>
      <c r="L172" s="105">
        <f>IFERROR(lifespans_all!L170*DTE_mission_minutes!L14,"-")</f>
        <v>0</v>
      </c>
      <c r="M172" s="105">
        <f>IFERROR(lifespans_all!M170*DTE_mission_minutes!M14,"-")</f>
        <v>0</v>
      </c>
      <c r="N172" s="105">
        <f>IFERROR(lifespans_all!N170*DTE_mission_minutes!N14,"-")</f>
        <v>0</v>
      </c>
      <c r="O172" s="105">
        <f>IFERROR(lifespans_all!O170*DTE_mission_minutes!O14,"-")</f>
        <v>0</v>
      </c>
      <c r="P172" s="105">
        <f>IFERROR(lifespans_all!P170*DTE_mission_minutes!P14,"-")</f>
        <v>0</v>
      </c>
      <c r="Q172" s="105">
        <f>IFERROR(lifespans_all!Q170*DTE_mission_minutes!Q14,"-")</f>
        <v>0</v>
      </c>
      <c r="R172" s="105">
        <f>IFERROR(lifespans_all!R170*DTE_mission_minutes!R14,"-")</f>
        <v>0</v>
      </c>
      <c r="S172" s="105">
        <f>IFERROR(lifespans_all!S170*DTE_mission_minutes!S14,"-")</f>
        <v>0</v>
      </c>
      <c r="T172" s="105">
        <f>IFERROR(lifespans_all!T170*DTE_mission_minutes!T14,"-")</f>
        <v>0</v>
      </c>
      <c r="U172" s="105">
        <f>IFERROR(lifespans_all!U170*DTE_mission_minutes!U14,"-")</f>
        <v>0</v>
      </c>
      <c r="V172" s="105">
        <f>IFERROR(lifespans_all!V170*DTE_mission_minutes!V14,"-")</f>
        <v>0</v>
      </c>
    </row>
    <row r="173" spans="1:22" x14ac:dyDescent="0.25">
      <c r="A173" s="41" t="s">
        <v>67</v>
      </c>
      <c r="B173" s="30" t="s">
        <v>40</v>
      </c>
      <c r="C173" s="105">
        <f>IFERROR(lifespans_all!C171*DTE_mission_minutes!C15,"-")</f>
        <v>2140.4341038095235</v>
      </c>
      <c r="D173" s="105">
        <f>IFERROR(lifespans_all!D171*DTE_mission_minutes!D15,"-")</f>
        <v>2140.4341038095235</v>
      </c>
      <c r="E173" s="105">
        <f>IFERROR(lifespans_all!E171*DTE_mission_minutes!E15,"-")</f>
        <v>2140.4341038095235</v>
      </c>
      <c r="F173" s="105">
        <f>IFERROR(lifespans_all!F171*DTE_mission_minutes!F15,"-")</f>
        <v>2140.4341038095235</v>
      </c>
      <c r="G173" s="105">
        <f>IFERROR(lifespans_all!G171*DTE_mission_minutes!G15,"-")</f>
        <v>2140.4341038095235</v>
      </c>
      <c r="H173" s="105">
        <f>IFERROR(lifespans_all!H171*DTE_mission_minutes!H15,"-")</f>
        <v>2140.4341038095235</v>
      </c>
      <c r="I173" s="105">
        <f>IFERROR(lifespans_all!I171*DTE_mission_minutes!I15,"-")</f>
        <v>2140.4341038095235</v>
      </c>
      <c r="J173" s="105">
        <f>IFERROR(lifespans_all!J171*DTE_mission_minutes!J15,"-")</f>
        <v>2140.4341038095235</v>
      </c>
      <c r="K173" s="105">
        <f>IFERROR(lifespans_all!K171*DTE_mission_minutes!K15,"-")</f>
        <v>2140.4341038095235</v>
      </c>
      <c r="L173" s="105">
        <f>IFERROR(lifespans_all!L171*DTE_mission_minutes!L15,"-")</f>
        <v>2140.4341038095235</v>
      </c>
      <c r="M173" s="105">
        <f>IFERROR(lifespans_all!M171*DTE_mission_minutes!M15,"-")</f>
        <v>2140.4341038095235</v>
      </c>
      <c r="N173" s="105">
        <f>IFERROR(lifespans_all!N171*DTE_mission_minutes!N15,"-")</f>
        <v>2140.4341038095235</v>
      </c>
      <c r="O173" s="105">
        <f>IFERROR(lifespans_all!O171*DTE_mission_minutes!O15,"-")</f>
        <v>2140.4341038095235</v>
      </c>
      <c r="P173" s="105">
        <f>IFERROR(lifespans_all!P171*DTE_mission_minutes!P15,"-")</f>
        <v>2140.4341038095235</v>
      </c>
      <c r="Q173" s="105">
        <f>IFERROR(lifespans_all!Q171*DTE_mission_minutes!Q15,"-")</f>
        <v>2140.4341038095235</v>
      </c>
      <c r="R173" s="105">
        <f>IFERROR(lifespans_all!R171*DTE_mission_minutes!R15,"-")</f>
        <v>2140.4341038095235</v>
      </c>
      <c r="S173" s="105">
        <f>IFERROR(lifespans_all!S171*DTE_mission_minutes!S15,"-")</f>
        <v>2140.4341038095235</v>
      </c>
      <c r="T173" s="105">
        <f>IFERROR(lifespans_all!T171*DTE_mission_minutes!T15,"-")</f>
        <v>2140.4341038095235</v>
      </c>
      <c r="U173" s="105">
        <f>IFERROR(lifespans_all!U171*DTE_mission_minutes!U15,"-")</f>
        <v>2140.4341038095235</v>
      </c>
      <c r="V173" s="105">
        <f>IFERROR(lifespans_all!V171*DTE_mission_minutes!V15,"-")</f>
        <v>2140.4341038095235</v>
      </c>
    </row>
    <row r="174" spans="1:22" x14ac:dyDescent="0.25">
      <c r="A174" s="41" t="s">
        <v>68</v>
      </c>
      <c r="B174" s="30" t="s">
        <v>40</v>
      </c>
      <c r="C174" s="105">
        <f>IFERROR(lifespans_all!C172*DTE_mission_minutes!C16,"-")</f>
        <v>2140.4341038095235</v>
      </c>
      <c r="D174" s="105">
        <f>IFERROR(lifespans_all!D172*DTE_mission_minutes!D16,"-")</f>
        <v>2140.4341038095235</v>
      </c>
      <c r="E174" s="105">
        <f>IFERROR(lifespans_all!E172*DTE_mission_minutes!E16,"-")</f>
        <v>2140.4341038095235</v>
      </c>
      <c r="F174" s="105">
        <f>IFERROR(lifespans_all!F172*DTE_mission_minutes!F16,"-")</f>
        <v>2140.4341038095235</v>
      </c>
      <c r="G174" s="105">
        <f>IFERROR(lifespans_all!G172*DTE_mission_minutes!G16,"-")</f>
        <v>2140.4341038095235</v>
      </c>
      <c r="H174" s="105">
        <f>IFERROR(lifespans_all!H172*DTE_mission_minutes!H16,"-")</f>
        <v>2140.4341038095235</v>
      </c>
      <c r="I174" s="105">
        <f>IFERROR(lifespans_all!I172*DTE_mission_minutes!I16,"-")</f>
        <v>2140.4341038095235</v>
      </c>
      <c r="J174" s="105">
        <f>IFERROR(lifespans_all!J172*DTE_mission_minutes!J16,"-")</f>
        <v>2140.4341038095235</v>
      </c>
      <c r="K174" s="105">
        <f>IFERROR(lifespans_all!K172*DTE_mission_minutes!K16,"-")</f>
        <v>2140.4341038095235</v>
      </c>
      <c r="L174" s="105">
        <f>IFERROR(lifespans_all!L172*DTE_mission_minutes!L16,"-")</f>
        <v>2140.4341038095235</v>
      </c>
      <c r="M174" s="105">
        <f>IFERROR(lifespans_all!M172*DTE_mission_minutes!M16,"-")</f>
        <v>2140.4341038095235</v>
      </c>
      <c r="N174" s="105">
        <f>IFERROR(lifespans_all!N172*DTE_mission_minutes!N16,"-")</f>
        <v>2140.4341038095235</v>
      </c>
      <c r="O174" s="105">
        <f>IFERROR(lifespans_all!O172*DTE_mission_minutes!O16,"-")</f>
        <v>2140.4341038095235</v>
      </c>
      <c r="P174" s="105">
        <f>IFERROR(lifespans_all!P172*DTE_mission_minutes!P16,"-")</f>
        <v>2140.4341038095235</v>
      </c>
      <c r="Q174" s="105">
        <f>IFERROR(lifespans_all!Q172*DTE_mission_minutes!Q16,"-")</f>
        <v>2140.4341038095235</v>
      </c>
      <c r="R174" s="105">
        <f>IFERROR(lifespans_all!R172*DTE_mission_minutes!R16,"-")</f>
        <v>2140.4341038095235</v>
      </c>
      <c r="S174" s="105">
        <f>IFERROR(lifespans_all!S172*DTE_mission_minutes!S16,"-")</f>
        <v>2140.4341038095235</v>
      </c>
      <c r="T174" s="105">
        <f>IFERROR(lifespans_all!T172*DTE_mission_minutes!T16,"-")</f>
        <v>2140.4341038095235</v>
      </c>
      <c r="U174" s="105">
        <f>IFERROR(lifespans_all!U172*DTE_mission_minutes!U16,"-")</f>
        <v>2140.4341038095235</v>
      </c>
      <c r="V174" s="105">
        <f>IFERROR(lifespans_all!V172*DTE_mission_minutes!V16,"-")</f>
        <v>2140.4341038095235</v>
      </c>
    </row>
    <row r="175" spans="1:22" x14ac:dyDescent="0.25">
      <c r="A175" s="41" t="s">
        <v>69</v>
      </c>
      <c r="B175" s="30" t="s">
        <v>40</v>
      </c>
      <c r="C175" s="105">
        <f>IFERROR(lifespans_all!C173*DTE_mission_minutes!C17,"-")</f>
        <v>2140.4341038095235</v>
      </c>
      <c r="D175" s="105">
        <f>IFERROR(lifespans_all!D173*DTE_mission_minutes!D17,"-")</f>
        <v>2140.4341038095235</v>
      </c>
      <c r="E175" s="105">
        <f>IFERROR(lifespans_all!E173*DTE_mission_minutes!E17,"-")</f>
        <v>2140.4341038095235</v>
      </c>
      <c r="F175" s="105">
        <f>IFERROR(lifespans_all!F173*DTE_mission_minutes!F17,"-")</f>
        <v>2140.4341038095235</v>
      </c>
      <c r="G175" s="105">
        <f>IFERROR(lifespans_all!G173*DTE_mission_minutes!G17,"-")</f>
        <v>2140.4341038095235</v>
      </c>
      <c r="H175" s="105">
        <f>IFERROR(lifespans_all!H173*DTE_mission_minutes!H17,"-")</f>
        <v>2140.4341038095235</v>
      </c>
      <c r="I175" s="105">
        <f>IFERROR(lifespans_all!I173*DTE_mission_minutes!I17,"-")</f>
        <v>2140.4341038095235</v>
      </c>
      <c r="J175" s="105">
        <f>IFERROR(lifespans_all!J173*DTE_mission_minutes!J17,"-")</f>
        <v>2140.4341038095235</v>
      </c>
      <c r="K175" s="105">
        <f>IFERROR(lifespans_all!K173*DTE_mission_minutes!K17,"-")</f>
        <v>2140.4341038095235</v>
      </c>
      <c r="L175" s="105">
        <f>IFERROR(lifespans_all!L173*DTE_mission_minutes!L17,"-")</f>
        <v>2140.4341038095235</v>
      </c>
      <c r="M175" s="105">
        <f>IFERROR(lifespans_all!M173*DTE_mission_minutes!M17,"-")</f>
        <v>2140.4341038095235</v>
      </c>
      <c r="N175" s="105">
        <f>IFERROR(lifespans_all!N173*DTE_mission_minutes!N17,"-")</f>
        <v>2140.4341038095235</v>
      </c>
      <c r="O175" s="105">
        <f>IFERROR(lifespans_all!O173*DTE_mission_minutes!O17,"-")</f>
        <v>2140.4341038095235</v>
      </c>
      <c r="P175" s="105">
        <f>IFERROR(lifespans_all!P173*DTE_mission_minutes!P17,"-")</f>
        <v>2140.4341038095235</v>
      </c>
      <c r="Q175" s="105">
        <f>IFERROR(lifespans_all!Q173*DTE_mission_minutes!Q17,"-")</f>
        <v>2140.4341038095235</v>
      </c>
      <c r="R175" s="105">
        <f>IFERROR(lifespans_all!R173*DTE_mission_minutes!R17,"-")</f>
        <v>2140.4341038095235</v>
      </c>
      <c r="S175" s="105">
        <f>IFERROR(lifespans_all!S173*DTE_mission_minutes!S17,"-")</f>
        <v>2140.4341038095235</v>
      </c>
      <c r="T175" s="105">
        <f>IFERROR(lifespans_all!T173*DTE_mission_minutes!T17,"-")</f>
        <v>2140.4341038095235</v>
      </c>
      <c r="U175" s="105">
        <f>IFERROR(lifespans_all!U173*DTE_mission_minutes!U17,"-")</f>
        <v>2140.4341038095235</v>
      </c>
      <c r="V175" s="105">
        <f>IFERROR(lifespans_all!V173*DTE_mission_minutes!V17,"-")</f>
        <v>2140.4341038095235</v>
      </c>
    </row>
    <row r="176" spans="1:22" x14ac:dyDescent="0.25">
      <c r="A176" s="41" t="s">
        <v>70</v>
      </c>
      <c r="B176" s="30" t="s">
        <v>40</v>
      </c>
      <c r="C176" s="105">
        <f>IFERROR(lifespans_all!C174*DTE_mission_minutes!C18,"-")</f>
        <v>2140.4341038095235</v>
      </c>
      <c r="D176" s="105">
        <f>IFERROR(lifespans_all!D174*DTE_mission_minutes!D18,"-")</f>
        <v>2140.4341038095235</v>
      </c>
      <c r="E176" s="105">
        <f>IFERROR(lifespans_all!E174*DTE_mission_minutes!E18,"-")</f>
        <v>2140.4341038095235</v>
      </c>
      <c r="F176" s="105">
        <f>IFERROR(lifespans_all!F174*DTE_mission_minutes!F18,"-")</f>
        <v>2140.4341038095235</v>
      </c>
      <c r="G176" s="105">
        <f>IFERROR(lifespans_all!G174*DTE_mission_minutes!G18,"-")</f>
        <v>2140.4341038095235</v>
      </c>
      <c r="H176" s="105">
        <f>IFERROR(lifespans_all!H174*DTE_mission_minutes!H18,"-")</f>
        <v>2140.4341038095235</v>
      </c>
      <c r="I176" s="105">
        <f>IFERROR(lifespans_all!I174*DTE_mission_minutes!I18,"-")</f>
        <v>2140.4341038095235</v>
      </c>
      <c r="J176" s="105">
        <f>IFERROR(lifespans_all!J174*DTE_mission_minutes!J18,"-")</f>
        <v>2140.4341038095235</v>
      </c>
      <c r="K176" s="105">
        <f>IFERROR(lifespans_all!K174*DTE_mission_minutes!K18,"-")</f>
        <v>2140.4341038095235</v>
      </c>
      <c r="L176" s="105">
        <f>IFERROR(lifespans_all!L174*DTE_mission_minutes!L18,"-")</f>
        <v>2140.4341038095235</v>
      </c>
      <c r="M176" s="105">
        <f>IFERROR(lifespans_all!M174*DTE_mission_minutes!M18,"-")</f>
        <v>2140.4341038095235</v>
      </c>
      <c r="N176" s="105">
        <f>IFERROR(lifespans_all!N174*DTE_mission_minutes!N18,"-")</f>
        <v>2140.4341038095235</v>
      </c>
      <c r="O176" s="105">
        <f>IFERROR(lifespans_all!O174*DTE_mission_minutes!O18,"-")</f>
        <v>2140.4341038095235</v>
      </c>
      <c r="P176" s="105">
        <f>IFERROR(lifespans_all!P174*DTE_mission_minutes!P18,"-")</f>
        <v>2140.4341038095235</v>
      </c>
      <c r="Q176" s="105">
        <f>IFERROR(lifespans_all!Q174*DTE_mission_minutes!Q18,"-")</f>
        <v>2140.4341038095235</v>
      </c>
      <c r="R176" s="105">
        <f>IFERROR(lifespans_all!R174*DTE_mission_minutes!R18,"-")</f>
        <v>2140.4341038095235</v>
      </c>
      <c r="S176" s="105">
        <f>IFERROR(lifespans_all!S174*DTE_mission_minutes!S18,"-")</f>
        <v>2140.4341038095235</v>
      </c>
      <c r="T176" s="105">
        <f>IFERROR(lifespans_all!T174*DTE_mission_minutes!T18,"-")</f>
        <v>2140.4341038095235</v>
      </c>
      <c r="U176" s="105">
        <f>IFERROR(lifespans_all!U174*DTE_mission_minutes!U18,"-")</f>
        <v>2140.4341038095235</v>
      </c>
      <c r="V176" s="105">
        <f>IFERROR(lifespans_all!V174*DTE_mission_minutes!V18,"-")</f>
        <v>2140.4341038095235</v>
      </c>
    </row>
    <row r="177" spans="1:22" x14ac:dyDescent="0.25">
      <c r="A177" s="29" t="s">
        <v>20</v>
      </c>
      <c r="B177" s="30" t="s">
        <v>41</v>
      </c>
      <c r="C177" s="105">
        <f>IFERROR(lifespans_all!C175*DTE_mission_minutes!C19,"-")</f>
        <v>3121.1464916666664</v>
      </c>
      <c r="D177" s="105">
        <f>IFERROR(lifespans_all!D175*DTE_mission_minutes!D19,"-")</f>
        <v>3157.8943527777778</v>
      </c>
      <c r="E177" s="105">
        <f>IFERROR(lifespans_all!E175*DTE_mission_minutes!E19,"-")</f>
        <v>2937.5030555555554</v>
      </c>
      <c r="F177" s="105">
        <f>IFERROR(lifespans_all!F175*DTE_mission_minutes!F19,"-")</f>
        <v>3137.9728877777775</v>
      </c>
      <c r="G177" s="105">
        <f>IFERROR(lifespans_all!G175*DTE_mission_minutes!G19,"-")</f>
        <v>3137.9728877777775</v>
      </c>
      <c r="H177" s="105">
        <f>IFERROR(lifespans_all!H175*DTE_mission_minutes!H19,"-")</f>
        <v>3137.9728877777775</v>
      </c>
      <c r="I177" s="105">
        <f>IFERROR(lifespans_all!I175*DTE_mission_minutes!I19,"-")</f>
        <v>3137.9728877777775</v>
      </c>
      <c r="J177" s="105">
        <f>IFERROR(lifespans_all!J175*DTE_mission_minutes!J19,"-")</f>
        <v>3137.9728877777775</v>
      </c>
      <c r="K177" s="105">
        <f>IFERROR(lifespans_all!K175*DTE_mission_minutes!K19,"-")</f>
        <v>3137.9728877777775</v>
      </c>
      <c r="L177" s="105">
        <f>IFERROR(lifespans_all!L175*DTE_mission_minutes!L19,"-")</f>
        <v>3137.9728877777775</v>
      </c>
      <c r="M177" s="105">
        <f>IFERROR(lifespans_all!M175*DTE_mission_minutes!M19,"-")</f>
        <v>3137.9728877777775</v>
      </c>
      <c r="N177" s="105">
        <f>IFERROR(lifespans_all!N175*DTE_mission_minutes!N19,"-")</f>
        <v>3137.9728877777775</v>
      </c>
      <c r="O177" s="105">
        <f>IFERROR(lifespans_all!O175*DTE_mission_minutes!O19,"-")</f>
        <v>3137.9728877777775</v>
      </c>
      <c r="P177" s="105">
        <f>IFERROR(lifespans_all!P175*DTE_mission_minutes!P19,"-")</f>
        <v>3137.9728877777775</v>
      </c>
      <c r="Q177" s="105">
        <f>IFERROR(lifespans_all!Q175*DTE_mission_minutes!Q19,"-")</f>
        <v>3137.9728877777775</v>
      </c>
      <c r="R177" s="105">
        <f>IFERROR(lifespans_all!R175*DTE_mission_minutes!R19,"-")</f>
        <v>3137.9728877777775</v>
      </c>
      <c r="S177" s="105">
        <f>IFERROR(lifespans_all!S175*DTE_mission_minutes!S19,"-")</f>
        <v>3137.9728877777775</v>
      </c>
      <c r="T177" s="105">
        <f>IFERROR(lifespans_all!T175*DTE_mission_minutes!T19,"-")</f>
        <v>3137.9728877777775</v>
      </c>
      <c r="U177" s="105">
        <f>IFERROR(lifespans_all!U175*DTE_mission_minutes!U19,"-")</f>
        <v>3137.9728877777775</v>
      </c>
      <c r="V177" s="105">
        <f>IFERROR(lifespans_all!V175*DTE_mission_minutes!V19,"-")</f>
        <v>3137.9728877777775</v>
      </c>
    </row>
    <row r="178" spans="1:22" x14ac:dyDescent="0.25">
      <c r="A178" s="29" t="s">
        <v>21</v>
      </c>
      <c r="B178" s="30" t="s">
        <v>41</v>
      </c>
      <c r="C178" s="105">
        <f>IFERROR(lifespans_all!C176*DTE_mission_minutes!C20,"-")</f>
        <v>3653.0924999999997</v>
      </c>
      <c r="D178" s="105">
        <f>IFERROR(lifespans_all!D176*DTE_mission_minutes!D20,"-")</f>
        <v>3468.0533333333337</v>
      </c>
      <c r="E178" s="105">
        <f>IFERROR(lifespans_all!E176*DTE_mission_minutes!E20,"-")</f>
        <v>3224.0014777777778</v>
      </c>
      <c r="F178" s="105">
        <f>IFERROR(lifespans_all!F176*DTE_mission_minutes!F20,"-")</f>
        <v>3454.7784394444448</v>
      </c>
      <c r="G178" s="105">
        <f>IFERROR(lifespans_all!G176*DTE_mission_minutes!G20,"-")</f>
        <v>3454.7784394444448</v>
      </c>
      <c r="H178" s="105">
        <f>IFERROR(lifespans_all!H176*DTE_mission_minutes!H20,"-")</f>
        <v>0</v>
      </c>
      <c r="I178" s="105">
        <f>IFERROR(lifespans_all!I176*DTE_mission_minutes!I20,"-")</f>
        <v>0</v>
      </c>
      <c r="J178" s="105">
        <f>IFERROR(lifespans_all!J176*DTE_mission_minutes!J20,"-")</f>
        <v>0</v>
      </c>
      <c r="K178" s="105">
        <f>IFERROR(lifespans_all!K176*DTE_mission_minutes!K20,"-")</f>
        <v>0</v>
      </c>
      <c r="L178" s="105">
        <f>IFERROR(lifespans_all!L176*DTE_mission_minutes!L20,"-")</f>
        <v>0</v>
      </c>
      <c r="M178" s="105">
        <f>IFERROR(lifespans_all!M176*DTE_mission_minutes!M20,"-")</f>
        <v>0</v>
      </c>
      <c r="N178" s="105">
        <f>IFERROR(lifespans_all!N176*DTE_mission_minutes!N20,"-")</f>
        <v>0</v>
      </c>
      <c r="O178" s="105">
        <f>IFERROR(lifespans_all!O176*DTE_mission_minutes!O20,"-")</f>
        <v>0</v>
      </c>
      <c r="P178" s="105">
        <f>IFERROR(lifespans_all!P176*DTE_mission_minutes!P20,"-")</f>
        <v>0</v>
      </c>
      <c r="Q178" s="105">
        <f>IFERROR(lifespans_all!Q176*DTE_mission_minutes!Q20,"-")</f>
        <v>0</v>
      </c>
      <c r="R178" s="105">
        <f>IFERROR(lifespans_all!R176*DTE_mission_minutes!R20,"-")</f>
        <v>0</v>
      </c>
      <c r="S178" s="105">
        <f>IFERROR(lifespans_all!S176*DTE_mission_minutes!S20,"-")</f>
        <v>0</v>
      </c>
      <c r="T178" s="105">
        <f>IFERROR(lifespans_all!T176*DTE_mission_minutes!T20,"-")</f>
        <v>0</v>
      </c>
      <c r="U178" s="105">
        <f>IFERROR(lifespans_all!U176*DTE_mission_minutes!U20,"-")</f>
        <v>0</v>
      </c>
      <c r="V178" s="105">
        <f>IFERROR(lifespans_all!V176*DTE_mission_minutes!V20,"-")</f>
        <v>0</v>
      </c>
    </row>
    <row r="179" spans="1:22" x14ac:dyDescent="0.25">
      <c r="A179" s="29" t="s">
        <v>24</v>
      </c>
      <c r="B179" s="42" t="s">
        <v>42</v>
      </c>
      <c r="C179" s="105">
        <f>IFERROR(lifespans_all!C177*DTE_mission_minutes!C21,"-")</f>
        <v>0</v>
      </c>
      <c r="D179" s="105">
        <f>IFERROR(lifespans_all!D177*DTE_mission_minutes!D21,"-")</f>
        <v>0</v>
      </c>
      <c r="E179" s="105">
        <f>IFERROR(lifespans_all!E177*DTE_mission_minutes!E21,"-")</f>
        <v>0</v>
      </c>
      <c r="F179" s="105">
        <f>IFERROR(lifespans_all!F177*DTE_mission_minutes!F21,"-")</f>
        <v>0</v>
      </c>
      <c r="G179" s="105">
        <f>IFERROR(lifespans_all!G177*DTE_mission_minutes!G21,"-")</f>
        <v>0</v>
      </c>
      <c r="H179" s="105">
        <f>IFERROR(lifespans_all!H177*DTE_mission_minutes!H21,"-")</f>
        <v>0</v>
      </c>
      <c r="I179" s="105">
        <f>IFERROR(lifespans_all!I177*DTE_mission_minutes!I21,"-")</f>
        <v>0</v>
      </c>
      <c r="J179" s="105">
        <f>IFERROR(lifespans_all!J177*DTE_mission_minutes!J21,"-")</f>
        <v>0</v>
      </c>
      <c r="K179" s="105">
        <f>IFERROR(lifespans_all!K177*DTE_mission_minutes!K21,"-")</f>
        <v>0</v>
      </c>
      <c r="L179" s="105">
        <f>IFERROR(lifespans_all!L177*DTE_mission_minutes!L21,"-")</f>
        <v>0</v>
      </c>
      <c r="M179" s="105">
        <f>IFERROR(lifespans_all!M177*DTE_mission_minutes!M21,"-")</f>
        <v>0</v>
      </c>
      <c r="N179" s="105">
        <f>IFERROR(lifespans_all!N177*DTE_mission_minutes!N21,"-")</f>
        <v>0</v>
      </c>
      <c r="O179" s="105">
        <f>IFERROR(lifespans_all!O177*DTE_mission_minutes!O21,"-")</f>
        <v>0</v>
      </c>
      <c r="P179" s="105">
        <f>IFERROR(lifespans_all!P177*DTE_mission_minutes!P21,"-")</f>
        <v>0</v>
      </c>
      <c r="Q179" s="105">
        <f>IFERROR(lifespans_all!Q177*DTE_mission_minutes!Q21,"-")</f>
        <v>0</v>
      </c>
      <c r="R179" s="105">
        <f>IFERROR(lifespans_all!R177*DTE_mission_minutes!R21,"-")</f>
        <v>0</v>
      </c>
      <c r="S179" s="105">
        <f>IFERROR(lifespans_all!S177*DTE_mission_minutes!S21,"-")</f>
        <v>0</v>
      </c>
      <c r="T179" s="105">
        <f>IFERROR(lifespans_all!T177*DTE_mission_minutes!T21,"-")</f>
        <v>0</v>
      </c>
      <c r="U179" s="105">
        <f>IFERROR(lifespans_all!U177*DTE_mission_minutes!U21,"-")</f>
        <v>0</v>
      </c>
      <c r="V179" s="105">
        <f>IFERROR(lifespans_all!V177*DTE_mission_minutes!V21,"-")</f>
        <v>0</v>
      </c>
    </row>
    <row r="180" spans="1:22" x14ac:dyDescent="0.25">
      <c r="A180" s="29" t="s">
        <v>57</v>
      </c>
      <c r="B180" s="30" t="s">
        <v>41</v>
      </c>
      <c r="C180" s="105">
        <f>IFERROR(lifespans_all!C178*DTE_mission_minutes!C22,"-")</f>
        <v>133409.35004928565</v>
      </c>
      <c r="D180" s="105">
        <f>IFERROR(lifespans_all!D178*DTE_mission_minutes!D22,"-")</f>
        <v>133409.35004928565</v>
      </c>
      <c r="E180" s="105">
        <f>IFERROR(lifespans_all!E178*DTE_mission_minutes!E22,"-")</f>
        <v>133409.35004928565</v>
      </c>
      <c r="F180" s="105">
        <f>IFERROR(lifespans_all!F178*DTE_mission_minutes!F22,"-")</f>
        <v>133409.35004928565</v>
      </c>
      <c r="G180" s="105">
        <f>IFERROR(lifespans_all!G178*DTE_mission_minutes!G22,"-")</f>
        <v>133409.35004928565</v>
      </c>
      <c r="H180" s="105">
        <f>IFERROR(lifespans_all!H178*DTE_mission_minutes!H22,"-")</f>
        <v>0</v>
      </c>
      <c r="I180" s="105">
        <f>IFERROR(lifespans_all!I178*DTE_mission_minutes!I22,"-")</f>
        <v>0</v>
      </c>
      <c r="J180" s="105">
        <f>IFERROR(lifespans_all!J178*DTE_mission_minutes!J22,"-")</f>
        <v>0</v>
      </c>
      <c r="K180" s="105">
        <f>IFERROR(lifespans_all!K178*DTE_mission_minutes!K22,"-")</f>
        <v>0</v>
      </c>
      <c r="L180" s="105">
        <f>IFERROR(lifespans_all!L178*DTE_mission_minutes!L22,"-")</f>
        <v>0</v>
      </c>
      <c r="M180" s="105">
        <f>IFERROR(lifespans_all!M178*DTE_mission_minutes!M22,"-")</f>
        <v>0</v>
      </c>
      <c r="N180" s="105">
        <f>IFERROR(lifespans_all!N178*DTE_mission_minutes!N22,"-")</f>
        <v>0</v>
      </c>
      <c r="O180" s="105">
        <f>IFERROR(lifespans_all!O178*DTE_mission_minutes!O22,"-")</f>
        <v>0</v>
      </c>
      <c r="P180" s="105">
        <f>IFERROR(lifespans_all!P178*DTE_mission_minutes!P22,"-")</f>
        <v>0</v>
      </c>
      <c r="Q180" s="105">
        <f>IFERROR(lifespans_all!Q178*DTE_mission_minutes!Q22,"-")</f>
        <v>0</v>
      </c>
      <c r="R180" s="105">
        <f>IFERROR(lifespans_all!R178*DTE_mission_minutes!R22,"-")</f>
        <v>0</v>
      </c>
      <c r="S180" s="105">
        <f>IFERROR(lifespans_all!S178*DTE_mission_minutes!S22,"-")</f>
        <v>0</v>
      </c>
      <c r="T180" s="105">
        <f>IFERROR(lifespans_all!T178*DTE_mission_minutes!T22,"-")</f>
        <v>0</v>
      </c>
      <c r="U180" s="105">
        <f>IFERROR(lifespans_all!U178*DTE_mission_minutes!U22,"-")</f>
        <v>0</v>
      </c>
      <c r="V180" s="105">
        <f>IFERROR(lifespans_all!V178*DTE_mission_minutes!V22,"-")</f>
        <v>0</v>
      </c>
    </row>
    <row r="181" spans="1:22" x14ac:dyDescent="0.25">
      <c r="A181" s="29" t="s">
        <v>22</v>
      </c>
      <c r="B181" s="30" t="s">
        <v>41</v>
      </c>
      <c r="C181" s="105">
        <f>IFERROR(lifespans_all!C179*DTE_mission_minutes!C23,"-")</f>
        <v>21.986611111111113</v>
      </c>
      <c r="D181" s="105">
        <f>IFERROR(lifespans_all!D179*DTE_mission_minutes!D23,"-")</f>
        <v>1.1333333333333333</v>
      </c>
      <c r="E181" s="105">
        <f>IFERROR(lifespans_all!E179*DTE_mission_minutes!E23,"-")</f>
        <v>3.7333333333333334</v>
      </c>
      <c r="F181" s="105">
        <f>IFERROR(lifespans_all!F179*DTE_mission_minutes!F23,"-")</f>
        <v>23.303841111111115</v>
      </c>
      <c r="G181" s="105">
        <f>IFERROR(lifespans_all!G179*DTE_mission_minutes!G23,"-")</f>
        <v>0</v>
      </c>
      <c r="H181" s="105">
        <f>IFERROR(lifespans_all!H179*DTE_mission_minutes!H23,"-")</f>
        <v>0</v>
      </c>
      <c r="I181" s="105">
        <f>IFERROR(lifespans_all!I179*DTE_mission_minutes!I23,"-")</f>
        <v>0</v>
      </c>
      <c r="J181" s="105">
        <f>IFERROR(lifespans_all!J179*DTE_mission_minutes!J23,"-")</f>
        <v>0</v>
      </c>
      <c r="K181" s="105">
        <f>IFERROR(lifespans_all!K179*DTE_mission_minutes!K23,"-")</f>
        <v>0</v>
      </c>
      <c r="L181" s="105">
        <f>IFERROR(lifespans_all!L179*DTE_mission_minutes!L23,"-")</f>
        <v>0</v>
      </c>
      <c r="M181" s="105">
        <f>IFERROR(lifespans_all!M179*DTE_mission_minutes!M23,"-")</f>
        <v>0</v>
      </c>
      <c r="N181" s="105">
        <f>IFERROR(lifespans_all!N179*DTE_mission_minutes!N23,"-")</f>
        <v>0</v>
      </c>
      <c r="O181" s="105">
        <f>IFERROR(lifespans_all!O179*DTE_mission_minutes!O23,"-")</f>
        <v>0</v>
      </c>
      <c r="P181" s="105">
        <f>IFERROR(lifespans_all!P179*DTE_mission_minutes!P23,"-")</f>
        <v>0</v>
      </c>
      <c r="Q181" s="105">
        <f>IFERROR(lifespans_all!Q179*DTE_mission_minutes!Q23,"-")</f>
        <v>0</v>
      </c>
      <c r="R181" s="105">
        <f>IFERROR(lifespans_all!R179*DTE_mission_minutes!R23,"-")</f>
        <v>0</v>
      </c>
      <c r="S181" s="105">
        <f>IFERROR(lifespans_all!S179*DTE_mission_minutes!S23,"-")</f>
        <v>0</v>
      </c>
      <c r="T181" s="105">
        <f>IFERROR(lifespans_all!T179*DTE_mission_minutes!T23,"-")</f>
        <v>0</v>
      </c>
      <c r="U181" s="105">
        <f>IFERROR(lifespans_all!U179*DTE_mission_minutes!U23,"-")</f>
        <v>0</v>
      </c>
      <c r="V181" s="105">
        <f>IFERROR(lifespans_all!V179*DTE_mission_minutes!V23,"-")</f>
        <v>0</v>
      </c>
    </row>
    <row r="182" spans="1:22" x14ac:dyDescent="0.25">
      <c r="A182" s="100" t="s">
        <v>23</v>
      </c>
      <c r="B182" s="101" t="s">
        <v>43</v>
      </c>
      <c r="C182" s="105">
        <f>IFERROR(lifespans_all!C180*DTE_mission_minutes!C24,"-")</f>
        <v>7757.52</v>
      </c>
      <c r="D182" s="105">
        <f>IFERROR(lifespans_all!D180*DTE_mission_minutes!D24,"-")</f>
        <v>7884.0724999999993</v>
      </c>
      <c r="E182" s="105">
        <f>IFERROR(lifespans_all!E180*DTE_mission_minutes!E24,"-")</f>
        <v>7411.0455555555554</v>
      </c>
      <c r="F182" s="105">
        <f>IFERROR(lifespans_all!F180*DTE_mission_minutes!F24,"-")</f>
        <v>7749.4853583333334</v>
      </c>
      <c r="G182" s="105">
        <f>IFERROR(lifespans_all!G180*DTE_mission_minutes!G24,"-")</f>
        <v>7749.4853583333334</v>
      </c>
      <c r="H182" s="105">
        <f>IFERROR(lifespans_all!H180*DTE_mission_minutes!H24,"-")</f>
        <v>7749.4853583333334</v>
      </c>
      <c r="I182" s="105">
        <f>IFERROR(lifespans_all!I180*DTE_mission_minutes!I24,"-")</f>
        <v>7749.4853583333334</v>
      </c>
      <c r="J182" s="105">
        <f>IFERROR(lifespans_all!J180*DTE_mission_minutes!J24,"-")</f>
        <v>7749.4853583333334</v>
      </c>
      <c r="K182" s="105">
        <f>IFERROR(lifespans_all!K180*DTE_mission_minutes!K24,"-")</f>
        <v>7749.4853583333334</v>
      </c>
      <c r="L182" s="105">
        <f>IFERROR(lifespans_all!L180*DTE_mission_minutes!L24,"-")</f>
        <v>7749.4853583333334</v>
      </c>
      <c r="M182" s="105">
        <f>IFERROR(lifespans_all!M180*DTE_mission_minutes!M24,"-")</f>
        <v>0</v>
      </c>
      <c r="N182" s="105">
        <f>IFERROR(lifespans_all!N180*DTE_mission_minutes!N24,"-")</f>
        <v>0</v>
      </c>
      <c r="O182" s="105">
        <f>IFERROR(lifespans_all!O180*DTE_mission_minutes!O24,"-")</f>
        <v>0</v>
      </c>
      <c r="P182" s="105">
        <f>IFERROR(lifespans_all!P180*DTE_mission_minutes!P24,"-")</f>
        <v>0</v>
      </c>
      <c r="Q182" s="105">
        <f>IFERROR(lifespans_all!Q180*DTE_mission_minutes!Q24,"-")</f>
        <v>0</v>
      </c>
      <c r="R182" s="105">
        <f>IFERROR(lifespans_all!R180*DTE_mission_minutes!R24,"-")</f>
        <v>0</v>
      </c>
      <c r="S182" s="105">
        <f>IFERROR(lifespans_all!S180*DTE_mission_minutes!S24,"-")</f>
        <v>0</v>
      </c>
      <c r="T182" s="105">
        <f>IFERROR(lifespans_all!T180*DTE_mission_minutes!T24,"-")</f>
        <v>0</v>
      </c>
      <c r="U182" s="105">
        <f>IFERROR(lifespans_all!U180*DTE_mission_minutes!U24,"-")</f>
        <v>0</v>
      </c>
      <c r="V182" s="105">
        <f>IFERROR(lifespans_all!V180*DTE_mission_minutes!V24,"-")</f>
        <v>0</v>
      </c>
    </row>
    <row r="183" spans="1:22" x14ac:dyDescent="0.25">
      <c r="A183" s="29" t="s">
        <v>25</v>
      </c>
      <c r="B183" s="30" t="s">
        <v>44</v>
      </c>
      <c r="C183" s="105">
        <f>IFERROR(lifespans_all!C181*DTE_mission_minutes!C25,"-")</f>
        <v>0</v>
      </c>
      <c r="D183" s="105">
        <f>IFERROR(lifespans_all!D181*DTE_mission_minutes!D25,"-")</f>
        <v>0</v>
      </c>
      <c r="E183" s="105">
        <f>IFERROR(lifespans_all!E181*DTE_mission_minutes!E25,"-")</f>
        <v>0</v>
      </c>
      <c r="F183" s="105">
        <f>IFERROR(lifespans_all!F181*DTE_mission_minutes!F25,"-")</f>
        <v>0</v>
      </c>
      <c r="G183" s="105">
        <f>IFERROR(lifespans_all!G181*DTE_mission_minutes!G25,"-")</f>
        <v>0</v>
      </c>
      <c r="H183" s="105">
        <f>IFERROR(lifespans_all!H181*DTE_mission_minutes!H25,"-")</f>
        <v>0</v>
      </c>
      <c r="I183" s="105">
        <f>IFERROR(lifespans_all!I181*DTE_mission_minutes!I25,"-")</f>
        <v>0</v>
      </c>
      <c r="J183" s="105">
        <f>IFERROR(lifespans_all!J181*DTE_mission_minutes!J25,"-")</f>
        <v>0</v>
      </c>
      <c r="K183" s="105">
        <f>IFERROR(lifespans_all!K181*DTE_mission_minutes!K25,"-")</f>
        <v>0</v>
      </c>
      <c r="L183" s="105">
        <f>IFERROR(lifespans_all!L181*DTE_mission_minutes!L25,"-")</f>
        <v>0</v>
      </c>
      <c r="M183" s="105">
        <f>IFERROR(lifespans_all!M181*DTE_mission_minutes!M25,"-")</f>
        <v>0</v>
      </c>
      <c r="N183" s="105">
        <f>IFERROR(lifespans_all!N181*DTE_mission_minutes!N25,"-")</f>
        <v>0</v>
      </c>
      <c r="O183" s="105">
        <f>IFERROR(lifespans_all!O181*DTE_mission_minutes!O25,"-")</f>
        <v>0</v>
      </c>
      <c r="P183" s="105">
        <f>IFERROR(lifespans_all!P181*DTE_mission_minutes!P25,"-")</f>
        <v>0</v>
      </c>
      <c r="Q183" s="105">
        <f>IFERROR(lifespans_all!Q181*DTE_mission_minutes!Q25,"-")</f>
        <v>0</v>
      </c>
      <c r="R183" s="105">
        <f>IFERROR(lifespans_all!R181*DTE_mission_minutes!R25,"-")</f>
        <v>0</v>
      </c>
      <c r="S183" s="105">
        <f>IFERROR(lifespans_all!S181*DTE_mission_minutes!S25,"-")</f>
        <v>0</v>
      </c>
      <c r="T183" s="105">
        <f>IFERROR(lifespans_all!T181*DTE_mission_minutes!T25,"-")</f>
        <v>0</v>
      </c>
      <c r="U183" s="105">
        <f>IFERROR(lifespans_all!U181*DTE_mission_minutes!U25,"-")</f>
        <v>0</v>
      </c>
      <c r="V183" s="105">
        <f>IFERROR(lifespans_all!V181*DTE_mission_minutes!V25,"-")</f>
        <v>0</v>
      </c>
    </row>
    <row r="184" spans="1:22" x14ac:dyDescent="0.25">
      <c r="A184" s="29" t="s">
        <v>58</v>
      </c>
      <c r="B184" s="30" t="s">
        <v>41</v>
      </c>
      <c r="C184" s="105">
        <f>IFERROR(lifespans_all!C182*DTE_mission_minutes!C26,"-")</f>
        <v>133409.35004928565</v>
      </c>
      <c r="D184" s="105">
        <f>IFERROR(lifespans_all!D182*DTE_mission_minutes!D26,"-")</f>
        <v>0</v>
      </c>
      <c r="E184" s="105">
        <f>IFERROR(lifespans_all!E182*DTE_mission_minutes!E26,"-")</f>
        <v>0</v>
      </c>
      <c r="F184" s="105">
        <f>IFERROR(lifespans_all!F182*DTE_mission_minutes!F26,"-")</f>
        <v>0</v>
      </c>
      <c r="G184" s="105">
        <f>IFERROR(lifespans_all!G182*DTE_mission_minutes!G26,"-")</f>
        <v>0</v>
      </c>
      <c r="H184" s="105">
        <f>IFERROR(lifespans_all!H182*DTE_mission_minutes!H26,"-")</f>
        <v>0</v>
      </c>
      <c r="I184" s="105">
        <f>IFERROR(lifespans_all!I182*DTE_mission_minutes!I26,"-")</f>
        <v>0</v>
      </c>
      <c r="J184" s="105">
        <f>IFERROR(lifespans_all!J182*DTE_mission_minutes!J26,"-")</f>
        <v>0</v>
      </c>
      <c r="K184" s="105">
        <f>IFERROR(lifespans_all!K182*DTE_mission_minutes!K26,"-")</f>
        <v>0</v>
      </c>
      <c r="L184" s="105">
        <f>IFERROR(lifespans_all!L182*DTE_mission_minutes!L26,"-")</f>
        <v>0</v>
      </c>
      <c r="M184" s="105">
        <f>IFERROR(lifespans_all!M182*DTE_mission_minutes!M26,"-")</f>
        <v>0</v>
      </c>
      <c r="N184" s="105">
        <f>IFERROR(lifespans_all!N182*DTE_mission_minutes!N26,"-")</f>
        <v>0</v>
      </c>
      <c r="O184" s="105">
        <f>IFERROR(lifespans_all!O182*DTE_mission_minutes!O26,"-")</f>
        <v>0</v>
      </c>
      <c r="P184" s="105">
        <f>IFERROR(lifespans_all!P182*DTE_mission_minutes!P26,"-")</f>
        <v>0</v>
      </c>
      <c r="Q184" s="105">
        <f>IFERROR(lifespans_all!Q182*DTE_mission_minutes!Q26,"-")</f>
        <v>0</v>
      </c>
      <c r="R184" s="105">
        <f>IFERROR(lifespans_all!R182*DTE_mission_minutes!R26,"-")</f>
        <v>0</v>
      </c>
      <c r="S184" s="105">
        <f>IFERROR(lifespans_all!S182*DTE_mission_minutes!S26,"-")</f>
        <v>0</v>
      </c>
      <c r="T184" s="105">
        <f>IFERROR(lifespans_all!T182*DTE_mission_minutes!T26,"-")</f>
        <v>0</v>
      </c>
      <c r="U184" s="105">
        <f>IFERROR(lifespans_all!U182*DTE_mission_minutes!U26,"-")</f>
        <v>0</v>
      </c>
      <c r="V184" s="105">
        <f>IFERROR(lifespans_all!V182*DTE_mission_minutes!V26,"-")</f>
        <v>0</v>
      </c>
    </row>
    <row r="185" spans="1:22" x14ac:dyDescent="0.25">
      <c r="A185" s="29" t="s">
        <v>59</v>
      </c>
      <c r="B185" s="30" t="s">
        <v>41</v>
      </c>
      <c r="C185" s="105">
        <f>IFERROR(lifespans_all!C183*DTE_mission_minutes!C27,"-")</f>
        <v>133409.35004928565</v>
      </c>
      <c r="D185" s="105">
        <f>IFERROR(lifespans_all!D183*DTE_mission_minutes!D27,"-")</f>
        <v>133409.35004928565</v>
      </c>
      <c r="E185" s="105">
        <f>IFERROR(lifespans_all!E183*DTE_mission_minutes!E27,"-")</f>
        <v>133409.35004928565</v>
      </c>
      <c r="F185" s="105">
        <f>IFERROR(lifespans_all!F183*DTE_mission_minutes!F27,"-")</f>
        <v>0</v>
      </c>
      <c r="G185" s="105">
        <f>IFERROR(lifespans_all!G183*DTE_mission_minutes!G27,"-")</f>
        <v>0</v>
      </c>
      <c r="H185" s="105">
        <f>IFERROR(lifespans_all!H183*DTE_mission_minutes!H27,"-")</f>
        <v>0</v>
      </c>
      <c r="I185" s="105">
        <f>IFERROR(lifespans_all!I183*DTE_mission_minutes!I27,"-")</f>
        <v>0</v>
      </c>
      <c r="J185" s="105">
        <f>IFERROR(lifespans_all!J183*DTE_mission_minutes!J27,"-")</f>
        <v>0</v>
      </c>
      <c r="K185" s="105">
        <f>IFERROR(lifespans_all!K183*DTE_mission_minutes!K27,"-")</f>
        <v>0</v>
      </c>
      <c r="L185" s="105">
        <f>IFERROR(lifespans_all!L183*DTE_mission_minutes!L27,"-")</f>
        <v>0</v>
      </c>
      <c r="M185" s="105">
        <f>IFERROR(lifespans_all!M183*DTE_mission_minutes!M27,"-")</f>
        <v>0</v>
      </c>
      <c r="N185" s="105">
        <f>IFERROR(lifespans_all!N183*DTE_mission_minutes!N27,"-")</f>
        <v>0</v>
      </c>
      <c r="O185" s="105">
        <f>IFERROR(lifespans_all!O183*DTE_mission_minutes!O27,"-")</f>
        <v>0</v>
      </c>
      <c r="P185" s="105">
        <f>IFERROR(lifespans_all!P183*DTE_mission_minutes!P27,"-")</f>
        <v>0</v>
      </c>
      <c r="Q185" s="105">
        <f>IFERROR(lifespans_all!Q183*DTE_mission_minutes!Q27,"-")</f>
        <v>0</v>
      </c>
      <c r="R185" s="105">
        <f>IFERROR(lifespans_all!R183*DTE_mission_minutes!R27,"-")</f>
        <v>0</v>
      </c>
      <c r="S185" s="105">
        <f>IFERROR(lifespans_all!S183*DTE_mission_minutes!S27,"-")</f>
        <v>0</v>
      </c>
      <c r="T185" s="105">
        <f>IFERROR(lifespans_all!T183*DTE_mission_minutes!T27,"-")</f>
        <v>0</v>
      </c>
      <c r="U185" s="105">
        <f>IFERROR(lifespans_all!U183*DTE_mission_minutes!U27,"-")</f>
        <v>0</v>
      </c>
      <c r="V185" s="105">
        <f>IFERROR(lifespans_all!V183*DTE_mission_minutes!V27,"-")</f>
        <v>0</v>
      </c>
    </row>
    <row r="186" spans="1:22" x14ac:dyDescent="0.25">
      <c r="A186" s="29" t="s">
        <v>60</v>
      </c>
      <c r="B186" s="30" t="s">
        <v>41</v>
      </c>
      <c r="C186" s="105">
        <f>IFERROR(lifespans_all!C184*DTE_mission_minutes!C28,"-")</f>
        <v>133409.35004928565</v>
      </c>
      <c r="D186" s="105">
        <f>IFERROR(lifespans_all!D184*DTE_mission_minutes!D28,"-")</f>
        <v>133409.35004928565</v>
      </c>
      <c r="E186" s="105">
        <f>IFERROR(lifespans_all!E184*DTE_mission_minutes!E28,"-")</f>
        <v>133409.35004928565</v>
      </c>
      <c r="F186" s="105">
        <f>IFERROR(lifespans_all!F184*DTE_mission_minutes!F28,"-")</f>
        <v>133409.35004928565</v>
      </c>
      <c r="G186" s="105">
        <f>IFERROR(lifespans_all!G184*DTE_mission_minutes!G28,"-")</f>
        <v>133409.35004928565</v>
      </c>
      <c r="H186" s="105">
        <f>IFERROR(lifespans_all!H184*DTE_mission_minutes!H28,"-")</f>
        <v>133409.35004928565</v>
      </c>
      <c r="I186" s="105">
        <f>IFERROR(lifespans_all!I184*DTE_mission_minutes!I28,"-")</f>
        <v>0</v>
      </c>
      <c r="J186" s="105">
        <f>IFERROR(lifespans_all!J184*DTE_mission_minutes!J28,"-")</f>
        <v>0</v>
      </c>
      <c r="K186" s="105">
        <f>IFERROR(lifespans_all!K184*DTE_mission_minutes!K28,"-")</f>
        <v>0</v>
      </c>
      <c r="L186" s="105">
        <f>IFERROR(lifespans_all!L184*DTE_mission_minutes!L28,"-")</f>
        <v>0</v>
      </c>
      <c r="M186" s="105">
        <f>IFERROR(lifespans_all!M184*DTE_mission_minutes!M28,"-")</f>
        <v>0</v>
      </c>
      <c r="N186" s="105">
        <f>IFERROR(lifespans_all!N184*DTE_mission_minutes!N28,"-")</f>
        <v>0</v>
      </c>
      <c r="O186" s="105">
        <f>IFERROR(lifespans_all!O184*DTE_mission_minutes!O28,"-")</f>
        <v>0</v>
      </c>
      <c r="P186" s="105">
        <f>IFERROR(lifespans_all!P184*DTE_mission_minutes!P28,"-")</f>
        <v>0</v>
      </c>
      <c r="Q186" s="105">
        <f>IFERROR(lifespans_all!Q184*DTE_mission_minutes!Q28,"-")</f>
        <v>0</v>
      </c>
      <c r="R186" s="105">
        <f>IFERROR(lifespans_all!R184*DTE_mission_minutes!R28,"-")</f>
        <v>0</v>
      </c>
      <c r="S186" s="105">
        <f>IFERROR(lifespans_all!S184*DTE_mission_minutes!S28,"-")</f>
        <v>0</v>
      </c>
      <c r="T186" s="105">
        <f>IFERROR(lifespans_all!T184*DTE_mission_minutes!T28,"-")</f>
        <v>0</v>
      </c>
      <c r="U186" s="105">
        <f>IFERROR(lifespans_all!U184*DTE_mission_minutes!U28,"-")</f>
        <v>0</v>
      </c>
      <c r="V186" s="105">
        <f>IFERROR(lifespans_all!V184*DTE_mission_minutes!V28,"-")</f>
        <v>0</v>
      </c>
    </row>
    <row r="187" spans="1:22" x14ac:dyDescent="0.25">
      <c r="A187" s="29" t="s">
        <v>26</v>
      </c>
      <c r="B187" s="37" t="s">
        <v>45</v>
      </c>
      <c r="C187" s="105">
        <f>IFERROR(lifespans_all!C185*DTE_mission_minutes!C29,"-")</f>
        <v>89453.837836666688</v>
      </c>
      <c r="D187" s="105">
        <f>IFERROR(lifespans_all!D185*DTE_mission_minutes!D29,"-")</f>
        <v>89453.837836666688</v>
      </c>
      <c r="E187" s="105">
        <f>IFERROR(lifespans_all!E185*DTE_mission_minutes!E29,"-")</f>
        <v>89453.837836666688</v>
      </c>
      <c r="F187" s="105">
        <f>IFERROR(lifespans_all!F185*DTE_mission_minutes!F29,"-")</f>
        <v>89453.837836666688</v>
      </c>
      <c r="G187" s="105">
        <f>IFERROR(lifespans_all!G185*DTE_mission_minutes!G29,"-")</f>
        <v>89453.837836666688</v>
      </c>
      <c r="H187" s="105">
        <f>IFERROR(lifespans_all!H185*DTE_mission_minutes!H29,"-")</f>
        <v>89453.837836666688</v>
      </c>
      <c r="I187" s="105">
        <f>IFERROR(lifespans_all!I185*DTE_mission_minutes!I29,"-")</f>
        <v>89453.837836666688</v>
      </c>
      <c r="J187" s="105">
        <f>IFERROR(lifespans_all!J185*DTE_mission_minutes!J29,"-")</f>
        <v>89453.837836666688</v>
      </c>
      <c r="K187" s="105">
        <f>IFERROR(lifespans_all!K185*DTE_mission_minutes!K29,"-")</f>
        <v>89453.837836666688</v>
      </c>
      <c r="L187" s="105">
        <f>IFERROR(lifespans_all!L185*DTE_mission_minutes!L29,"-")</f>
        <v>89453.837836666688</v>
      </c>
      <c r="M187" s="105">
        <f>IFERROR(lifespans_all!M185*DTE_mission_minutes!M29,"-")</f>
        <v>89453.837836666688</v>
      </c>
      <c r="N187" s="105">
        <f>IFERROR(lifespans_all!N185*DTE_mission_minutes!N29,"-")</f>
        <v>89453.837836666688</v>
      </c>
      <c r="O187" s="105">
        <f>IFERROR(lifespans_all!O185*DTE_mission_minutes!O29,"-")</f>
        <v>89453.837836666688</v>
      </c>
      <c r="P187" s="105">
        <f>IFERROR(lifespans_all!P185*DTE_mission_minutes!P29,"-")</f>
        <v>89453.837836666688</v>
      </c>
      <c r="Q187" s="105">
        <f>IFERROR(lifespans_all!Q185*DTE_mission_minutes!Q29,"-")</f>
        <v>89453.837836666688</v>
      </c>
      <c r="R187" s="105">
        <f>IFERROR(lifespans_all!R185*DTE_mission_minutes!R29,"-")</f>
        <v>89453.837836666688</v>
      </c>
      <c r="S187" s="105">
        <f>IFERROR(lifespans_all!S185*DTE_mission_minutes!S29,"-")</f>
        <v>89453.837836666688</v>
      </c>
      <c r="T187" s="105">
        <f>IFERROR(lifespans_all!T185*DTE_mission_minutes!T29,"-")</f>
        <v>89453.837836666688</v>
      </c>
      <c r="U187" s="105">
        <f>IFERROR(lifespans_all!U185*DTE_mission_minutes!U29,"-")</f>
        <v>89453.837836666688</v>
      </c>
      <c r="V187" s="105">
        <f>IFERROR(lifespans_all!V185*DTE_mission_minutes!V29,"-")</f>
        <v>89453.837836666688</v>
      </c>
    </row>
    <row r="188" spans="1:22" x14ac:dyDescent="0.25">
      <c r="A188" s="29" t="s">
        <v>61</v>
      </c>
      <c r="B188" s="37" t="s">
        <v>42</v>
      </c>
      <c r="C188" s="105">
        <f>IFERROR(lifespans_all!C186*DTE_mission_minutes!C30,"-")</f>
        <v>721.11352444444435</v>
      </c>
      <c r="D188" s="105">
        <f>IFERROR(lifespans_all!D186*DTE_mission_minutes!D30,"-")</f>
        <v>721.11352444444435</v>
      </c>
      <c r="E188" s="105">
        <f>IFERROR(lifespans_all!E186*DTE_mission_minutes!E30,"-")</f>
        <v>721.11352444444435</v>
      </c>
      <c r="F188" s="105">
        <f>IFERROR(lifespans_all!F186*DTE_mission_minutes!F30,"-")</f>
        <v>721.11352444444435</v>
      </c>
      <c r="G188" s="105">
        <f>IFERROR(lifespans_all!G186*DTE_mission_minutes!G30,"-")</f>
        <v>721.11352444444435</v>
      </c>
      <c r="H188" s="105">
        <f>IFERROR(lifespans_all!H186*DTE_mission_minutes!H30,"-")</f>
        <v>721.11352444444435</v>
      </c>
      <c r="I188" s="105">
        <f>IFERROR(lifespans_all!I186*DTE_mission_minutes!I30,"-")</f>
        <v>721.11352444444435</v>
      </c>
      <c r="J188" s="105">
        <f>IFERROR(lifespans_all!J186*DTE_mission_minutes!J30,"-")</f>
        <v>721.11352444444435</v>
      </c>
      <c r="K188" s="105">
        <f>IFERROR(lifespans_all!K186*DTE_mission_minutes!K30,"-")</f>
        <v>721.11352444444435</v>
      </c>
      <c r="L188" s="105">
        <f>IFERROR(lifespans_all!L186*DTE_mission_minutes!L30,"-")</f>
        <v>721.11352444444435</v>
      </c>
      <c r="M188" s="105">
        <f>IFERROR(lifespans_all!M186*DTE_mission_minutes!M30,"-")</f>
        <v>721.11352444444435</v>
      </c>
      <c r="N188" s="105">
        <f>IFERROR(lifespans_all!N186*DTE_mission_minutes!N30,"-")</f>
        <v>721.11352444444435</v>
      </c>
      <c r="O188" s="105">
        <f>IFERROR(lifespans_all!O186*DTE_mission_minutes!O30,"-")</f>
        <v>721.11352444444435</v>
      </c>
      <c r="P188" s="105">
        <f>IFERROR(lifespans_all!P186*DTE_mission_minutes!P30,"-")</f>
        <v>721.11352444444435</v>
      </c>
      <c r="Q188" s="105">
        <f>IFERROR(lifespans_all!Q186*DTE_mission_minutes!Q30,"-")</f>
        <v>721.11352444444435</v>
      </c>
      <c r="R188" s="105">
        <f>IFERROR(lifespans_all!R186*DTE_mission_minutes!R30,"-")</f>
        <v>721.11352444444435</v>
      </c>
      <c r="S188" s="105">
        <f>IFERROR(lifespans_all!S186*DTE_mission_minutes!S30,"-")</f>
        <v>721.11352444444435</v>
      </c>
      <c r="T188" s="105">
        <f>IFERROR(lifespans_all!T186*DTE_mission_minutes!T30,"-")</f>
        <v>721.11352444444435</v>
      </c>
      <c r="U188" s="105">
        <f>IFERROR(lifespans_all!U186*DTE_mission_minutes!U30,"-")</f>
        <v>721.11352444444435</v>
      </c>
      <c r="V188" s="105">
        <f>IFERROR(lifespans_all!V186*DTE_mission_minutes!V30,"-")</f>
        <v>721.11352444444435</v>
      </c>
    </row>
    <row r="189" spans="1:22" x14ac:dyDescent="0.25">
      <c r="A189" s="29" t="s">
        <v>71</v>
      </c>
      <c r="B189" s="30" t="s">
        <v>40</v>
      </c>
      <c r="C189" s="105">
        <f>IFERROR(lifespans_all!C187*DTE_mission_minutes!C31,"-")</f>
        <v>221.29177222222222</v>
      </c>
      <c r="D189" s="105">
        <f>IFERROR(lifespans_all!D187*DTE_mission_minutes!D31,"-")</f>
        <v>244.03194444444446</v>
      </c>
      <c r="E189" s="105">
        <f>IFERROR(lifespans_all!E187*DTE_mission_minutes!E31,"-")</f>
        <v>0</v>
      </c>
      <c r="F189" s="105">
        <f>IFERROR(lifespans_all!F187*DTE_mission_minutes!F31,"-")</f>
        <v>0</v>
      </c>
      <c r="G189" s="105">
        <f>IFERROR(lifespans_all!G187*DTE_mission_minutes!G31,"-")</f>
        <v>0</v>
      </c>
      <c r="H189" s="105">
        <f>IFERROR(lifespans_all!H187*DTE_mission_minutes!H31,"-")</f>
        <v>0</v>
      </c>
      <c r="I189" s="105">
        <f>IFERROR(lifespans_all!I187*DTE_mission_minutes!I31,"-")</f>
        <v>0</v>
      </c>
      <c r="J189" s="105">
        <f>IFERROR(lifespans_all!J187*DTE_mission_minutes!J31,"-")</f>
        <v>0</v>
      </c>
      <c r="K189" s="105">
        <f>IFERROR(lifespans_all!K187*DTE_mission_minutes!K31,"-")</f>
        <v>0</v>
      </c>
      <c r="L189" s="105">
        <f>IFERROR(lifespans_all!L187*DTE_mission_minutes!L31,"-")</f>
        <v>0</v>
      </c>
      <c r="M189" s="105">
        <f>IFERROR(lifespans_all!M187*DTE_mission_minutes!M31,"-")</f>
        <v>0</v>
      </c>
      <c r="N189" s="105">
        <f>IFERROR(lifespans_all!N187*DTE_mission_minutes!N31,"-")</f>
        <v>0</v>
      </c>
      <c r="O189" s="105">
        <f>IFERROR(lifespans_all!O187*DTE_mission_minutes!O31,"-")</f>
        <v>0</v>
      </c>
      <c r="P189" s="105">
        <f>IFERROR(lifespans_all!P187*DTE_mission_minutes!P31,"-")</f>
        <v>0</v>
      </c>
      <c r="Q189" s="105">
        <f>IFERROR(lifespans_all!Q187*DTE_mission_minutes!Q31,"-")</f>
        <v>0</v>
      </c>
      <c r="R189" s="105">
        <f>IFERROR(lifespans_all!R187*DTE_mission_minutes!R31,"-")</f>
        <v>0</v>
      </c>
      <c r="S189" s="105">
        <f>IFERROR(lifespans_all!S187*DTE_mission_minutes!S31,"-")</f>
        <v>0</v>
      </c>
      <c r="T189" s="105">
        <f>IFERROR(lifespans_all!T187*DTE_mission_minutes!T31,"-")</f>
        <v>0</v>
      </c>
      <c r="U189" s="105">
        <f>IFERROR(lifespans_all!U187*DTE_mission_minutes!U31,"-")</f>
        <v>0</v>
      </c>
      <c r="V189" s="105">
        <f>IFERROR(lifespans_all!V187*DTE_mission_minutes!V31,"-")</f>
        <v>0</v>
      </c>
    </row>
    <row r="190" spans="1:22" x14ac:dyDescent="0.25">
      <c r="A190" s="29" t="s">
        <v>27</v>
      </c>
      <c r="B190" s="37" t="s">
        <v>45</v>
      </c>
      <c r="C190" s="105">
        <f>IFERROR(lifespans_all!C188*DTE_mission_minutes!C32,"-")</f>
        <v>64.996111111111119</v>
      </c>
      <c r="D190" s="105">
        <f>IFERROR(lifespans_all!D188*DTE_mission_minutes!D32,"-")</f>
        <v>0</v>
      </c>
      <c r="E190" s="105">
        <f>IFERROR(lifespans_all!E188*DTE_mission_minutes!E32,"-")</f>
        <v>0</v>
      </c>
      <c r="F190" s="105">
        <f>IFERROR(lifespans_all!F188*DTE_mission_minutes!F32,"-")</f>
        <v>0</v>
      </c>
      <c r="G190" s="105">
        <f>IFERROR(lifespans_all!G188*DTE_mission_minutes!G32,"-")</f>
        <v>0</v>
      </c>
      <c r="H190" s="105">
        <f>IFERROR(lifespans_all!H188*DTE_mission_minutes!H32,"-")</f>
        <v>0</v>
      </c>
      <c r="I190" s="105">
        <f>IFERROR(lifespans_all!I188*DTE_mission_minutes!I32,"-")</f>
        <v>0</v>
      </c>
      <c r="J190" s="105">
        <f>IFERROR(lifespans_all!J188*DTE_mission_minutes!J32,"-")</f>
        <v>0</v>
      </c>
      <c r="K190" s="105">
        <f>IFERROR(lifespans_all!K188*DTE_mission_minutes!K32,"-")</f>
        <v>0</v>
      </c>
      <c r="L190" s="105">
        <f>IFERROR(lifespans_all!L188*DTE_mission_minutes!L32,"-")</f>
        <v>0</v>
      </c>
      <c r="M190" s="105">
        <f>IFERROR(lifespans_all!M188*DTE_mission_minutes!M32,"-")</f>
        <v>0</v>
      </c>
      <c r="N190" s="105">
        <f>IFERROR(lifespans_all!N188*DTE_mission_minutes!N32,"-")</f>
        <v>0</v>
      </c>
      <c r="O190" s="105">
        <f>IFERROR(lifespans_all!O188*DTE_mission_minutes!O32,"-")</f>
        <v>0</v>
      </c>
      <c r="P190" s="105">
        <f>IFERROR(lifespans_all!P188*DTE_mission_minutes!P32,"-")</f>
        <v>0</v>
      </c>
      <c r="Q190" s="105">
        <f>IFERROR(lifespans_all!Q188*DTE_mission_minutes!Q32,"-")</f>
        <v>0</v>
      </c>
      <c r="R190" s="105">
        <f>IFERROR(lifespans_all!R188*DTE_mission_minutes!R32,"-")</f>
        <v>0</v>
      </c>
      <c r="S190" s="105">
        <f>IFERROR(lifespans_all!S188*DTE_mission_minutes!S32,"-")</f>
        <v>0</v>
      </c>
      <c r="T190" s="105">
        <f>IFERROR(lifespans_all!T188*DTE_mission_minutes!T32,"-")</f>
        <v>0</v>
      </c>
      <c r="U190" s="105">
        <f>IFERROR(lifespans_all!U188*DTE_mission_minutes!U32,"-")</f>
        <v>0</v>
      </c>
      <c r="V190" s="105">
        <f>IFERROR(lifespans_all!V188*DTE_mission_minutes!V32,"-")</f>
        <v>0</v>
      </c>
    </row>
    <row r="191" spans="1:22" x14ac:dyDescent="0.25">
      <c r="A191" s="29" t="s">
        <v>39</v>
      </c>
      <c r="B191" s="30" t="s">
        <v>41</v>
      </c>
      <c r="C191" s="105">
        <f>IFERROR(lifespans_all!C189*DTE_mission_minutes!C33,"-")</f>
        <v>575.81194444444441</v>
      </c>
      <c r="D191" s="105">
        <f>IFERROR(lifespans_all!D189*DTE_mission_minutes!D33,"-")</f>
        <v>580.59861111111104</v>
      </c>
      <c r="E191" s="105">
        <f>IFERROR(lifespans_all!E189*DTE_mission_minutes!E33,"-")</f>
        <v>499.24888888888893</v>
      </c>
      <c r="F191" s="105">
        <f>IFERROR(lifespans_all!F189*DTE_mission_minutes!F33,"-")</f>
        <v>565.82727777777768</v>
      </c>
      <c r="G191" s="105">
        <f>IFERROR(lifespans_all!G189*DTE_mission_minutes!G33,"-")</f>
        <v>0</v>
      </c>
      <c r="H191" s="105">
        <f>IFERROR(lifespans_all!H189*DTE_mission_minutes!H33,"-")</f>
        <v>0</v>
      </c>
      <c r="I191" s="105">
        <f>IFERROR(lifespans_all!I189*DTE_mission_minutes!I33,"-")</f>
        <v>0</v>
      </c>
      <c r="J191" s="105">
        <f>IFERROR(lifespans_all!J189*DTE_mission_minutes!J33,"-")</f>
        <v>0</v>
      </c>
      <c r="K191" s="105">
        <f>IFERROR(lifespans_all!K189*DTE_mission_minutes!K33,"-")</f>
        <v>0</v>
      </c>
      <c r="L191" s="105">
        <f>IFERROR(lifespans_all!L189*DTE_mission_minutes!L33,"-")</f>
        <v>0</v>
      </c>
      <c r="M191" s="105">
        <f>IFERROR(lifespans_all!M189*DTE_mission_minutes!M33,"-")</f>
        <v>0</v>
      </c>
      <c r="N191" s="105">
        <f>IFERROR(lifespans_all!N189*DTE_mission_minutes!N33,"-")</f>
        <v>0</v>
      </c>
      <c r="O191" s="105">
        <f>IFERROR(lifespans_all!O189*DTE_mission_minutes!O33,"-")</f>
        <v>0</v>
      </c>
      <c r="P191" s="105">
        <f>IFERROR(lifespans_all!P189*DTE_mission_minutes!P33,"-")</f>
        <v>0</v>
      </c>
      <c r="Q191" s="105">
        <f>IFERROR(lifespans_all!Q189*DTE_mission_minutes!Q33,"-")</f>
        <v>0</v>
      </c>
      <c r="R191" s="105">
        <f>IFERROR(lifespans_all!R189*DTE_mission_minutes!R33,"-")</f>
        <v>0</v>
      </c>
      <c r="S191" s="105">
        <f>IFERROR(lifespans_all!S189*DTE_mission_minutes!S33,"-")</f>
        <v>0</v>
      </c>
      <c r="T191" s="105">
        <f>IFERROR(lifespans_all!T189*DTE_mission_minutes!T33,"-")</f>
        <v>0</v>
      </c>
      <c r="U191" s="105">
        <f>IFERROR(lifespans_all!U189*DTE_mission_minutes!U33,"-")</f>
        <v>0</v>
      </c>
      <c r="V191" s="105">
        <f>IFERROR(lifespans_all!V189*DTE_mission_minutes!V33,"-")</f>
        <v>0</v>
      </c>
    </row>
    <row r="192" spans="1:22" x14ac:dyDescent="0.25">
      <c r="A192" s="29" t="s">
        <v>28</v>
      </c>
      <c r="B192" s="29"/>
      <c r="C192" s="105" t="str">
        <f>IFERROR(lifespans_all!C190*DTE_mission_minutes!C34,"-")</f>
        <v>-</v>
      </c>
      <c r="D192" s="105" t="str">
        <f>IFERROR(lifespans_all!D190*DTE_mission_minutes!D34,"-")</f>
        <v>-</v>
      </c>
      <c r="E192" s="105" t="str">
        <f>IFERROR(lifespans_all!E190*DTE_mission_minutes!E34,"-")</f>
        <v>-</v>
      </c>
      <c r="F192" s="105" t="str">
        <f>IFERROR(lifespans_all!F190*DTE_mission_minutes!F34,"-")</f>
        <v>-</v>
      </c>
      <c r="G192" s="105" t="str">
        <f>IFERROR(lifespans_all!G190*DTE_mission_minutes!G34,"-")</f>
        <v>-</v>
      </c>
      <c r="H192" s="105" t="str">
        <f>IFERROR(lifespans_all!H190*DTE_mission_minutes!H34,"-")</f>
        <v>-</v>
      </c>
      <c r="I192" s="105" t="str">
        <f>IFERROR(lifespans_all!I190*DTE_mission_minutes!I34,"-")</f>
        <v>-</v>
      </c>
      <c r="J192" s="105" t="str">
        <f>IFERROR(lifespans_all!J190*DTE_mission_minutes!J34,"-")</f>
        <v>-</v>
      </c>
      <c r="K192" s="105" t="str">
        <f>IFERROR(lifespans_all!K190*DTE_mission_minutes!K34,"-")</f>
        <v>-</v>
      </c>
      <c r="L192" s="105" t="str">
        <f>IFERROR(lifespans_all!L190*DTE_mission_minutes!L34,"-")</f>
        <v>-</v>
      </c>
      <c r="M192" s="105" t="str">
        <f>IFERROR(lifespans_all!M190*DTE_mission_minutes!M34,"-")</f>
        <v>-</v>
      </c>
      <c r="N192" s="105" t="str">
        <f>IFERROR(lifespans_all!N190*DTE_mission_minutes!N34,"-")</f>
        <v>-</v>
      </c>
      <c r="O192" s="105" t="str">
        <f>IFERROR(lifespans_all!O190*DTE_mission_minutes!O34,"-")</f>
        <v>-</v>
      </c>
      <c r="P192" s="105" t="str">
        <f>IFERROR(lifespans_all!P190*DTE_mission_minutes!P34,"-")</f>
        <v>-</v>
      </c>
      <c r="Q192" s="105" t="str">
        <f>IFERROR(lifespans_all!Q190*DTE_mission_minutes!Q34,"-")</f>
        <v>-</v>
      </c>
      <c r="R192" s="105" t="str">
        <f>IFERROR(lifespans_all!R190*DTE_mission_minutes!R34,"-")</f>
        <v>-</v>
      </c>
      <c r="S192" s="105" t="str">
        <f>IFERROR(lifespans_all!S190*DTE_mission_minutes!S34,"-")</f>
        <v>-</v>
      </c>
      <c r="T192" s="105" t="str">
        <f>IFERROR(lifespans_all!T190*DTE_mission_minutes!T34,"-")</f>
        <v>-</v>
      </c>
      <c r="U192" s="105" t="str">
        <f>IFERROR(lifespans_all!U190*DTE_mission_minutes!U34,"-")</f>
        <v>-</v>
      </c>
      <c r="V192" s="105" t="str">
        <f>IFERROR(lifespans_all!V190*DTE_mission_minutes!V34,"-")</f>
        <v>-</v>
      </c>
    </row>
    <row r="193" spans="1:22" x14ac:dyDescent="0.25">
      <c r="A193" s="29" t="s">
        <v>62</v>
      </c>
      <c r="B193" s="30" t="s">
        <v>41</v>
      </c>
      <c r="C193" s="105">
        <f>IFERROR(lifespans_all!C191*DTE_mission_minutes!C35,"-")</f>
        <v>64.579722222222216</v>
      </c>
      <c r="D193" s="105">
        <f>IFERROR(lifespans_all!D191*DTE_mission_minutes!D35,"-")</f>
        <v>56.487941666666664</v>
      </c>
      <c r="E193" s="105">
        <f>IFERROR(lifespans_all!E191*DTE_mission_minutes!E35,"-")</f>
        <v>49.259444444444441</v>
      </c>
      <c r="F193" s="105">
        <f>IFERROR(lifespans_all!F191*DTE_mission_minutes!F35,"-")</f>
        <v>60.035777777777774</v>
      </c>
      <c r="G193" s="105">
        <f>IFERROR(lifespans_all!G191*DTE_mission_minutes!G35,"-")</f>
        <v>60.035777777777774</v>
      </c>
      <c r="H193" s="105">
        <f>IFERROR(lifespans_all!H191*DTE_mission_minutes!H35,"-")</f>
        <v>0</v>
      </c>
      <c r="I193" s="105">
        <f>IFERROR(lifespans_all!I191*DTE_mission_minutes!I35,"-")</f>
        <v>0</v>
      </c>
      <c r="J193" s="105">
        <f>IFERROR(lifespans_all!J191*DTE_mission_minutes!J35,"-")</f>
        <v>0</v>
      </c>
      <c r="K193" s="105">
        <f>IFERROR(lifespans_all!K191*DTE_mission_minutes!K35,"-")</f>
        <v>0</v>
      </c>
      <c r="L193" s="105">
        <f>IFERROR(lifespans_all!L191*DTE_mission_minutes!L35,"-")</f>
        <v>0</v>
      </c>
      <c r="M193" s="105">
        <f>IFERROR(lifespans_all!M191*DTE_mission_minutes!M35,"-")</f>
        <v>0</v>
      </c>
      <c r="N193" s="105">
        <f>IFERROR(lifespans_all!N191*DTE_mission_minutes!N35,"-")</f>
        <v>0</v>
      </c>
      <c r="O193" s="105">
        <f>IFERROR(lifespans_all!O191*DTE_mission_minutes!O35,"-")</f>
        <v>0</v>
      </c>
      <c r="P193" s="105">
        <f>IFERROR(lifespans_all!P191*DTE_mission_minutes!P35,"-")</f>
        <v>0</v>
      </c>
      <c r="Q193" s="105">
        <f>IFERROR(lifespans_all!Q191*DTE_mission_minutes!Q35,"-")</f>
        <v>0</v>
      </c>
      <c r="R193" s="105">
        <f>IFERROR(lifespans_all!R191*DTE_mission_minutes!R35,"-")</f>
        <v>0</v>
      </c>
      <c r="S193" s="105">
        <f>IFERROR(lifespans_all!S191*DTE_mission_minutes!S35,"-")</f>
        <v>0</v>
      </c>
      <c r="T193" s="105">
        <f>IFERROR(lifespans_all!T191*DTE_mission_minutes!T35,"-")</f>
        <v>0</v>
      </c>
      <c r="U193" s="105">
        <f>IFERROR(lifespans_all!U191*DTE_mission_minutes!U35,"-")</f>
        <v>0</v>
      </c>
      <c r="V193" s="105">
        <f>IFERROR(lifespans_all!V191*DTE_mission_minutes!V35,"-")</f>
        <v>0</v>
      </c>
    </row>
    <row r="194" spans="1:22" x14ac:dyDescent="0.25">
      <c r="A194" s="29" t="s">
        <v>29</v>
      </c>
      <c r="B194" s="30" t="s">
        <v>41</v>
      </c>
      <c r="C194" s="105">
        <f>IFERROR(lifespans_all!C192*DTE_mission_minutes!C36,"-")</f>
        <v>133409.35004928565</v>
      </c>
      <c r="D194" s="105">
        <f>IFERROR(lifespans_all!D192*DTE_mission_minutes!D36,"-")</f>
        <v>133409.35004928565</v>
      </c>
      <c r="E194" s="105">
        <f>IFERROR(lifespans_all!E192*DTE_mission_minutes!E36,"-")</f>
        <v>133409.35004928565</v>
      </c>
      <c r="F194" s="105">
        <f>IFERROR(lifespans_all!F192*DTE_mission_minutes!F36,"-")</f>
        <v>0</v>
      </c>
      <c r="G194" s="105">
        <f>IFERROR(lifespans_all!G192*DTE_mission_minutes!G36,"-")</f>
        <v>0</v>
      </c>
      <c r="H194" s="105">
        <f>IFERROR(lifespans_all!H192*DTE_mission_minutes!H36,"-")</f>
        <v>0</v>
      </c>
      <c r="I194" s="105">
        <f>IFERROR(lifespans_all!I192*DTE_mission_minutes!I36,"-")</f>
        <v>0</v>
      </c>
      <c r="J194" s="105">
        <f>IFERROR(lifespans_all!J192*DTE_mission_minutes!J36,"-")</f>
        <v>0</v>
      </c>
      <c r="K194" s="105">
        <f>IFERROR(lifespans_all!K192*DTE_mission_minutes!K36,"-")</f>
        <v>0</v>
      </c>
      <c r="L194" s="105">
        <f>IFERROR(lifespans_all!L192*DTE_mission_minutes!L36,"-")</f>
        <v>0</v>
      </c>
      <c r="M194" s="105">
        <f>IFERROR(lifespans_all!M192*DTE_mission_minutes!M36,"-")</f>
        <v>0</v>
      </c>
      <c r="N194" s="105">
        <f>IFERROR(lifespans_all!N192*DTE_mission_minutes!N36,"-")</f>
        <v>0</v>
      </c>
      <c r="O194" s="105">
        <f>IFERROR(lifespans_all!O192*DTE_mission_minutes!O36,"-")</f>
        <v>0</v>
      </c>
      <c r="P194" s="105">
        <f>IFERROR(lifespans_all!P192*DTE_mission_minutes!P36,"-")</f>
        <v>0</v>
      </c>
      <c r="Q194" s="105">
        <f>IFERROR(lifespans_all!Q192*DTE_mission_minutes!Q36,"-")</f>
        <v>0</v>
      </c>
      <c r="R194" s="105">
        <f>IFERROR(lifespans_all!R192*DTE_mission_minutes!R36,"-")</f>
        <v>0</v>
      </c>
      <c r="S194" s="105">
        <f>IFERROR(lifespans_all!S192*DTE_mission_minutes!S36,"-")</f>
        <v>0</v>
      </c>
      <c r="T194" s="105">
        <f>IFERROR(lifespans_all!T192*DTE_mission_minutes!T36,"-")</f>
        <v>0</v>
      </c>
      <c r="U194" s="105">
        <f>IFERROR(lifespans_all!U192*DTE_mission_minutes!U36,"-")</f>
        <v>0</v>
      </c>
      <c r="V194" s="105">
        <f>IFERROR(lifespans_all!V192*DTE_mission_minutes!V36,"-")</f>
        <v>0</v>
      </c>
    </row>
    <row r="195" spans="1:22" x14ac:dyDescent="0.25">
      <c r="A195" s="29" t="s">
        <v>30</v>
      </c>
      <c r="B195" s="37" t="s">
        <v>43</v>
      </c>
      <c r="C195" s="105">
        <f>IFERROR(lifespans_all!C193*DTE_mission_minutes!C37,"-")</f>
        <v>171572.29579277776</v>
      </c>
      <c r="D195" s="105">
        <f>IFERROR(lifespans_all!D193*DTE_mission_minutes!D37,"-")</f>
        <v>171572.29579277776</v>
      </c>
      <c r="E195" s="105">
        <f>IFERROR(lifespans_all!E193*DTE_mission_minutes!E37,"-")</f>
        <v>171572.29579277776</v>
      </c>
      <c r="F195" s="105">
        <f>IFERROR(lifespans_all!F193*DTE_mission_minutes!F37,"-")</f>
        <v>171572.29579277776</v>
      </c>
      <c r="G195" s="105">
        <f>IFERROR(lifespans_all!G193*DTE_mission_minutes!G37,"-")</f>
        <v>171572.29579277776</v>
      </c>
      <c r="H195" s="105">
        <f>IFERROR(lifespans_all!H193*DTE_mission_minutes!H37,"-")</f>
        <v>171572.29579277776</v>
      </c>
      <c r="I195" s="105">
        <f>IFERROR(lifespans_all!I193*DTE_mission_minutes!I37,"-")</f>
        <v>171572.29579277776</v>
      </c>
      <c r="J195" s="105">
        <f>IFERROR(lifespans_all!J193*DTE_mission_minutes!J37,"-")</f>
        <v>171572.29579277776</v>
      </c>
      <c r="K195" s="105">
        <f>IFERROR(lifespans_all!K193*DTE_mission_minutes!K37,"-")</f>
        <v>171572.29579277776</v>
      </c>
      <c r="L195" s="105">
        <f>IFERROR(lifespans_all!L193*DTE_mission_minutes!L37,"-")</f>
        <v>171572.29579277776</v>
      </c>
      <c r="M195" s="105">
        <f>IFERROR(lifespans_all!M193*DTE_mission_minutes!M37,"-")</f>
        <v>171572.29579277776</v>
      </c>
      <c r="N195" s="105">
        <f>IFERROR(lifespans_all!N193*DTE_mission_minutes!N37,"-")</f>
        <v>171572.29579277776</v>
      </c>
      <c r="O195" s="105">
        <f>IFERROR(lifespans_all!O193*DTE_mission_minutes!O37,"-")</f>
        <v>171572.29579277776</v>
      </c>
      <c r="P195" s="105">
        <f>IFERROR(lifespans_all!P193*DTE_mission_minutes!P37,"-")</f>
        <v>171572.29579277776</v>
      </c>
      <c r="Q195" s="105">
        <f>IFERROR(lifespans_all!Q193*DTE_mission_minutes!Q37,"-")</f>
        <v>171572.29579277776</v>
      </c>
      <c r="R195" s="105">
        <f>IFERROR(lifespans_all!R193*DTE_mission_minutes!R37,"-")</f>
        <v>171572.29579277776</v>
      </c>
      <c r="S195" s="105">
        <f>IFERROR(lifespans_all!S193*DTE_mission_minutes!S37,"-")</f>
        <v>171572.29579277776</v>
      </c>
      <c r="T195" s="105">
        <f>IFERROR(lifespans_all!T193*DTE_mission_minutes!T37,"-")</f>
        <v>171572.29579277776</v>
      </c>
      <c r="U195" s="105">
        <f>IFERROR(lifespans_all!U193*DTE_mission_minutes!U37,"-")</f>
        <v>171572.29579277776</v>
      </c>
      <c r="V195" s="105">
        <f>IFERROR(lifespans_all!V193*DTE_mission_minutes!V37,"-")</f>
        <v>171572.29579277776</v>
      </c>
    </row>
    <row r="196" spans="1:22" x14ac:dyDescent="0.25">
      <c r="A196" s="29" t="s">
        <v>31</v>
      </c>
      <c r="B196" s="38" t="s">
        <v>48</v>
      </c>
      <c r="C196" s="105" t="str">
        <f>IFERROR(lifespans_all!C194*DTE_mission_minutes!C38,"-")</f>
        <v>-</v>
      </c>
      <c r="D196" s="105" t="str">
        <f>IFERROR(lifespans_all!D194*DTE_mission_minutes!D38,"-")</f>
        <v>-</v>
      </c>
      <c r="E196" s="105" t="str">
        <f>IFERROR(lifespans_all!E194*DTE_mission_minutes!E38,"-")</f>
        <v>-</v>
      </c>
      <c r="F196" s="105" t="str">
        <f>IFERROR(lifespans_all!F194*DTE_mission_minutes!F38,"-")</f>
        <v>-</v>
      </c>
      <c r="G196" s="105" t="str">
        <f>IFERROR(lifespans_all!G194*DTE_mission_minutes!G38,"-")</f>
        <v>-</v>
      </c>
      <c r="H196" s="105" t="str">
        <f>IFERROR(lifespans_all!H194*DTE_mission_minutes!H38,"-")</f>
        <v>-</v>
      </c>
      <c r="I196" s="105" t="str">
        <f>IFERROR(lifespans_all!I194*DTE_mission_minutes!I38,"-")</f>
        <v>-</v>
      </c>
      <c r="J196" s="105" t="str">
        <f>IFERROR(lifespans_all!J194*DTE_mission_minutes!J38,"-")</f>
        <v>-</v>
      </c>
      <c r="K196" s="105" t="str">
        <f>IFERROR(lifespans_all!K194*DTE_mission_minutes!K38,"-")</f>
        <v>-</v>
      </c>
      <c r="L196" s="105" t="str">
        <f>IFERROR(lifespans_all!L194*DTE_mission_minutes!L38,"-")</f>
        <v>-</v>
      </c>
      <c r="M196" s="105" t="str">
        <f>IFERROR(lifespans_all!M194*DTE_mission_minutes!M38,"-")</f>
        <v>-</v>
      </c>
      <c r="N196" s="105" t="str">
        <f>IFERROR(lifespans_all!N194*DTE_mission_minutes!N38,"-")</f>
        <v>-</v>
      </c>
      <c r="O196" s="105" t="str">
        <f>IFERROR(lifespans_all!O194*DTE_mission_minutes!O38,"-")</f>
        <v>-</v>
      </c>
      <c r="P196" s="105" t="str">
        <f>IFERROR(lifespans_all!P194*DTE_mission_minutes!P38,"-")</f>
        <v>-</v>
      </c>
      <c r="Q196" s="105" t="str">
        <f>IFERROR(lifespans_all!Q194*DTE_mission_minutes!Q38,"-")</f>
        <v>-</v>
      </c>
      <c r="R196" s="105" t="str">
        <f>IFERROR(lifespans_all!R194*DTE_mission_minutes!R38,"-")</f>
        <v>-</v>
      </c>
      <c r="S196" s="105" t="str">
        <f>IFERROR(lifespans_all!S194*DTE_mission_minutes!S38,"-")</f>
        <v>-</v>
      </c>
      <c r="T196" s="105" t="str">
        <f>IFERROR(lifespans_all!T194*DTE_mission_minutes!T38,"-")</f>
        <v>-</v>
      </c>
      <c r="U196" s="105" t="str">
        <f>IFERROR(lifespans_all!U194*DTE_mission_minutes!U38,"-")</f>
        <v>-</v>
      </c>
      <c r="V196" s="105" t="str">
        <f>IFERROR(lifespans_all!V194*DTE_mission_minutes!V38,"-")</f>
        <v>-</v>
      </c>
    </row>
    <row r="197" spans="1:22" x14ac:dyDescent="0.25">
      <c r="A197" s="29" t="s">
        <v>32</v>
      </c>
      <c r="B197" s="38" t="s">
        <v>48</v>
      </c>
      <c r="C197" s="105" t="str">
        <f>IFERROR(lifespans_all!C195*DTE_mission_minutes!C39,"-")</f>
        <v>-</v>
      </c>
      <c r="D197" s="105" t="str">
        <f>IFERROR(lifespans_all!D195*DTE_mission_minutes!D39,"-")</f>
        <v>-</v>
      </c>
      <c r="E197" s="105" t="str">
        <f>IFERROR(lifespans_all!E195*DTE_mission_minutes!E39,"-")</f>
        <v>-</v>
      </c>
      <c r="F197" s="105" t="str">
        <f>IFERROR(lifespans_all!F195*DTE_mission_minutes!F39,"-")</f>
        <v>-</v>
      </c>
      <c r="G197" s="105" t="str">
        <f>IFERROR(lifespans_all!G195*DTE_mission_minutes!G39,"-")</f>
        <v>-</v>
      </c>
      <c r="H197" s="105" t="str">
        <f>IFERROR(lifespans_all!H195*DTE_mission_minutes!H39,"-")</f>
        <v>-</v>
      </c>
      <c r="I197" s="105" t="str">
        <f>IFERROR(lifespans_all!I195*DTE_mission_minutes!I39,"-")</f>
        <v>-</v>
      </c>
      <c r="J197" s="105" t="str">
        <f>IFERROR(lifespans_all!J195*DTE_mission_minutes!J39,"-")</f>
        <v>-</v>
      </c>
      <c r="K197" s="105" t="str">
        <f>IFERROR(lifespans_all!K195*DTE_mission_minutes!K39,"-")</f>
        <v>-</v>
      </c>
      <c r="L197" s="105" t="str">
        <f>IFERROR(lifespans_all!L195*DTE_mission_minutes!L39,"-")</f>
        <v>-</v>
      </c>
      <c r="M197" s="105" t="str">
        <f>IFERROR(lifespans_all!M195*DTE_mission_minutes!M39,"-")</f>
        <v>-</v>
      </c>
      <c r="N197" s="105" t="str">
        <f>IFERROR(lifespans_all!N195*DTE_mission_minutes!N39,"-")</f>
        <v>-</v>
      </c>
      <c r="O197" s="105" t="str">
        <f>IFERROR(lifespans_all!O195*DTE_mission_minutes!O39,"-")</f>
        <v>-</v>
      </c>
      <c r="P197" s="105" t="str">
        <f>IFERROR(lifespans_all!P195*DTE_mission_minutes!P39,"-")</f>
        <v>-</v>
      </c>
      <c r="Q197" s="105" t="str">
        <f>IFERROR(lifespans_all!Q195*DTE_mission_minutes!Q39,"-")</f>
        <v>-</v>
      </c>
      <c r="R197" s="105" t="str">
        <f>IFERROR(lifespans_all!R195*DTE_mission_minutes!R39,"-")</f>
        <v>-</v>
      </c>
      <c r="S197" s="105" t="str">
        <f>IFERROR(lifespans_all!S195*DTE_mission_minutes!S39,"-")</f>
        <v>-</v>
      </c>
      <c r="T197" s="105" t="str">
        <f>IFERROR(lifespans_all!T195*DTE_mission_minutes!T39,"-")</f>
        <v>-</v>
      </c>
      <c r="U197" s="105" t="str">
        <f>IFERROR(lifespans_all!U195*DTE_mission_minutes!U39,"-")</f>
        <v>-</v>
      </c>
      <c r="V197" s="105" t="str">
        <f>IFERROR(lifespans_all!V195*DTE_mission_minutes!V39,"-")</f>
        <v>-</v>
      </c>
    </row>
    <row r="198" spans="1:22" x14ac:dyDescent="0.25">
      <c r="A198" s="29" t="s">
        <v>33</v>
      </c>
      <c r="B198" s="30" t="s">
        <v>41</v>
      </c>
      <c r="C198" s="105">
        <f>IFERROR(lifespans_all!C196*DTE_mission_minutes!C40,"-")</f>
        <v>0</v>
      </c>
      <c r="D198" s="105">
        <f>IFERROR(lifespans_all!D196*DTE_mission_minutes!D40,"-")</f>
        <v>0</v>
      </c>
      <c r="E198" s="105">
        <f>IFERROR(lifespans_all!E196*DTE_mission_minutes!E40,"-")</f>
        <v>0</v>
      </c>
      <c r="F198" s="105">
        <f>IFERROR(lifespans_all!F196*DTE_mission_minutes!F40,"-")</f>
        <v>0</v>
      </c>
      <c r="G198" s="105">
        <f>IFERROR(lifespans_all!G196*DTE_mission_minutes!G40,"-")</f>
        <v>0</v>
      </c>
      <c r="H198" s="105">
        <f>IFERROR(lifespans_all!H196*DTE_mission_minutes!H40,"-")</f>
        <v>0</v>
      </c>
      <c r="I198" s="105">
        <f>IFERROR(lifespans_all!I196*DTE_mission_minutes!I40,"-")</f>
        <v>0</v>
      </c>
      <c r="J198" s="105">
        <f>IFERROR(lifespans_all!J196*DTE_mission_minutes!J40,"-")</f>
        <v>0</v>
      </c>
      <c r="K198" s="105">
        <f>IFERROR(lifespans_all!K196*DTE_mission_minutes!K40,"-")</f>
        <v>0</v>
      </c>
      <c r="L198" s="105">
        <f>IFERROR(lifespans_all!L196*DTE_mission_minutes!L40,"-")</f>
        <v>0</v>
      </c>
      <c r="M198" s="105">
        <f>IFERROR(lifespans_all!M196*DTE_mission_minutes!M40,"-")</f>
        <v>0</v>
      </c>
      <c r="N198" s="105">
        <f>IFERROR(lifespans_all!N196*DTE_mission_minutes!N40,"-")</f>
        <v>0</v>
      </c>
      <c r="O198" s="105">
        <f>IFERROR(lifespans_all!O196*DTE_mission_minutes!O40,"-")</f>
        <v>0</v>
      </c>
      <c r="P198" s="105">
        <f>IFERROR(lifespans_all!P196*DTE_mission_minutes!P40,"-")</f>
        <v>0</v>
      </c>
      <c r="Q198" s="105">
        <f>IFERROR(lifespans_all!Q196*DTE_mission_minutes!Q40,"-")</f>
        <v>0</v>
      </c>
      <c r="R198" s="105">
        <f>IFERROR(lifespans_all!R196*DTE_mission_minutes!R40,"-")</f>
        <v>0</v>
      </c>
      <c r="S198" s="105">
        <f>IFERROR(lifespans_all!S196*DTE_mission_minutes!S40,"-")</f>
        <v>0</v>
      </c>
      <c r="T198" s="105">
        <f>IFERROR(lifespans_all!T196*DTE_mission_minutes!T40,"-")</f>
        <v>0</v>
      </c>
      <c r="U198" s="105">
        <f>IFERROR(lifespans_all!U196*DTE_mission_minutes!U40,"-")</f>
        <v>0</v>
      </c>
      <c r="V198" s="105">
        <f>IFERROR(lifespans_all!V196*DTE_mission_minutes!V40,"-")</f>
        <v>0</v>
      </c>
    </row>
    <row r="199" spans="1:22" x14ac:dyDescent="0.25">
      <c r="A199" s="29" t="s">
        <v>34</v>
      </c>
      <c r="B199" s="37" t="s">
        <v>45</v>
      </c>
      <c r="C199" s="105">
        <f>IFERROR(lifespans_all!C197*DTE_mission_minutes!C41,"-")</f>
        <v>1321.6547222222223</v>
      </c>
      <c r="D199" s="105">
        <f>IFERROR(lifespans_all!D197*DTE_mission_minutes!D41,"-")</f>
        <v>1450.1822222222222</v>
      </c>
      <c r="E199" s="105">
        <f>IFERROR(lifespans_all!E197*DTE_mission_minutes!E41,"-")</f>
        <v>1386.2452777777776</v>
      </c>
      <c r="F199" s="105">
        <f>IFERROR(lifespans_all!F197*DTE_mission_minutes!F41,"-")</f>
        <v>1393.7255555555555</v>
      </c>
      <c r="G199" s="105">
        <f>IFERROR(lifespans_all!G197*DTE_mission_minutes!G41,"-")</f>
        <v>1393.7255555555555</v>
      </c>
      <c r="H199" s="105">
        <f>IFERROR(lifespans_all!H197*DTE_mission_minutes!H41,"-")</f>
        <v>0</v>
      </c>
      <c r="I199" s="105">
        <f>IFERROR(lifespans_all!I197*DTE_mission_minutes!I41,"-")</f>
        <v>0</v>
      </c>
      <c r="J199" s="105">
        <f>IFERROR(lifespans_all!J197*DTE_mission_minutes!J41,"-")</f>
        <v>0</v>
      </c>
      <c r="K199" s="105">
        <f>IFERROR(lifespans_all!K197*DTE_mission_minutes!K41,"-")</f>
        <v>0</v>
      </c>
      <c r="L199" s="105">
        <f>IFERROR(lifespans_all!L197*DTE_mission_minutes!L41,"-")</f>
        <v>0</v>
      </c>
      <c r="M199" s="105">
        <f>IFERROR(lifespans_all!M197*DTE_mission_minutes!M41,"-")</f>
        <v>0</v>
      </c>
      <c r="N199" s="105">
        <f>IFERROR(lifespans_all!N197*DTE_mission_minutes!N41,"-")</f>
        <v>0</v>
      </c>
      <c r="O199" s="105">
        <f>IFERROR(lifespans_all!O197*DTE_mission_minutes!O41,"-")</f>
        <v>0</v>
      </c>
      <c r="P199" s="105">
        <f>IFERROR(lifespans_all!P197*DTE_mission_minutes!P41,"-")</f>
        <v>0</v>
      </c>
      <c r="Q199" s="105">
        <f>IFERROR(lifespans_all!Q197*DTE_mission_minutes!Q41,"-")</f>
        <v>0</v>
      </c>
      <c r="R199" s="105">
        <f>IFERROR(lifespans_all!R197*DTE_mission_minutes!R41,"-")</f>
        <v>0</v>
      </c>
      <c r="S199" s="105">
        <f>IFERROR(lifespans_all!S197*DTE_mission_minutes!S41,"-")</f>
        <v>0</v>
      </c>
      <c r="T199" s="105">
        <f>IFERROR(lifespans_all!T197*DTE_mission_minutes!T41,"-")</f>
        <v>0</v>
      </c>
      <c r="U199" s="105">
        <f>IFERROR(lifespans_all!U197*DTE_mission_minutes!U41,"-")</f>
        <v>0</v>
      </c>
      <c r="V199" s="105">
        <f>IFERROR(lifespans_all!V197*DTE_mission_minutes!V41,"-")</f>
        <v>0</v>
      </c>
    </row>
    <row r="200" spans="1:22" x14ac:dyDescent="0.25">
      <c r="A200" s="29" t="s">
        <v>63</v>
      </c>
      <c r="B200" s="37" t="s">
        <v>43</v>
      </c>
      <c r="C200" s="105">
        <f>IFERROR(lifespans_all!C198*DTE_mission_minutes!C42,"-")</f>
        <v>171572.29579277776</v>
      </c>
      <c r="D200" s="105">
        <f>IFERROR(lifespans_all!D198*DTE_mission_minutes!D42,"-")</f>
        <v>171572.29579277776</v>
      </c>
      <c r="E200" s="105">
        <f>IFERROR(lifespans_all!E198*DTE_mission_minutes!E42,"-")</f>
        <v>171572.29579277776</v>
      </c>
      <c r="F200" s="105">
        <f>IFERROR(lifespans_all!F198*DTE_mission_minutes!F42,"-")</f>
        <v>171572.29579277776</v>
      </c>
      <c r="G200" s="105">
        <f>IFERROR(lifespans_all!G198*DTE_mission_minutes!G42,"-")</f>
        <v>171572.29579277776</v>
      </c>
      <c r="H200" s="105">
        <f>IFERROR(lifespans_all!H198*DTE_mission_minutes!H42,"-")</f>
        <v>171572.29579277776</v>
      </c>
      <c r="I200" s="105">
        <f>IFERROR(lifespans_all!I198*DTE_mission_minutes!I42,"-")</f>
        <v>171572.29579277776</v>
      </c>
      <c r="J200" s="105">
        <f>IFERROR(lifespans_all!J198*DTE_mission_minutes!J42,"-")</f>
        <v>171572.29579277776</v>
      </c>
      <c r="K200" s="105">
        <f>IFERROR(lifespans_all!K198*DTE_mission_minutes!K42,"-")</f>
        <v>171572.29579277776</v>
      </c>
      <c r="L200" s="105">
        <f>IFERROR(lifespans_all!L198*DTE_mission_minutes!L42,"-")</f>
        <v>171572.29579277776</v>
      </c>
      <c r="M200" s="105">
        <f>IFERROR(lifespans_all!M198*DTE_mission_minutes!M42,"-")</f>
        <v>171572.29579277776</v>
      </c>
      <c r="N200" s="105">
        <f>IFERROR(lifespans_all!N198*DTE_mission_minutes!N42,"-")</f>
        <v>171572.29579277776</v>
      </c>
      <c r="O200" s="105">
        <f>IFERROR(lifespans_all!O198*DTE_mission_minutes!O42,"-")</f>
        <v>171572.29579277776</v>
      </c>
      <c r="P200" s="105">
        <f>IFERROR(lifespans_all!P198*DTE_mission_minutes!P42,"-")</f>
        <v>171572.29579277776</v>
      </c>
      <c r="Q200" s="105">
        <f>IFERROR(lifespans_all!Q198*DTE_mission_minutes!Q42,"-")</f>
        <v>171572.29579277776</v>
      </c>
      <c r="R200" s="105">
        <f>IFERROR(lifespans_all!R198*DTE_mission_minutes!R42,"-")</f>
        <v>171572.29579277776</v>
      </c>
      <c r="S200" s="105">
        <f>IFERROR(lifespans_all!S198*DTE_mission_minutes!S42,"-")</f>
        <v>171572.29579277776</v>
      </c>
      <c r="T200" s="105">
        <f>IFERROR(lifespans_all!T198*DTE_mission_minutes!T42,"-")</f>
        <v>171572.29579277776</v>
      </c>
      <c r="U200" s="105">
        <f>IFERROR(lifespans_all!U198*DTE_mission_minutes!U42,"-")</f>
        <v>171572.29579277776</v>
      </c>
      <c r="V200" s="105">
        <f>IFERROR(lifespans_all!V198*DTE_mission_minutes!V42,"-")</f>
        <v>171572.29579277776</v>
      </c>
    </row>
    <row r="201" spans="1:22" x14ac:dyDescent="0.25">
      <c r="A201" s="29" t="s">
        <v>64</v>
      </c>
      <c r="B201" s="30" t="s">
        <v>46</v>
      </c>
      <c r="C201" s="105" t="str">
        <f>IFERROR(lifespans_all!C199*DTE_mission_minutes!C43,"-")</f>
        <v>-</v>
      </c>
      <c r="D201" s="105" t="str">
        <f>IFERROR(lifespans_all!D199*DTE_mission_minutes!D43,"-")</f>
        <v>-</v>
      </c>
      <c r="E201" s="105" t="str">
        <f>IFERROR(lifespans_all!E199*DTE_mission_minutes!E43,"-")</f>
        <v>-</v>
      </c>
      <c r="F201" s="105" t="str">
        <f>IFERROR(lifespans_all!F199*DTE_mission_minutes!F43,"-")</f>
        <v>-</v>
      </c>
      <c r="G201" s="105" t="str">
        <f>IFERROR(lifespans_all!G199*DTE_mission_minutes!G43,"-")</f>
        <v>-</v>
      </c>
      <c r="H201" s="105" t="str">
        <f>IFERROR(lifespans_all!H199*DTE_mission_minutes!H43,"-")</f>
        <v>-</v>
      </c>
      <c r="I201" s="105" t="str">
        <f>IFERROR(lifespans_all!I199*DTE_mission_minutes!I43,"-")</f>
        <v>-</v>
      </c>
      <c r="J201" s="105" t="str">
        <f>IFERROR(lifespans_all!J199*DTE_mission_minutes!J43,"-")</f>
        <v>-</v>
      </c>
      <c r="K201" s="105" t="str">
        <f>IFERROR(lifespans_all!K199*DTE_mission_minutes!K43,"-")</f>
        <v>-</v>
      </c>
      <c r="L201" s="105" t="str">
        <f>IFERROR(lifespans_all!L199*DTE_mission_minutes!L43,"-")</f>
        <v>-</v>
      </c>
      <c r="M201" s="105" t="str">
        <f>IFERROR(lifespans_all!M199*DTE_mission_minutes!M43,"-")</f>
        <v>-</v>
      </c>
      <c r="N201" s="105" t="str">
        <f>IFERROR(lifespans_all!N199*DTE_mission_minutes!N43,"-")</f>
        <v>-</v>
      </c>
      <c r="O201" s="105" t="str">
        <f>IFERROR(lifespans_all!O199*DTE_mission_minutes!O43,"-")</f>
        <v>-</v>
      </c>
      <c r="P201" s="105" t="str">
        <f>IFERROR(lifespans_all!P199*DTE_mission_minutes!P43,"-")</f>
        <v>-</v>
      </c>
      <c r="Q201" s="105" t="str">
        <f>IFERROR(lifespans_all!Q199*DTE_mission_minutes!Q43,"-")</f>
        <v>-</v>
      </c>
      <c r="R201" s="105" t="str">
        <f>IFERROR(lifespans_all!R199*DTE_mission_minutes!R43,"-")</f>
        <v>-</v>
      </c>
      <c r="S201" s="105" t="str">
        <f>IFERROR(lifespans_all!S199*DTE_mission_minutes!S43,"-")</f>
        <v>-</v>
      </c>
      <c r="T201" s="105" t="str">
        <f>IFERROR(lifespans_all!T199*DTE_mission_minutes!T43,"-")</f>
        <v>-</v>
      </c>
      <c r="U201" s="105" t="str">
        <f>IFERROR(lifespans_all!U199*DTE_mission_minutes!U43,"-")</f>
        <v>-</v>
      </c>
      <c r="V201" s="105" t="str">
        <f>IFERROR(lifespans_all!V199*DTE_mission_minutes!V43,"-")</f>
        <v>-</v>
      </c>
    </row>
    <row r="202" spans="1:22" x14ac:dyDescent="0.25">
      <c r="A202" s="29" t="s">
        <v>65</v>
      </c>
      <c r="B202" s="30" t="s">
        <v>41</v>
      </c>
      <c r="C202" s="105">
        <f>IFERROR(lifespans_all!C200*DTE_mission_minutes!C44,"-")</f>
        <v>3017.8666666666668</v>
      </c>
      <c r="D202" s="105">
        <f>IFERROR(lifespans_all!D200*DTE_mission_minutes!D44,"-")</f>
        <v>3078.4611111111108</v>
      </c>
      <c r="E202" s="105">
        <f>IFERROR(lifespans_all!E200*DTE_mission_minutes!E44,"-")</f>
        <v>2765.7895222222219</v>
      </c>
      <c r="F202" s="105">
        <f>IFERROR(lifespans_all!F200*DTE_mission_minutes!F44,"-")</f>
        <v>3000.2460561111111</v>
      </c>
      <c r="G202" s="105">
        <f>IFERROR(lifespans_all!G200*DTE_mission_minutes!G44,"-")</f>
        <v>3000.2460561111111</v>
      </c>
      <c r="H202" s="105">
        <f>IFERROR(lifespans_all!H200*DTE_mission_minutes!H44,"-")</f>
        <v>3000.2460561111111</v>
      </c>
      <c r="I202" s="105">
        <f>IFERROR(lifespans_all!I200*DTE_mission_minutes!I44,"-")</f>
        <v>3000.2460561111111</v>
      </c>
      <c r="J202" s="105">
        <f>IFERROR(lifespans_all!J200*DTE_mission_minutes!J44,"-")</f>
        <v>0</v>
      </c>
      <c r="K202" s="105">
        <f>IFERROR(lifespans_all!K200*DTE_mission_minutes!K44,"-")</f>
        <v>0</v>
      </c>
      <c r="L202" s="105">
        <f>IFERROR(lifespans_all!L200*DTE_mission_minutes!L44,"-")</f>
        <v>0</v>
      </c>
      <c r="M202" s="105">
        <f>IFERROR(lifespans_all!M200*DTE_mission_minutes!M44,"-")</f>
        <v>0</v>
      </c>
      <c r="N202" s="105">
        <f>IFERROR(lifespans_all!N200*DTE_mission_minutes!N44,"-")</f>
        <v>0</v>
      </c>
      <c r="O202" s="105">
        <f>IFERROR(lifespans_all!O200*DTE_mission_minutes!O44,"-")</f>
        <v>0</v>
      </c>
      <c r="P202" s="105">
        <f>IFERROR(lifespans_all!P200*DTE_mission_minutes!P44,"-")</f>
        <v>0</v>
      </c>
      <c r="Q202" s="105">
        <f>IFERROR(lifespans_all!Q200*DTE_mission_minutes!Q44,"-")</f>
        <v>0</v>
      </c>
      <c r="R202" s="105">
        <f>IFERROR(lifespans_all!R200*DTE_mission_minutes!R44,"-")</f>
        <v>0</v>
      </c>
      <c r="S202" s="105">
        <f>IFERROR(lifespans_all!S200*DTE_mission_minutes!S44,"-")</f>
        <v>0</v>
      </c>
      <c r="T202" s="105">
        <f>IFERROR(lifespans_all!T200*DTE_mission_minutes!T44,"-")</f>
        <v>0</v>
      </c>
      <c r="U202" s="105">
        <f>IFERROR(lifespans_all!U200*DTE_mission_minutes!U44,"-")</f>
        <v>0</v>
      </c>
      <c r="V202" s="105">
        <f>IFERROR(lifespans_all!V200*DTE_mission_minutes!V44,"-")</f>
        <v>0</v>
      </c>
    </row>
    <row r="203" spans="1:22" x14ac:dyDescent="0.25">
      <c r="A203" s="29" t="s">
        <v>35</v>
      </c>
      <c r="B203" s="30" t="s">
        <v>40</v>
      </c>
      <c r="C203" s="105">
        <f>IFERROR(lifespans_all!C201*DTE_mission_minutes!C45,"-")</f>
        <v>2140.4341038095235</v>
      </c>
      <c r="D203" s="105">
        <f>IFERROR(lifespans_all!D201*DTE_mission_minutes!D45,"-")</f>
        <v>2140.4341038095235</v>
      </c>
      <c r="E203" s="105">
        <f>IFERROR(lifespans_all!E201*DTE_mission_minutes!E45,"-")</f>
        <v>0</v>
      </c>
      <c r="F203" s="105">
        <f>IFERROR(lifespans_all!F201*DTE_mission_minutes!F45,"-")</f>
        <v>0</v>
      </c>
      <c r="G203" s="105">
        <f>IFERROR(lifespans_all!G201*DTE_mission_minutes!G45,"-")</f>
        <v>0</v>
      </c>
      <c r="H203" s="105">
        <f>IFERROR(lifespans_all!H201*DTE_mission_minutes!H45,"-")</f>
        <v>0</v>
      </c>
      <c r="I203" s="105">
        <f>IFERROR(lifespans_all!I201*DTE_mission_minutes!I45,"-")</f>
        <v>0</v>
      </c>
      <c r="J203" s="105">
        <f>IFERROR(lifespans_all!J201*DTE_mission_minutes!J45,"-")</f>
        <v>0</v>
      </c>
      <c r="K203" s="105">
        <f>IFERROR(lifespans_all!K201*DTE_mission_minutes!K45,"-")</f>
        <v>0</v>
      </c>
      <c r="L203" s="105">
        <f>IFERROR(lifespans_all!L201*DTE_mission_minutes!L45,"-")</f>
        <v>0</v>
      </c>
      <c r="M203" s="105">
        <f>IFERROR(lifespans_all!M201*DTE_mission_minutes!M45,"-")</f>
        <v>0</v>
      </c>
      <c r="N203" s="105">
        <f>IFERROR(lifespans_all!N201*DTE_mission_minutes!N45,"-")</f>
        <v>0</v>
      </c>
      <c r="O203" s="105">
        <f>IFERROR(lifespans_all!O201*DTE_mission_minutes!O45,"-")</f>
        <v>0</v>
      </c>
      <c r="P203" s="105">
        <f>IFERROR(lifespans_all!P201*DTE_mission_minutes!P45,"-")</f>
        <v>0</v>
      </c>
      <c r="Q203" s="105">
        <f>IFERROR(lifespans_all!Q201*DTE_mission_minutes!Q45,"-")</f>
        <v>0</v>
      </c>
      <c r="R203" s="105">
        <f>IFERROR(lifespans_all!R201*DTE_mission_minutes!R45,"-")</f>
        <v>0</v>
      </c>
      <c r="S203" s="105">
        <f>IFERROR(lifespans_all!S201*DTE_mission_minutes!S45,"-")</f>
        <v>0</v>
      </c>
      <c r="T203" s="105">
        <f>IFERROR(lifespans_all!T201*DTE_mission_minutes!T45,"-")</f>
        <v>0</v>
      </c>
      <c r="U203" s="105">
        <f>IFERROR(lifespans_all!U201*DTE_mission_minutes!U45,"-")</f>
        <v>0</v>
      </c>
      <c r="V203" s="105">
        <f>IFERROR(lifespans_all!V201*DTE_mission_minutes!V45,"-")</f>
        <v>0</v>
      </c>
    </row>
    <row r="204" spans="1:22" x14ac:dyDescent="0.25">
      <c r="A204" s="29" t="s">
        <v>36</v>
      </c>
      <c r="B204" s="30" t="s">
        <v>40</v>
      </c>
      <c r="C204" s="105">
        <f>IFERROR(lifespans_all!C202*DTE_mission_minutes!C46,"-")</f>
        <v>2140.4341038095235</v>
      </c>
      <c r="D204" s="105">
        <f>IFERROR(lifespans_all!D202*DTE_mission_minutes!D46,"-")</f>
        <v>2140.4341038095235</v>
      </c>
      <c r="E204" s="105">
        <f>IFERROR(lifespans_all!E202*DTE_mission_minutes!E46,"-")</f>
        <v>0</v>
      </c>
      <c r="F204" s="105">
        <f>IFERROR(lifespans_all!F202*DTE_mission_minutes!F46,"-")</f>
        <v>0</v>
      </c>
      <c r="G204" s="105">
        <f>IFERROR(lifespans_all!G202*DTE_mission_minutes!G46,"-")</f>
        <v>0</v>
      </c>
      <c r="H204" s="105">
        <f>IFERROR(lifespans_all!H202*DTE_mission_minutes!H46,"-")</f>
        <v>0</v>
      </c>
      <c r="I204" s="105">
        <f>IFERROR(lifespans_all!I202*DTE_mission_minutes!I46,"-")</f>
        <v>0</v>
      </c>
      <c r="J204" s="105">
        <f>IFERROR(lifespans_all!J202*DTE_mission_minutes!J46,"-")</f>
        <v>0</v>
      </c>
      <c r="K204" s="105">
        <f>IFERROR(lifespans_all!K202*DTE_mission_minutes!K46,"-")</f>
        <v>0</v>
      </c>
      <c r="L204" s="105">
        <f>IFERROR(lifespans_all!L202*DTE_mission_minutes!L46,"-")</f>
        <v>0</v>
      </c>
      <c r="M204" s="105">
        <f>IFERROR(lifespans_all!M202*DTE_mission_minutes!M46,"-")</f>
        <v>0</v>
      </c>
      <c r="N204" s="105">
        <f>IFERROR(lifespans_all!N202*DTE_mission_minutes!N46,"-")</f>
        <v>0</v>
      </c>
      <c r="O204" s="105">
        <f>IFERROR(lifespans_all!O202*DTE_mission_minutes!O46,"-")</f>
        <v>0</v>
      </c>
      <c r="P204" s="105">
        <f>IFERROR(lifespans_all!P202*DTE_mission_minutes!P46,"-")</f>
        <v>0</v>
      </c>
      <c r="Q204" s="105">
        <f>IFERROR(lifespans_all!Q202*DTE_mission_minutes!Q46,"-")</f>
        <v>0</v>
      </c>
      <c r="R204" s="105">
        <f>IFERROR(lifespans_all!R202*DTE_mission_minutes!R46,"-")</f>
        <v>0</v>
      </c>
      <c r="S204" s="105">
        <f>IFERROR(lifespans_all!S202*DTE_mission_minutes!S46,"-")</f>
        <v>0</v>
      </c>
      <c r="T204" s="105">
        <f>IFERROR(lifespans_all!T202*DTE_mission_minutes!T46,"-")</f>
        <v>0</v>
      </c>
      <c r="U204" s="105">
        <f>IFERROR(lifespans_all!U202*DTE_mission_minutes!U46,"-")</f>
        <v>0</v>
      </c>
      <c r="V204" s="105">
        <f>IFERROR(lifespans_all!V202*DTE_mission_minutes!V46,"-")</f>
        <v>0</v>
      </c>
    </row>
    <row r="205" spans="1:22" x14ac:dyDescent="0.25">
      <c r="A205" s="29" t="s">
        <v>37</v>
      </c>
      <c r="B205" s="30" t="s">
        <v>40</v>
      </c>
      <c r="C205" s="105">
        <f>IFERROR(lifespans_all!C203*DTE_mission_minutes!C47,"-")</f>
        <v>2140.4341038095235</v>
      </c>
      <c r="D205" s="105">
        <f>IFERROR(lifespans_all!D203*DTE_mission_minutes!D47,"-")</f>
        <v>2140.4341038095235</v>
      </c>
      <c r="E205" s="105">
        <f>IFERROR(lifespans_all!E203*DTE_mission_minutes!E47,"-")</f>
        <v>0</v>
      </c>
      <c r="F205" s="105">
        <f>IFERROR(lifespans_all!F203*DTE_mission_minutes!F47,"-")</f>
        <v>0</v>
      </c>
      <c r="G205" s="105">
        <f>IFERROR(lifespans_all!G203*DTE_mission_minutes!G47,"-")</f>
        <v>0</v>
      </c>
      <c r="H205" s="105">
        <f>IFERROR(lifespans_all!H203*DTE_mission_minutes!H47,"-")</f>
        <v>0</v>
      </c>
      <c r="I205" s="105">
        <f>IFERROR(lifespans_all!I203*DTE_mission_minutes!I47,"-")</f>
        <v>0</v>
      </c>
      <c r="J205" s="105">
        <f>IFERROR(lifespans_all!J203*DTE_mission_minutes!J47,"-")</f>
        <v>0</v>
      </c>
      <c r="K205" s="105">
        <f>IFERROR(lifespans_all!K203*DTE_mission_minutes!K47,"-")</f>
        <v>0</v>
      </c>
      <c r="L205" s="105">
        <f>IFERROR(lifespans_all!L203*DTE_mission_minutes!L47,"-")</f>
        <v>0</v>
      </c>
      <c r="M205" s="105">
        <f>IFERROR(lifespans_all!M203*DTE_mission_minutes!M47,"-")</f>
        <v>0</v>
      </c>
      <c r="N205" s="105">
        <f>IFERROR(lifespans_all!N203*DTE_mission_minutes!N47,"-")</f>
        <v>0</v>
      </c>
      <c r="O205" s="105">
        <f>IFERROR(lifespans_all!O203*DTE_mission_minutes!O47,"-")</f>
        <v>0</v>
      </c>
      <c r="P205" s="105">
        <f>IFERROR(lifespans_all!P203*DTE_mission_minutes!P47,"-")</f>
        <v>0</v>
      </c>
      <c r="Q205" s="105">
        <f>IFERROR(lifespans_all!Q203*DTE_mission_minutes!Q47,"-")</f>
        <v>0</v>
      </c>
      <c r="R205" s="105">
        <f>IFERROR(lifespans_all!R203*DTE_mission_minutes!R47,"-")</f>
        <v>0</v>
      </c>
      <c r="S205" s="105">
        <f>IFERROR(lifespans_all!S203*DTE_mission_minutes!S47,"-")</f>
        <v>0</v>
      </c>
      <c r="T205" s="105">
        <f>IFERROR(lifespans_all!T203*DTE_mission_minutes!T47,"-")</f>
        <v>0</v>
      </c>
      <c r="U205" s="105">
        <f>IFERROR(lifespans_all!U203*DTE_mission_minutes!U47,"-")</f>
        <v>0</v>
      </c>
      <c r="V205" s="105">
        <f>IFERROR(lifespans_all!V203*DTE_mission_minutes!V47,"-")</f>
        <v>0</v>
      </c>
    </row>
    <row r="206" spans="1:22" x14ac:dyDescent="0.25">
      <c r="A206" s="29" t="s">
        <v>38</v>
      </c>
      <c r="B206" s="30" t="s">
        <v>41</v>
      </c>
      <c r="C206" s="105">
        <f>IFERROR(lifespans_all!C204*DTE_mission_minutes!C48,"-")</f>
        <v>133409.35004928565</v>
      </c>
      <c r="D206" s="105">
        <f>IFERROR(lifespans_all!D204*DTE_mission_minutes!D48,"-")</f>
        <v>0</v>
      </c>
      <c r="E206" s="105">
        <f>IFERROR(lifespans_all!E204*DTE_mission_minutes!E48,"-")</f>
        <v>0</v>
      </c>
      <c r="F206" s="105">
        <f>IFERROR(lifespans_all!F204*DTE_mission_minutes!F48,"-")</f>
        <v>0</v>
      </c>
      <c r="G206" s="105">
        <f>IFERROR(lifespans_all!G204*DTE_mission_minutes!G48,"-")</f>
        <v>0</v>
      </c>
      <c r="H206" s="105">
        <f>IFERROR(lifespans_all!H204*DTE_mission_minutes!H48,"-")</f>
        <v>0</v>
      </c>
      <c r="I206" s="105">
        <f>IFERROR(lifespans_all!I204*DTE_mission_minutes!I48,"-")</f>
        <v>0</v>
      </c>
      <c r="J206" s="105">
        <f>IFERROR(lifespans_all!J204*DTE_mission_minutes!J48,"-")</f>
        <v>0</v>
      </c>
      <c r="K206" s="105">
        <f>IFERROR(lifespans_all!K204*DTE_mission_minutes!K48,"-")</f>
        <v>0</v>
      </c>
      <c r="L206" s="105">
        <f>IFERROR(lifespans_all!L204*DTE_mission_minutes!L48,"-")</f>
        <v>0</v>
      </c>
      <c r="M206" s="105">
        <f>IFERROR(lifespans_all!M204*DTE_mission_minutes!M48,"-")</f>
        <v>0</v>
      </c>
      <c r="N206" s="105">
        <f>IFERROR(lifespans_all!N204*DTE_mission_minutes!N48,"-")</f>
        <v>0</v>
      </c>
      <c r="O206" s="105">
        <f>IFERROR(lifespans_all!O204*DTE_mission_minutes!O48,"-")</f>
        <v>0</v>
      </c>
      <c r="P206" s="105">
        <f>IFERROR(lifespans_all!P204*DTE_mission_minutes!P48,"-")</f>
        <v>0</v>
      </c>
      <c r="Q206" s="105">
        <f>IFERROR(lifespans_all!Q204*DTE_mission_minutes!Q48,"-")</f>
        <v>0</v>
      </c>
      <c r="R206" s="105">
        <f>IFERROR(lifespans_all!R204*DTE_mission_minutes!R48,"-")</f>
        <v>0</v>
      </c>
      <c r="S206" s="105">
        <f>IFERROR(lifespans_all!S204*DTE_mission_minutes!S48,"-")</f>
        <v>0</v>
      </c>
      <c r="T206" s="105">
        <f>IFERROR(lifespans_all!T204*DTE_mission_minutes!T48,"-")</f>
        <v>0</v>
      </c>
      <c r="U206" s="105">
        <f>IFERROR(lifespans_all!U204*DTE_mission_minutes!U48,"-")</f>
        <v>0</v>
      </c>
      <c r="V206" s="105">
        <f>IFERROR(lifespans_all!V204*DTE_mission_minutes!V48,"-")</f>
        <v>0</v>
      </c>
    </row>
    <row r="207" spans="1:22" x14ac:dyDescent="0.25">
      <c r="A207" s="21" t="str">
        <f t="shared" ref="A207:B214" si="29">A49</f>
        <v>New</v>
      </c>
      <c r="B207" s="21" t="str">
        <f t="shared" si="29"/>
        <v>Human Space Flight</v>
      </c>
      <c r="C207" s="105" t="str">
        <f>IFERROR((lifespans_all!C205*DTE_mission_minutes!C49)*POWER(1+(#REF!/100),C$1-2021),"-")</f>
        <v>-</v>
      </c>
      <c r="D207" s="105" t="str">
        <f>IFERROR((lifespans_all!D205*DTE_mission_minutes!D49)*POWER(1+(#REF!/100),D$1-2021),"-")</f>
        <v>-</v>
      </c>
      <c r="E207" s="105" t="str">
        <f>IFERROR((lifespans_all!E205*DTE_mission_minutes!E49)*POWER(1+(#REF!/100),E$1-2021),"-")</f>
        <v>-</v>
      </c>
      <c r="F207" s="105" t="str">
        <f>IFERROR((lifespans_all!F205*DTE_mission_minutes!F49)*POWER(1+(#REF!/100),F$1-2021),"-")</f>
        <v>-</v>
      </c>
      <c r="G207" s="105" t="str">
        <f>IFERROR((lifespans_all!G205*DTE_mission_minutes!G49)*POWER(1+(#REF!/100),G$1-2021),"-")</f>
        <v>-</v>
      </c>
      <c r="H207" s="105" t="str">
        <f>IFERROR((lifespans_all!H205*DTE_mission_minutes!H49)*POWER(1+(#REF!/100),H$1-2021),"-")</f>
        <v>-</v>
      </c>
      <c r="I207" s="105" t="str">
        <f>IFERROR((lifespans_all!I205*DTE_mission_minutes!I49)*POWER(1+(#REF!/100),I$1-2021),"-")</f>
        <v>-</v>
      </c>
      <c r="J207" s="105" t="str">
        <f>IFERROR((lifespans_all!J205*DTE_mission_minutes!J49)*POWER(1+(#REF!/100),J$1-2021),"-")</f>
        <v>-</v>
      </c>
      <c r="K207" s="105" t="str">
        <f>IFERROR((lifespans_all!K205*DTE_mission_minutes!K49)*POWER(1+(#REF!/100),K$1-2021),"-")</f>
        <v>-</v>
      </c>
      <c r="L207" s="105" t="str">
        <f>IFERROR((lifespans_all!L205*DTE_mission_minutes!L49)*POWER(1+(#REF!/100),L$1-2021),"-")</f>
        <v>-</v>
      </c>
      <c r="M207" s="105" t="str">
        <f>IFERROR((lifespans_all!M205*DTE_mission_minutes!M49)*POWER(1+(#REF!/100),M$1-2021),"-")</f>
        <v>-</v>
      </c>
      <c r="N207" s="105" t="str">
        <f>IFERROR((lifespans_all!N205*DTE_mission_minutes!N49)*POWER(1+(#REF!/100),N$1-2021),"-")</f>
        <v>-</v>
      </c>
      <c r="O207" s="105" t="str">
        <f>IFERROR((lifespans_all!O205*DTE_mission_minutes!O49)*POWER(1+(#REF!/100),O$1-2021),"-")</f>
        <v>-</v>
      </c>
      <c r="P207" s="105" t="str">
        <f>IFERROR((lifespans_all!P205*DTE_mission_minutes!P49)*POWER(1+(#REF!/100),P$1-2021),"-")</f>
        <v>-</v>
      </c>
      <c r="Q207" s="105" t="str">
        <f>IFERROR((lifespans_all!Q205*DTE_mission_minutes!Q49)*POWER(1+(#REF!/100),Q$1-2021),"-")</f>
        <v>-</v>
      </c>
      <c r="R207" s="105" t="str">
        <f>IFERROR((lifespans_all!R205*DTE_mission_minutes!R49)*POWER(1+(#REF!/100),R$1-2021),"-")</f>
        <v>-</v>
      </c>
      <c r="S207" s="105" t="str">
        <f>IFERROR((lifespans_all!S205*DTE_mission_minutes!S49)*POWER(1+(#REF!/100),S$1-2021),"-")</f>
        <v>-</v>
      </c>
      <c r="T207" s="105" t="str">
        <f>IFERROR((lifespans_all!T205*DTE_mission_minutes!T49)*POWER(1+(#REF!/100),T$1-2021),"-")</f>
        <v>-</v>
      </c>
      <c r="U207" s="105" t="str">
        <f>IFERROR((lifespans_all!U205*DTE_mission_minutes!U49)*POWER(1+(#REF!/100),U$1-2021),"-")</f>
        <v>-</v>
      </c>
      <c r="V207" s="105" t="str">
        <f>IFERROR((lifespans_all!V205*DTE_mission_minutes!V49)*POWER(1+(#REF!/100),V$1-2021),"-")</f>
        <v>-</v>
      </c>
    </row>
    <row r="208" spans="1:22" x14ac:dyDescent="0.25">
      <c r="A208" s="21" t="str">
        <f t="shared" si="29"/>
        <v>New</v>
      </c>
      <c r="B208" s="21" t="str">
        <f t="shared" si="29"/>
        <v>Near Earth Robotic - LEO Science</v>
      </c>
      <c r="C208" s="105" t="str">
        <f>IFERROR((lifespans_all!C206*DTE_mission_minutes!C50)*POWER(1+(#REF!/100),C$1-2021),"-")</f>
        <v>-</v>
      </c>
      <c r="D208" s="105" t="str">
        <f>IFERROR((lifespans_all!D206*DTE_mission_minutes!D50)*POWER(1+(#REF!/100),D$1-2021),"-")</f>
        <v>-</v>
      </c>
      <c r="E208" s="105" t="str">
        <f>IFERROR((lifespans_all!E206*DTE_mission_minutes!E50)*POWER(1+(#REF!/100),E$1-2021),"-")</f>
        <v>-</v>
      </c>
      <c r="F208" s="105" t="str">
        <f>IFERROR((lifespans_all!F206*DTE_mission_minutes!F50)*POWER(1+(#REF!/100),F$1-2021),"-")</f>
        <v>-</v>
      </c>
      <c r="G208" s="105" t="str">
        <f>IFERROR((lifespans_all!G206*DTE_mission_minutes!G50)*POWER(1+(#REF!/100),G$1-2021),"-")</f>
        <v>-</v>
      </c>
      <c r="H208" s="105" t="str">
        <f>IFERROR((lifespans_all!H206*DTE_mission_minutes!H50)*POWER(1+(#REF!/100),H$1-2021),"-")</f>
        <v>-</v>
      </c>
      <c r="I208" s="105" t="str">
        <f>IFERROR((lifespans_all!I206*DTE_mission_minutes!I50)*POWER(1+(#REF!/100),I$1-2021),"-")</f>
        <v>-</v>
      </c>
      <c r="J208" s="105" t="str">
        <f>IFERROR((lifespans_all!J206*DTE_mission_minutes!J50)*POWER(1+(#REF!/100),J$1-2021),"-")</f>
        <v>-</v>
      </c>
      <c r="K208" s="105" t="str">
        <f>IFERROR((lifespans_all!K206*DTE_mission_minutes!K50)*POWER(1+(#REF!/100),K$1-2021),"-")</f>
        <v>-</v>
      </c>
      <c r="L208" s="105" t="str">
        <f>IFERROR((lifespans_all!L206*DTE_mission_minutes!L50)*POWER(1+(#REF!/100),L$1-2021),"-")</f>
        <v>-</v>
      </c>
      <c r="M208" s="105" t="str">
        <f>IFERROR((lifespans_all!M206*DTE_mission_minutes!M50)*POWER(1+(#REF!/100),M$1-2021),"-")</f>
        <v>-</v>
      </c>
      <c r="N208" s="105" t="str">
        <f>IFERROR((lifespans_all!N206*DTE_mission_minutes!N50)*POWER(1+(#REF!/100),N$1-2021),"-")</f>
        <v>-</v>
      </c>
      <c r="O208" s="105" t="str">
        <f>IFERROR((lifespans_all!O206*DTE_mission_minutes!O50)*POWER(1+(#REF!/100),O$1-2021),"-")</f>
        <v>-</v>
      </c>
      <c r="P208" s="105" t="str">
        <f>IFERROR((lifespans_all!P206*DTE_mission_minutes!P50)*POWER(1+(#REF!/100),P$1-2021),"-")</f>
        <v>-</v>
      </c>
      <c r="Q208" s="105" t="str">
        <f>IFERROR((lifespans_all!Q206*DTE_mission_minutes!Q50)*POWER(1+(#REF!/100),Q$1-2021),"-")</f>
        <v>-</v>
      </c>
      <c r="R208" s="105" t="str">
        <f>IFERROR((lifespans_all!R206*DTE_mission_minutes!R50)*POWER(1+(#REF!/100),R$1-2021),"-")</f>
        <v>-</v>
      </c>
      <c r="S208" s="105" t="str">
        <f>IFERROR((lifespans_all!S206*DTE_mission_minutes!S50)*POWER(1+(#REF!/100),S$1-2021),"-")</f>
        <v>-</v>
      </c>
      <c r="T208" s="105" t="str">
        <f>IFERROR((lifespans_all!T206*DTE_mission_minutes!T50)*POWER(1+(#REF!/100),T$1-2021),"-")</f>
        <v>-</v>
      </c>
      <c r="U208" s="105" t="str">
        <f>IFERROR((lifespans_all!U206*DTE_mission_minutes!U50)*POWER(1+(#REF!/100),U$1-2021),"-")</f>
        <v>-</v>
      </c>
      <c r="V208" s="105" t="str">
        <f>IFERROR((lifespans_all!V206*DTE_mission_minutes!V50)*POWER(1+(#REF!/100),V$1-2021),"-")</f>
        <v>-</v>
      </c>
    </row>
    <row r="209" spans="1:22" x14ac:dyDescent="0.25">
      <c r="A209" s="21" t="str">
        <f t="shared" si="29"/>
        <v>New</v>
      </c>
      <c r="B209" s="21" t="str">
        <f t="shared" si="29"/>
        <v>Near Earth Robotic - GEO and Near Earth</v>
      </c>
      <c r="C209" s="105" t="str">
        <f>IFERROR((lifespans_all!C207*DTE_mission_minutes!C51)*POWER(1+(#REF!/100),C$1-2021),"-")</f>
        <v>-</v>
      </c>
      <c r="D209" s="105" t="str">
        <f>IFERROR((lifespans_all!D207*DTE_mission_minutes!D51)*POWER(1+(#REF!/100),D$1-2021),"-")</f>
        <v>-</v>
      </c>
      <c r="E209" s="105" t="str">
        <f>IFERROR((lifespans_all!E207*DTE_mission_minutes!E51)*POWER(1+(#REF!/100),E$1-2021),"-")</f>
        <v>-</v>
      </c>
      <c r="F209" s="105" t="str">
        <f>IFERROR((lifespans_all!F207*DTE_mission_minutes!F51)*POWER(1+(#REF!/100),F$1-2021),"-")</f>
        <v>-</v>
      </c>
      <c r="G209" s="105" t="str">
        <f>IFERROR((lifespans_all!G207*DTE_mission_minutes!G51)*POWER(1+(#REF!/100),G$1-2021),"-")</f>
        <v>-</v>
      </c>
      <c r="H209" s="105" t="str">
        <f>IFERROR((lifespans_all!H207*DTE_mission_minutes!H51)*POWER(1+(#REF!/100),H$1-2021),"-")</f>
        <v>-</v>
      </c>
      <c r="I209" s="105" t="str">
        <f>IFERROR((lifespans_all!I207*DTE_mission_minutes!I51)*POWER(1+(#REF!/100),I$1-2021),"-")</f>
        <v>-</v>
      </c>
      <c r="J209" s="105" t="str">
        <f>IFERROR((lifespans_all!J207*DTE_mission_minutes!J51)*POWER(1+(#REF!/100),J$1-2021),"-")</f>
        <v>-</v>
      </c>
      <c r="K209" s="105" t="str">
        <f>IFERROR((lifespans_all!K207*DTE_mission_minutes!K51)*POWER(1+(#REF!/100),K$1-2021),"-")</f>
        <v>-</v>
      </c>
      <c r="L209" s="105" t="str">
        <f>IFERROR((lifespans_all!L207*DTE_mission_minutes!L51)*POWER(1+(#REF!/100),L$1-2021),"-")</f>
        <v>-</v>
      </c>
      <c r="M209" s="105" t="str">
        <f>IFERROR((lifespans_all!M207*DTE_mission_minutes!M51)*POWER(1+(#REF!/100),M$1-2021),"-")</f>
        <v>-</v>
      </c>
      <c r="N209" s="105" t="str">
        <f>IFERROR((lifespans_all!N207*DTE_mission_minutes!N51)*POWER(1+(#REF!/100),N$1-2021),"-")</f>
        <v>-</v>
      </c>
      <c r="O209" s="105" t="str">
        <f>IFERROR((lifespans_all!O207*DTE_mission_minutes!O51)*POWER(1+(#REF!/100),O$1-2021),"-")</f>
        <v>-</v>
      </c>
      <c r="P209" s="105" t="str">
        <f>IFERROR((lifespans_all!P207*DTE_mission_minutes!P51)*POWER(1+(#REF!/100),P$1-2021),"-")</f>
        <v>-</v>
      </c>
      <c r="Q209" s="105" t="str">
        <f>IFERROR((lifespans_all!Q207*DTE_mission_minutes!Q51)*POWER(1+(#REF!/100),Q$1-2021),"-")</f>
        <v>-</v>
      </c>
      <c r="R209" s="105" t="str">
        <f>IFERROR((lifespans_all!R207*DTE_mission_minutes!R51)*POWER(1+(#REF!/100),R$1-2021),"-")</f>
        <v>-</v>
      </c>
      <c r="S209" s="105" t="str">
        <f>IFERROR((lifespans_all!S207*DTE_mission_minutes!S51)*POWER(1+(#REF!/100),S$1-2021),"-")</f>
        <v>-</v>
      </c>
      <c r="T209" s="105" t="str">
        <f>IFERROR((lifespans_all!T207*DTE_mission_minutes!T51)*POWER(1+(#REF!/100),T$1-2021),"-")</f>
        <v>-</v>
      </c>
      <c r="U209" s="105" t="str">
        <f>IFERROR((lifespans_all!U207*DTE_mission_minutes!U51)*POWER(1+(#REF!/100),U$1-2021),"-")</f>
        <v>-</v>
      </c>
      <c r="V209" s="105" t="str">
        <f>IFERROR((lifespans_all!V207*DTE_mission_minutes!V51)*POWER(1+(#REF!/100),V$1-2021),"-")</f>
        <v>-</v>
      </c>
    </row>
    <row r="210" spans="1:22" x14ac:dyDescent="0.25">
      <c r="A210" s="21" t="str">
        <f t="shared" si="29"/>
        <v>New</v>
      </c>
      <c r="B210" s="21" t="str">
        <f t="shared" si="29"/>
        <v>Deep Space Robotic</v>
      </c>
      <c r="C210" s="105" t="str">
        <f>IFERROR((lifespans_all!C208*DTE_mission_minutes!C52)*POWER(1+(#REF!/100),C$1-2021),"-")</f>
        <v>-</v>
      </c>
      <c r="D210" s="105" t="str">
        <f>IFERROR((lifespans_all!D208*DTE_mission_minutes!D52)*POWER(1+(#REF!/100),D$1-2021),"-")</f>
        <v>-</v>
      </c>
      <c r="E210" s="105" t="str">
        <f>IFERROR((lifespans_all!E208*DTE_mission_minutes!E52)*POWER(1+(#REF!/100),E$1-2021),"-")</f>
        <v>-</v>
      </c>
      <c r="F210" s="105" t="str">
        <f>IFERROR((lifespans_all!F208*DTE_mission_minutes!F52)*POWER(1+(#REF!/100),F$1-2021),"-")</f>
        <v>-</v>
      </c>
      <c r="G210" s="105" t="str">
        <f>IFERROR((lifespans_all!G208*DTE_mission_minutes!G52)*POWER(1+(#REF!/100),G$1-2021),"-")</f>
        <v>-</v>
      </c>
      <c r="H210" s="105" t="str">
        <f>IFERROR((lifespans_all!H208*DTE_mission_minutes!H52)*POWER(1+(#REF!/100),H$1-2021),"-")</f>
        <v>-</v>
      </c>
      <c r="I210" s="105" t="str">
        <f>IFERROR((lifespans_all!I208*DTE_mission_minutes!I52)*POWER(1+(#REF!/100),I$1-2021),"-")</f>
        <v>-</v>
      </c>
      <c r="J210" s="105" t="str">
        <f>IFERROR((lifespans_all!J208*DTE_mission_minutes!J52)*POWER(1+(#REF!/100),J$1-2021),"-")</f>
        <v>-</v>
      </c>
      <c r="K210" s="105" t="str">
        <f>IFERROR((lifespans_all!K208*DTE_mission_minutes!K52)*POWER(1+(#REF!/100),K$1-2021),"-")</f>
        <v>-</v>
      </c>
      <c r="L210" s="105" t="str">
        <f>IFERROR((lifespans_all!L208*DTE_mission_minutes!L52)*POWER(1+(#REF!/100),L$1-2021),"-")</f>
        <v>-</v>
      </c>
      <c r="M210" s="105" t="str">
        <f>IFERROR((lifespans_all!M208*DTE_mission_minutes!M52)*POWER(1+(#REF!/100),M$1-2021),"-")</f>
        <v>-</v>
      </c>
      <c r="N210" s="105" t="str">
        <f>IFERROR((lifespans_all!N208*DTE_mission_minutes!N52)*POWER(1+(#REF!/100),N$1-2021),"-")</f>
        <v>-</v>
      </c>
      <c r="O210" s="105" t="str">
        <f>IFERROR((lifespans_all!O208*DTE_mission_minutes!O52)*POWER(1+(#REF!/100),O$1-2021),"-")</f>
        <v>-</v>
      </c>
      <c r="P210" s="105" t="str">
        <f>IFERROR((lifespans_all!P208*DTE_mission_minutes!P52)*POWER(1+(#REF!/100),P$1-2021),"-")</f>
        <v>-</v>
      </c>
      <c r="Q210" s="105" t="str">
        <f>IFERROR((lifespans_all!Q208*DTE_mission_minutes!Q52)*POWER(1+(#REF!/100),Q$1-2021),"-")</f>
        <v>-</v>
      </c>
      <c r="R210" s="105" t="str">
        <f>IFERROR((lifespans_all!R208*DTE_mission_minutes!R52)*POWER(1+(#REF!/100),R$1-2021),"-")</f>
        <v>-</v>
      </c>
      <c r="S210" s="105" t="str">
        <f>IFERROR((lifespans_all!S208*DTE_mission_minutes!S52)*POWER(1+(#REF!/100),S$1-2021),"-")</f>
        <v>-</v>
      </c>
      <c r="T210" s="105" t="str">
        <f>IFERROR((lifespans_all!T208*DTE_mission_minutes!T52)*POWER(1+(#REF!/100),T$1-2021),"-")</f>
        <v>-</v>
      </c>
      <c r="U210" s="105" t="str">
        <f>IFERROR((lifespans_all!U208*DTE_mission_minutes!U52)*POWER(1+(#REF!/100),U$1-2021),"-")</f>
        <v>-</v>
      </c>
      <c r="V210" s="105" t="str">
        <f>IFERROR((lifespans_all!V208*DTE_mission_minutes!V52)*POWER(1+(#REF!/100),V$1-2021),"-")</f>
        <v>-</v>
      </c>
    </row>
    <row r="211" spans="1:22" x14ac:dyDescent="0.25">
      <c r="A211" s="21" t="str">
        <f t="shared" si="29"/>
        <v>New</v>
      </c>
      <c r="B211" s="21" t="str">
        <f t="shared" si="29"/>
        <v>Near Earth Robotic - Low Latency &amp; Complex Needs</v>
      </c>
      <c r="C211" s="105" t="str">
        <f>IFERROR((lifespans_all!C209*DTE_mission_minutes!C53)*POWER(1+(#REF!/100),C$1-2021),"-")</f>
        <v>-</v>
      </c>
      <c r="D211" s="105" t="str">
        <f>IFERROR((lifespans_all!D209*DTE_mission_minutes!D53)*POWER(1+(#REF!/100),D$1-2021),"-")</f>
        <v>-</v>
      </c>
      <c r="E211" s="105" t="str">
        <f>IFERROR((lifespans_all!E209*DTE_mission_minutes!E53)*POWER(1+(#REF!/100),E$1-2021),"-")</f>
        <v>-</v>
      </c>
      <c r="F211" s="105" t="str">
        <f>IFERROR((lifespans_all!F209*DTE_mission_minutes!F53)*POWER(1+(#REF!/100),F$1-2021),"-")</f>
        <v>-</v>
      </c>
      <c r="G211" s="105" t="str">
        <f>IFERROR((lifespans_all!G209*DTE_mission_minutes!G53)*POWER(1+(#REF!/100),G$1-2021),"-")</f>
        <v>-</v>
      </c>
      <c r="H211" s="105" t="str">
        <f>IFERROR((lifespans_all!H209*DTE_mission_minutes!H53)*POWER(1+(#REF!/100),H$1-2021),"-")</f>
        <v>-</v>
      </c>
      <c r="I211" s="105" t="str">
        <f>IFERROR((lifespans_all!I209*DTE_mission_minutes!I53)*POWER(1+(#REF!/100),I$1-2021),"-")</f>
        <v>-</v>
      </c>
      <c r="J211" s="105" t="str">
        <f>IFERROR((lifespans_all!J209*DTE_mission_minutes!J53)*POWER(1+(#REF!/100),J$1-2021),"-")</f>
        <v>-</v>
      </c>
      <c r="K211" s="105" t="str">
        <f>IFERROR((lifespans_all!K209*DTE_mission_minutes!K53)*POWER(1+(#REF!/100),K$1-2021),"-")</f>
        <v>-</v>
      </c>
      <c r="L211" s="105" t="str">
        <f>IFERROR((lifespans_all!L209*DTE_mission_minutes!L53)*POWER(1+(#REF!/100),L$1-2021),"-")</f>
        <v>-</v>
      </c>
      <c r="M211" s="105" t="str">
        <f>IFERROR((lifespans_all!M209*DTE_mission_minutes!M53)*POWER(1+(#REF!/100),M$1-2021),"-")</f>
        <v>-</v>
      </c>
      <c r="N211" s="105" t="str">
        <f>IFERROR((lifespans_all!N209*DTE_mission_minutes!N53)*POWER(1+(#REF!/100),N$1-2021),"-")</f>
        <v>-</v>
      </c>
      <c r="O211" s="105" t="str">
        <f>IFERROR((lifespans_all!O209*DTE_mission_minutes!O53)*POWER(1+(#REF!/100),O$1-2021),"-")</f>
        <v>-</v>
      </c>
      <c r="P211" s="105" t="str">
        <f>IFERROR((lifespans_all!P209*DTE_mission_minutes!P53)*POWER(1+(#REF!/100),P$1-2021),"-")</f>
        <v>-</v>
      </c>
      <c r="Q211" s="105" t="str">
        <f>IFERROR((lifespans_all!Q209*DTE_mission_minutes!Q53)*POWER(1+(#REF!/100),Q$1-2021),"-")</f>
        <v>-</v>
      </c>
      <c r="R211" s="105" t="str">
        <f>IFERROR((lifespans_all!R209*DTE_mission_minutes!R53)*POWER(1+(#REF!/100),R$1-2021),"-")</f>
        <v>-</v>
      </c>
      <c r="S211" s="105" t="str">
        <f>IFERROR((lifespans_all!S209*DTE_mission_minutes!S53)*POWER(1+(#REF!/100),S$1-2021),"-")</f>
        <v>-</v>
      </c>
      <c r="T211" s="105" t="str">
        <f>IFERROR((lifespans_all!T209*DTE_mission_minutes!T53)*POWER(1+(#REF!/100),T$1-2021),"-")</f>
        <v>-</v>
      </c>
      <c r="U211" s="105" t="str">
        <f>IFERROR((lifespans_all!U209*DTE_mission_minutes!U53)*POWER(1+(#REF!/100),U$1-2021),"-")</f>
        <v>-</v>
      </c>
      <c r="V211" s="105" t="str">
        <f>IFERROR((lifespans_all!V209*DTE_mission_minutes!V53)*POWER(1+(#REF!/100),V$1-2021),"-")</f>
        <v>-</v>
      </c>
    </row>
    <row r="212" spans="1:22" x14ac:dyDescent="0.25">
      <c r="A212" s="21" t="str">
        <f t="shared" si="29"/>
        <v>New</v>
      </c>
      <c r="B212" s="21" t="str">
        <f t="shared" si="29"/>
        <v>Mission Operations</v>
      </c>
      <c r="C212" s="105" t="str">
        <f>IFERROR((lifespans_all!C210*DTE_mission_minutes!C54)*POWER(1+(#REF!/100),C$1-2021),"-")</f>
        <v>-</v>
      </c>
      <c r="D212" s="105" t="str">
        <f>IFERROR((lifespans_all!D210*DTE_mission_minutes!D54)*POWER(1+(#REF!/100),D$1-2021),"-")</f>
        <v>-</v>
      </c>
      <c r="E212" s="105" t="str">
        <f>IFERROR((lifespans_all!E210*DTE_mission_minutes!E54)*POWER(1+(#REF!/100),E$1-2021),"-")</f>
        <v>-</v>
      </c>
      <c r="F212" s="105" t="str">
        <f>IFERROR((lifespans_all!F210*DTE_mission_minutes!F54)*POWER(1+(#REF!/100),F$1-2021),"-")</f>
        <v>-</v>
      </c>
      <c r="G212" s="105" t="str">
        <f>IFERROR((lifespans_all!G210*DTE_mission_minutes!G54)*POWER(1+(#REF!/100),G$1-2021),"-")</f>
        <v>-</v>
      </c>
      <c r="H212" s="105" t="str">
        <f>IFERROR((lifespans_all!H210*DTE_mission_minutes!H54)*POWER(1+(#REF!/100),H$1-2021),"-")</f>
        <v>-</v>
      </c>
      <c r="I212" s="105" t="str">
        <f>IFERROR((lifespans_all!I210*DTE_mission_minutes!I54)*POWER(1+(#REF!/100),I$1-2021),"-")</f>
        <v>-</v>
      </c>
      <c r="J212" s="105" t="str">
        <f>IFERROR((lifespans_all!J210*DTE_mission_minutes!J54)*POWER(1+(#REF!/100),J$1-2021),"-")</f>
        <v>-</v>
      </c>
      <c r="K212" s="105" t="str">
        <f>IFERROR((lifespans_all!K210*DTE_mission_minutes!K54)*POWER(1+(#REF!/100),K$1-2021),"-")</f>
        <v>-</v>
      </c>
      <c r="L212" s="105" t="str">
        <f>IFERROR((lifespans_all!L210*DTE_mission_minutes!L54)*POWER(1+(#REF!/100),L$1-2021),"-")</f>
        <v>-</v>
      </c>
      <c r="M212" s="105" t="str">
        <f>IFERROR((lifespans_all!M210*DTE_mission_minutes!M54)*POWER(1+(#REF!/100),M$1-2021),"-")</f>
        <v>-</v>
      </c>
      <c r="N212" s="105" t="str">
        <f>IFERROR((lifespans_all!N210*DTE_mission_minutes!N54)*POWER(1+(#REF!/100),N$1-2021),"-")</f>
        <v>-</v>
      </c>
      <c r="O212" s="105" t="str">
        <f>IFERROR((lifespans_all!O210*DTE_mission_minutes!O54)*POWER(1+(#REF!/100),O$1-2021),"-")</f>
        <v>-</v>
      </c>
      <c r="P212" s="105" t="str">
        <f>IFERROR((lifespans_all!P210*DTE_mission_minutes!P54)*POWER(1+(#REF!/100),P$1-2021),"-")</f>
        <v>-</v>
      </c>
      <c r="Q212" s="105" t="str">
        <f>IFERROR((lifespans_all!Q210*DTE_mission_minutes!Q54)*POWER(1+(#REF!/100),Q$1-2021),"-")</f>
        <v>-</v>
      </c>
      <c r="R212" s="105" t="str">
        <f>IFERROR((lifespans_all!R210*DTE_mission_minutes!R54)*POWER(1+(#REF!/100),R$1-2021),"-")</f>
        <v>-</v>
      </c>
      <c r="S212" s="105" t="str">
        <f>IFERROR((lifespans_all!S210*DTE_mission_minutes!S54)*POWER(1+(#REF!/100),S$1-2021),"-")</f>
        <v>-</v>
      </c>
      <c r="T212" s="105" t="str">
        <f>IFERROR((lifespans_all!T210*DTE_mission_minutes!T54)*POWER(1+(#REF!/100),T$1-2021),"-")</f>
        <v>-</v>
      </c>
      <c r="U212" s="105" t="str">
        <f>IFERROR((lifespans_all!U210*DTE_mission_minutes!U54)*POWER(1+(#REF!/100),U$1-2021),"-")</f>
        <v>-</v>
      </c>
      <c r="V212" s="105" t="str">
        <f>IFERROR((lifespans_all!V210*DTE_mission_minutes!V54)*POWER(1+(#REF!/100),V$1-2021),"-")</f>
        <v>-</v>
      </c>
    </row>
    <row r="213" spans="1:22" x14ac:dyDescent="0.25">
      <c r="A213" s="21" t="str">
        <f t="shared" si="29"/>
        <v>New</v>
      </c>
      <c r="B213" s="21" t="str">
        <f t="shared" si="29"/>
        <v>Launch Events</v>
      </c>
      <c r="C213" s="105" t="str">
        <f>IFERROR((lifespans_all!C211*DTE_mission_minutes!C55)*POWER(1+(#REF!/100),C$1-2021),"-")</f>
        <v>-</v>
      </c>
      <c r="D213" s="105" t="str">
        <f>IFERROR((lifespans_all!D211*DTE_mission_minutes!D55)*POWER(1+(#REF!/100),D$1-2021),"-")</f>
        <v>-</v>
      </c>
      <c r="E213" s="105" t="str">
        <f>IFERROR((lifespans_all!E211*DTE_mission_minutes!E55)*POWER(1+(#REF!/100),E$1-2021),"-")</f>
        <v>-</v>
      </c>
      <c r="F213" s="105" t="str">
        <f>IFERROR((lifespans_all!F211*DTE_mission_minutes!F55)*POWER(1+(#REF!/100),F$1-2021),"-")</f>
        <v>-</v>
      </c>
      <c r="G213" s="105" t="str">
        <f>IFERROR((lifespans_all!G211*DTE_mission_minutes!G55)*POWER(1+(#REF!/100),G$1-2021),"-")</f>
        <v>-</v>
      </c>
      <c r="H213" s="105" t="str">
        <f>IFERROR((lifespans_all!H211*DTE_mission_minutes!H55)*POWER(1+(#REF!/100),H$1-2021),"-")</f>
        <v>-</v>
      </c>
      <c r="I213" s="105" t="str">
        <f>IFERROR((lifespans_all!I211*DTE_mission_minutes!I55)*POWER(1+(#REF!/100),I$1-2021),"-")</f>
        <v>-</v>
      </c>
      <c r="J213" s="105" t="str">
        <f>IFERROR((lifespans_all!J211*DTE_mission_minutes!J55)*POWER(1+(#REF!/100),J$1-2021),"-")</f>
        <v>-</v>
      </c>
      <c r="K213" s="105" t="str">
        <f>IFERROR((lifespans_all!K211*DTE_mission_minutes!K55)*POWER(1+(#REF!/100),K$1-2021),"-")</f>
        <v>-</v>
      </c>
      <c r="L213" s="105" t="str">
        <f>IFERROR((lifespans_all!L211*DTE_mission_minutes!L55)*POWER(1+(#REF!/100),L$1-2021),"-")</f>
        <v>-</v>
      </c>
      <c r="M213" s="105" t="str">
        <f>IFERROR((lifespans_all!M211*DTE_mission_minutes!M55)*POWER(1+(#REF!/100),M$1-2021),"-")</f>
        <v>-</v>
      </c>
      <c r="N213" s="105" t="str">
        <f>IFERROR((lifespans_all!N211*DTE_mission_minutes!N55)*POWER(1+(#REF!/100),N$1-2021),"-")</f>
        <v>-</v>
      </c>
      <c r="O213" s="105" t="str">
        <f>IFERROR((lifespans_all!O211*DTE_mission_minutes!O55)*POWER(1+(#REF!/100),O$1-2021),"-")</f>
        <v>-</v>
      </c>
      <c r="P213" s="105" t="str">
        <f>IFERROR((lifespans_all!P211*DTE_mission_minutes!P55)*POWER(1+(#REF!/100),P$1-2021),"-")</f>
        <v>-</v>
      </c>
      <c r="Q213" s="105" t="str">
        <f>IFERROR((lifespans_all!Q211*DTE_mission_minutes!Q55)*POWER(1+(#REF!/100),Q$1-2021),"-")</f>
        <v>-</v>
      </c>
      <c r="R213" s="105" t="str">
        <f>IFERROR((lifespans_all!R211*DTE_mission_minutes!R55)*POWER(1+(#REF!/100),R$1-2021),"-")</f>
        <v>-</v>
      </c>
      <c r="S213" s="105" t="str">
        <f>IFERROR((lifespans_all!S211*DTE_mission_minutes!S55)*POWER(1+(#REF!/100),S$1-2021),"-")</f>
        <v>-</v>
      </c>
      <c r="T213" s="105" t="str">
        <f>IFERROR((lifespans_all!T211*DTE_mission_minutes!T55)*POWER(1+(#REF!/100),T$1-2021),"-")</f>
        <v>-</v>
      </c>
      <c r="U213" s="105" t="str">
        <f>IFERROR((lifespans_all!U211*DTE_mission_minutes!U55)*POWER(1+(#REF!/100),U$1-2021),"-")</f>
        <v>-</v>
      </c>
      <c r="V213" s="105" t="str">
        <f>IFERROR((lifespans_all!V211*DTE_mission_minutes!V55)*POWER(1+(#REF!/100),V$1-2021),"-")</f>
        <v>-</v>
      </c>
    </row>
    <row r="214" spans="1:22" x14ac:dyDescent="0.25">
      <c r="A214" s="21" t="str">
        <f t="shared" si="29"/>
        <v>New</v>
      </c>
      <c r="B214" s="21" t="str">
        <f t="shared" si="29"/>
        <v>Terrestrial &amp; Aerial</v>
      </c>
      <c r="C214" s="105" t="str">
        <f>IFERROR((lifespans_all!C212*DTE_mission_minutes!C56)*POWER(1+(#REF!/100),C$1-2021),"-")</f>
        <v>-</v>
      </c>
      <c r="D214" s="105" t="str">
        <f>IFERROR((lifespans_all!D212*DTE_mission_minutes!D56)*POWER(1+(#REF!/100),D$1-2021),"-")</f>
        <v>-</v>
      </c>
      <c r="E214" s="105" t="str">
        <f>IFERROR((lifespans_all!E212*DTE_mission_minutes!E56)*POWER(1+(#REF!/100),E$1-2021),"-")</f>
        <v>-</v>
      </c>
      <c r="F214" s="105" t="str">
        <f>IFERROR((lifespans_all!F212*DTE_mission_minutes!F56)*POWER(1+(#REF!/100),F$1-2021),"-")</f>
        <v>-</v>
      </c>
      <c r="G214" s="105" t="str">
        <f>IFERROR((lifespans_all!G212*DTE_mission_minutes!G56)*POWER(1+(#REF!/100),G$1-2021),"-")</f>
        <v>-</v>
      </c>
      <c r="H214" s="105" t="str">
        <f>IFERROR((lifespans_all!H212*DTE_mission_minutes!H56)*POWER(1+(#REF!/100),H$1-2021),"-")</f>
        <v>-</v>
      </c>
      <c r="I214" s="105" t="str">
        <f>IFERROR((lifespans_all!I212*DTE_mission_minutes!I56)*POWER(1+(#REF!/100),I$1-2021),"-")</f>
        <v>-</v>
      </c>
      <c r="J214" s="105" t="str">
        <f>IFERROR((lifespans_all!J212*DTE_mission_minutes!J56)*POWER(1+(#REF!/100),J$1-2021),"-")</f>
        <v>-</v>
      </c>
      <c r="K214" s="105" t="str">
        <f>IFERROR((lifespans_all!K212*DTE_mission_minutes!K56)*POWER(1+(#REF!/100),K$1-2021),"-")</f>
        <v>-</v>
      </c>
      <c r="L214" s="105" t="str">
        <f>IFERROR((lifespans_all!L212*DTE_mission_minutes!L56)*POWER(1+(#REF!/100),L$1-2021),"-")</f>
        <v>-</v>
      </c>
      <c r="M214" s="105" t="str">
        <f>IFERROR((lifespans_all!M212*DTE_mission_minutes!M56)*POWER(1+(#REF!/100),M$1-2021),"-")</f>
        <v>-</v>
      </c>
      <c r="N214" s="105" t="str">
        <f>IFERROR((lifespans_all!N212*DTE_mission_minutes!N56)*POWER(1+(#REF!/100),N$1-2021),"-")</f>
        <v>-</v>
      </c>
      <c r="O214" s="105" t="str">
        <f>IFERROR((lifespans_all!O212*DTE_mission_minutes!O56)*POWER(1+(#REF!/100),O$1-2021),"-")</f>
        <v>-</v>
      </c>
      <c r="P214" s="105" t="str">
        <f>IFERROR((lifespans_all!P212*DTE_mission_minutes!P56)*POWER(1+(#REF!/100),P$1-2021),"-")</f>
        <v>-</v>
      </c>
      <c r="Q214" s="105" t="str">
        <f>IFERROR((lifespans_all!Q212*DTE_mission_minutes!Q56)*POWER(1+(#REF!/100),Q$1-2021),"-")</f>
        <v>-</v>
      </c>
      <c r="R214" s="105" t="str">
        <f>IFERROR((lifespans_all!R212*DTE_mission_minutes!R56)*POWER(1+(#REF!/100),R$1-2021),"-")</f>
        <v>-</v>
      </c>
      <c r="S214" s="105" t="str">
        <f>IFERROR((lifespans_all!S212*DTE_mission_minutes!S56)*POWER(1+(#REF!/100),S$1-2021),"-")</f>
        <v>-</v>
      </c>
      <c r="T214" s="105" t="str">
        <f>IFERROR((lifespans_all!T212*DTE_mission_minutes!T56)*POWER(1+(#REF!/100),T$1-2021),"-")</f>
        <v>-</v>
      </c>
      <c r="U214" s="105" t="str">
        <f>IFERROR((lifespans_all!U212*DTE_mission_minutes!U56)*POWER(1+(#REF!/100),U$1-2021),"-")</f>
        <v>-</v>
      </c>
      <c r="V214" s="105" t="str">
        <f>IFERROR((lifespans_all!V212*DTE_mission_minutes!V56)*POWER(1+(#REF!/100),V$1-2021),"-")</f>
        <v>-</v>
      </c>
    </row>
    <row r="215" spans="1:22" x14ac:dyDescent="0.25">
      <c r="C215" s="2"/>
      <c r="D215" s="2"/>
      <c r="E215" s="2"/>
      <c r="F215" s="2"/>
      <c r="G215" s="2"/>
      <c r="H215" s="2"/>
      <c r="I215" s="2"/>
      <c r="J215" s="2"/>
      <c r="K215" s="2"/>
      <c r="L215" s="2"/>
      <c r="M215" s="2"/>
      <c r="N215" s="2"/>
      <c r="O215" s="2"/>
      <c r="P215" s="2"/>
      <c r="Q215" s="2"/>
      <c r="R215" s="2"/>
      <c r="S215" s="2"/>
      <c r="T215" s="2"/>
      <c r="U215" s="2"/>
      <c r="V215" s="2"/>
    </row>
    <row r="216" spans="1:22" x14ac:dyDescent="0.25">
      <c r="C216" s="23">
        <f t="shared" ref="C216:U216" si="30">SUM(C160:C214)</f>
        <v>1752490.7143116661</v>
      </c>
      <c r="D216" s="23">
        <f t="shared" si="30"/>
        <v>1484345.8994103172</v>
      </c>
      <c r="E216" s="23">
        <f t="shared" si="30"/>
        <v>1340904.3555357142</v>
      </c>
      <c r="F216" s="23">
        <f t="shared" si="30"/>
        <v>1077474.1436682539</v>
      </c>
      <c r="G216" s="23">
        <f t="shared" si="30"/>
        <v>1075186.4077471427</v>
      </c>
      <c r="H216" s="23">
        <f t="shared" si="30"/>
        <v>936868.51792507921</v>
      </c>
      <c r="I216" s="23">
        <f t="shared" si="30"/>
        <v>801695.03898690466</v>
      </c>
      <c r="J216" s="23">
        <f t="shared" si="30"/>
        <v>797898.18758468248</v>
      </c>
      <c r="K216" s="23">
        <f t="shared" si="30"/>
        <v>797898.18758468248</v>
      </c>
      <c r="L216" s="23">
        <f t="shared" si="30"/>
        <v>797898.18758468248</v>
      </c>
      <c r="M216" s="23">
        <f t="shared" si="30"/>
        <v>789277.16085634916</v>
      </c>
      <c r="N216" s="23">
        <f t="shared" si="30"/>
        <v>789277.16085634916</v>
      </c>
      <c r="O216" s="23">
        <f t="shared" si="30"/>
        <v>789277.16085634916</v>
      </c>
      <c r="P216" s="23">
        <f t="shared" si="30"/>
        <v>789277.16085634916</v>
      </c>
      <c r="Q216" s="23">
        <f t="shared" si="30"/>
        <v>789277.16085634916</v>
      </c>
      <c r="R216" s="23">
        <f t="shared" si="30"/>
        <v>789277.16085634916</v>
      </c>
      <c r="S216" s="23">
        <f t="shared" si="30"/>
        <v>789277.16085634916</v>
      </c>
      <c r="T216" s="23">
        <f t="shared" si="30"/>
        <v>789277.16085634916</v>
      </c>
      <c r="U216" s="23">
        <f t="shared" si="30"/>
        <v>789277.16085634916</v>
      </c>
      <c r="V216" s="23">
        <f>SUM(V160:V214)</f>
        <v>789277.16085634916</v>
      </c>
    </row>
    <row r="218" spans="1:22" ht="14.4" thickBot="1" x14ac:dyDescent="0.3">
      <c r="B218" s="2" t="s">
        <v>76</v>
      </c>
      <c r="L218" s="46"/>
      <c r="M218" s="46"/>
    </row>
    <row r="219" spans="1:22" x14ac:dyDescent="0.25">
      <c r="B219" s="54" t="s">
        <v>82</v>
      </c>
      <c r="C219" s="74">
        <f>C159</f>
        <v>2021</v>
      </c>
      <c r="D219" s="74">
        <f t="shared" ref="D219:V219" si="31">D159</f>
        <v>2022</v>
      </c>
      <c r="E219" s="74">
        <f t="shared" si="31"/>
        <v>2023</v>
      </c>
      <c r="F219" s="74">
        <f t="shared" si="31"/>
        <v>2024</v>
      </c>
      <c r="G219" s="74">
        <f t="shared" si="31"/>
        <v>2025</v>
      </c>
      <c r="H219" s="74">
        <f t="shared" si="31"/>
        <v>2026</v>
      </c>
      <c r="I219" s="74">
        <f t="shared" si="31"/>
        <v>2027</v>
      </c>
      <c r="J219" s="74">
        <f t="shared" si="31"/>
        <v>2028</v>
      </c>
      <c r="K219" s="74">
        <f t="shared" si="31"/>
        <v>2029</v>
      </c>
      <c r="L219" s="74">
        <f t="shared" si="31"/>
        <v>2030</v>
      </c>
      <c r="M219" s="74">
        <f t="shared" si="31"/>
        <v>2031</v>
      </c>
      <c r="N219" s="74">
        <f t="shared" si="31"/>
        <v>2032</v>
      </c>
      <c r="O219" s="74">
        <f t="shared" si="31"/>
        <v>2033</v>
      </c>
      <c r="P219" s="74">
        <f t="shared" si="31"/>
        <v>2034</v>
      </c>
      <c r="Q219" s="74">
        <f t="shared" si="31"/>
        <v>2035</v>
      </c>
      <c r="R219" s="74">
        <f t="shared" si="31"/>
        <v>2036</v>
      </c>
      <c r="S219" s="74">
        <f t="shared" si="31"/>
        <v>2037</v>
      </c>
      <c r="T219" s="74">
        <f t="shared" si="31"/>
        <v>2038</v>
      </c>
      <c r="U219" s="74">
        <f t="shared" si="31"/>
        <v>2039</v>
      </c>
      <c r="V219" s="74">
        <f t="shared" si="31"/>
        <v>2040</v>
      </c>
    </row>
    <row r="220" spans="1:22" x14ac:dyDescent="0.25">
      <c r="B220" s="33" t="s">
        <v>43</v>
      </c>
      <c r="C220" s="34">
        <f>SUMIF($B160:$B214,$B220,C$160:C$214)</f>
        <v>695225.26900166669</v>
      </c>
      <c r="D220" s="34">
        <f t="shared" ref="D220:V220" si="32">SUMIF($B160:$B214,$B220,D$160:D$214)</f>
        <v>694952.65458500001</v>
      </c>
      <c r="E220" s="34">
        <f t="shared" si="32"/>
        <v>693704.46733777772</v>
      </c>
      <c r="F220" s="34">
        <f t="shared" si="32"/>
        <v>694910.20989944437</v>
      </c>
      <c r="G220" s="34">
        <f t="shared" si="32"/>
        <v>694910.20989944437</v>
      </c>
      <c r="H220" s="34">
        <f t="shared" si="32"/>
        <v>694910.20989944437</v>
      </c>
      <c r="I220" s="34">
        <f t="shared" si="32"/>
        <v>694910.20989944437</v>
      </c>
      <c r="J220" s="34">
        <f t="shared" si="32"/>
        <v>694910.20989944437</v>
      </c>
      <c r="K220" s="34">
        <f t="shared" si="32"/>
        <v>694910.20989944437</v>
      </c>
      <c r="L220" s="34">
        <f t="shared" si="32"/>
        <v>694910.20989944437</v>
      </c>
      <c r="M220" s="34">
        <f t="shared" si="32"/>
        <v>686289.18317111104</v>
      </c>
      <c r="N220" s="34">
        <f t="shared" si="32"/>
        <v>686289.18317111104</v>
      </c>
      <c r="O220" s="34">
        <f t="shared" si="32"/>
        <v>686289.18317111104</v>
      </c>
      <c r="P220" s="34">
        <f t="shared" si="32"/>
        <v>686289.18317111104</v>
      </c>
      <c r="Q220" s="34">
        <f t="shared" si="32"/>
        <v>686289.18317111104</v>
      </c>
      <c r="R220" s="34">
        <f t="shared" si="32"/>
        <v>686289.18317111104</v>
      </c>
      <c r="S220" s="34">
        <f t="shared" si="32"/>
        <v>686289.18317111104</v>
      </c>
      <c r="T220" s="34">
        <f t="shared" si="32"/>
        <v>686289.18317111104</v>
      </c>
      <c r="U220" s="34">
        <f t="shared" si="32"/>
        <v>686289.18317111104</v>
      </c>
      <c r="V220" s="34">
        <f t="shared" si="32"/>
        <v>686289.18317111104</v>
      </c>
    </row>
    <row r="221" spans="1:22" x14ac:dyDescent="0.25">
      <c r="B221" s="33" t="s">
        <v>41</v>
      </c>
      <c r="C221" s="34">
        <f>SUMIF($B160:$B214,$B221,C$160:C$214)</f>
        <v>949239.69982833299</v>
      </c>
      <c r="D221" s="34">
        <f t="shared" ref="D221:V221" si="33">SUMIF($B160:$B214,$B221,D$160:D$214)</f>
        <v>681372.56149365043</v>
      </c>
      <c r="E221" s="34">
        <f t="shared" si="33"/>
        <v>546030.30369714263</v>
      </c>
      <c r="F221" s="34">
        <f t="shared" si="33"/>
        <v>281284.76277857134</v>
      </c>
      <c r="G221" s="34">
        <f t="shared" si="33"/>
        <v>279032.46749468247</v>
      </c>
      <c r="H221" s="34">
        <f t="shared" si="33"/>
        <v>142108.30322817457</v>
      </c>
      <c r="I221" s="34">
        <f t="shared" si="33"/>
        <v>6934.8242899999996</v>
      </c>
      <c r="J221" s="34">
        <f t="shared" si="33"/>
        <v>3137.9728877777775</v>
      </c>
      <c r="K221" s="34">
        <f t="shared" si="33"/>
        <v>3137.9728877777775</v>
      </c>
      <c r="L221" s="34">
        <f t="shared" si="33"/>
        <v>3137.9728877777775</v>
      </c>
      <c r="M221" s="34">
        <f t="shared" si="33"/>
        <v>3137.9728877777775</v>
      </c>
      <c r="N221" s="34">
        <f t="shared" si="33"/>
        <v>3137.9728877777775</v>
      </c>
      <c r="O221" s="34">
        <f t="shared" si="33"/>
        <v>3137.9728877777775</v>
      </c>
      <c r="P221" s="34">
        <f t="shared" si="33"/>
        <v>3137.9728877777775</v>
      </c>
      <c r="Q221" s="34">
        <f t="shared" si="33"/>
        <v>3137.9728877777775</v>
      </c>
      <c r="R221" s="34">
        <f t="shared" si="33"/>
        <v>3137.9728877777775</v>
      </c>
      <c r="S221" s="34">
        <f t="shared" si="33"/>
        <v>3137.9728877777775</v>
      </c>
      <c r="T221" s="34">
        <f t="shared" si="33"/>
        <v>3137.9728877777775</v>
      </c>
      <c r="U221" s="34">
        <f t="shared" si="33"/>
        <v>3137.9728877777775</v>
      </c>
      <c r="V221" s="34">
        <f t="shared" si="33"/>
        <v>3137.9728877777775</v>
      </c>
    </row>
    <row r="222" spans="1:22" x14ac:dyDescent="0.25">
      <c r="B222" s="33" t="s">
        <v>40</v>
      </c>
      <c r="C222" s="34">
        <f>SUMIF($B160:$B214,$B222,C$160:C$214)</f>
        <v>15204.330498888885</v>
      </c>
      <c r="D222" s="34">
        <f t="shared" ref="D222:V222" si="34">SUMIF($B160:$B214,$B222,D$160:D$214)</f>
        <v>15227.070671111109</v>
      </c>
      <c r="E222" s="34">
        <f t="shared" si="34"/>
        <v>8561.7364152380942</v>
      </c>
      <c r="F222" s="34">
        <f t="shared" si="34"/>
        <v>8561.7364152380942</v>
      </c>
      <c r="G222" s="34">
        <f t="shared" si="34"/>
        <v>8561.7364152380942</v>
      </c>
      <c r="H222" s="34">
        <f t="shared" si="34"/>
        <v>8561.7364152380942</v>
      </c>
      <c r="I222" s="34">
        <f t="shared" si="34"/>
        <v>8561.7364152380942</v>
      </c>
      <c r="J222" s="34">
        <f t="shared" si="34"/>
        <v>8561.7364152380942</v>
      </c>
      <c r="K222" s="34">
        <f t="shared" si="34"/>
        <v>8561.7364152380942</v>
      </c>
      <c r="L222" s="34">
        <f t="shared" si="34"/>
        <v>8561.7364152380942</v>
      </c>
      <c r="M222" s="34">
        <f t="shared" si="34"/>
        <v>8561.7364152380942</v>
      </c>
      <c r="N222" s="34">
        <f t="shared" si="34"/>
        <v>8561.7364152380942</v>
      </c>
      <c r="O222" s="34">
        <f t="shared" si="34"/>
        <v>8561.7364152380942</v>
      </c>
      <c r="P222" s="34">
        <f t="shared" si="34"/>
        <v>8561.7364152380942</v>
      </c>
      <c r="Q222" s="34">
        <f t="shared" si="34"/>
        <v>8561.7364152380942</v>
      </c>
      <c r="R222" s="34">
        <f t="shared" si="34"/>
        <v>8561.7364152380942</v>
      </c>
      <c r="S222" s="34">
        <f t="shared" si="34"/>
        <v>8561.7364152380942</v>
      </c>
      <c r="T222" s="34">
        <f t="shared" si="34"/>
        <v>8561.7364152380942</v>
      </c>
      <c r="U222" s="34">
        <f t="shared" si="34"/>
        <v>8561.7364152380942</v>
      </c>
      <c r="V222" s="34">
        <f t="shared" si="34"/>
        <v>8561.7364152380942</v>
      </c>
    </row>
    <row r="223" spans="1:22" x14ac:dyDescent="0.25">
      <c r="B223" s="33" t="s">
        <v>80</v>
      </c>
      <c r="C223" s="34">
        <f>SUMIF($B160:$B214,$B223,C$160:C$214)</f>
        <v>0</v>
      </c>
      <c r="D223" s="34">
        <f t="shared" ref="D223:V223" si="35">SUMIF($B160:$B214,$B223,D$160:D$214)</f>
        <v>0</v>
      </c>
      <c r="E223" s="34">
        <f t="shared" si="35"/>
        <v>0</v>
      </c>
      <c r="F223" s="34">
        <f t="shared" si="35"/>
        <v>0</v>
      </c>
      <c r="G223" s="34">
        <f t="shared" si="35"/>
        <v>0</v>
      </c>
      <c r="H223" s="34">
        <f t="shared" si="35"/>
        <v>0</v>
      </c>
      <c r="I223" s="34">
        <f t="shared" si="35"/>
        <v>0</v>
      </c>
      <c r="J223" s="34">
        <f t="shared" si="35"/>
        <v>0</v>
      </c>
      <c r="K223" s="34">
        <f t="shared" si="35"/>
        <v>0</v>
      </c>
      <c r="L223" s="34">
        <f t="shared" si="35"/>
        <v>0</v>
      </c>
      <c r="M223" s="34">
        <f t="shared" si="35"/>
        <v>0</v>
      </c>
      <c r="N223" s="34">
        <f t="shared" si="35"/>
        <v>0</v>
      </c>
      <c r="O223" s="34">
        <f t="shared" si="35"/>
        <v>0</v>
      </c>
      <c r="P223" s="34">
        <f t="shared" si="35"/>
        <v>0</v>
      </c>
      <c r="Q223" s="34">
        <f t="shared" si="35"/>
        <v>0</v>
      </c>
      <c r="R223" s="34">
        <f t="shared" si="35"/>
        <v>0</v>
      </c>
      <c r="S223" s="34">
        <f t="shared" si="35"/>
        <v>0</v>
      </c>
      <c r="T223" s="34">
        <f t="shared" si="35"/>
        <v>0</v>
      </c>
      <c r="U223" s="34">
        <f t="shared" si="35"/>
        <v>0</v>
      </c>
      <c r="V223" s="34">
        <f t="shared" si="35"/>
        <v>0</v>
      </c>
    </row>
    <row r="224" spans="1:22" x14ac:dyDescent="0.25">
      <c r="B224" s="33" t="s">
        <v>44</v>
      </c>
      <c r="C224" s="34">
        <f>SUMIF($B160:$B214,$B224,C$160:C$214)</f>
        <v>0</v>
      </c>
      <c r="D224" s="34">
        <f t="shared" ref="D224:V224" si="36">SUMIF($B160:$B214,$B224,D$160:D$214)</f>
        <v>0</v>
      </c>
      <c r="E224" s="34">
        <f t="shared" si="36"/>
        <v>0</v>
      </c>
      <c r="F224" s="34">
        <f t="shared" si="36"/>
        <v>0</v>
      </c>
      <c r="G224" s="34">
        <f t="shared" si="36"/>
        <v>0</v>
      </c>
      <c r="H224" s="34">
        <f t="shared" si="36"/>
        <v>0</v>
      </c>
      <c r="I224" s="34">
        <f t="shared" si="36"/>
        <v>0</v>
      </c>
      <c r="J224" s="34">
        <f t="shared" si="36"/>
        <v>0</v>
      </c>
      <c r="K224" s="34">
        <f t="shared" si="36"/>
        <v>0</v>
      </c>
      <c r="L224" s="34">
        <f t="shared" si="36"/>
        <v>0</v>
      </c>
      <c r="M224" s="34">
        <f t="shared" si="36"/>
        <v>0</v>
      </c>
      <c r="N224" s="34">
        <f t="shared" si="36"/>
        <v>0</v>
      </c>
      <c r="O224" s="34">
        <f t="shared" si="36"/>
        <v>0</v>
      </c>
      <c r="P224" s="34">
        <f t="shared" si="36"/>
        <v>0</v>
      </c>
      <c r="Q224" s="34">
        <f t="shared" si="36"/>
        <v>0</v>
      </c>
      <c r="R224" s="34">
        <f t="shared" si="36"/>
        <v>0</v>
      </c>
      <c r="S224" s="34">
        <f t="shared" si="36"/>
        <v>0</v>
      </c>
      <c r="T224" s="34">
        <f t="shared" si="36"/>
        <v>0</v>
      </c>
      <c r="U224" s="34">
        <f t="shared" si="36"/>
        <v>0</v>
      </c>
      <c r="V224" s="34">
        <f t="shared" si="36"/>
        <v>0</v>
      </c>
    </row>
    <row r="225" spans="1:22" x14ac:dyDescent="0.25">
      <c r="B225" s="33" t="s">
        <v>81</v>
      </c>
      <c r="C225" s="34">
        <f>SUMIF($B160:$B214,$B225,C$160:C$214)</f>
        <v>0</v>
      </c>
      <c r="D225" s="34">
        <f t="shared" ref="D225:V225" si="37">SUMIF($B160:$B214,$B225,D$160:D$214)</f>
        <v>0</v>
      </c>
      <c r="E225" s="34">
        <f t="shared" si="37"/>
        <v>0</v>
      </c>
      <c r="F225" s="34">
        <f t="shared" si="37"/>
        <v>0</v>
      </c>
      <c r="G225" s="34">
        <f t="shared" si="37"/>
        <v>0</v>
      </c>
      <c r="H225" s="34">
        <f t="shared" si="37"/>
        <v>0</v>
      </c>
      <c r="I225" s="34">
        <f t="shared" si="37"/>
        <v>0</v>
      </c>
      <c r="J225" s="34">
        <f t="shared" si="37"/>
        <v>0</v>
      </c>
      <c r="K225" s="34">
        <f t="shared" si="37"/>
        <v>0</v>
      </c>
      <c r="L225" s="34">
        <f t="shared" si="37"/>
        <v>0</v>
      </c>
      <c r="M225" s="34">
        <f t="shared" si="37"/>
        <v>0</v>
      </c>
      <c r="N225" s="34">
        <f t="shared" si="37"/>
        <v>0</v>
      </c>
      <c r="O225" s="34">
        <f t="shared" si="37"/>
        <v>0</v>
      </c>
      <c r="P225" s="34">
        <f t="shared" si="37"/>
        <v>0</v>
      </c>
      <c r="Q225" s="34">
        <f t="shared" si="37"/>
        <v>0</v>
      </c>
      <c r="R225" s="34">
        <f t="shared" si="37"/>
        <v>0</v>
      </c>
      <c r="S225" s="34">
        <f t="shared" si="37"/>
        <v>0</v>
      </c>
      <c r="T225" s="34">
        <f t="shared" si="37"/>
        <v>0</v>
      </c>
      <c r="U225" s="34">
        <f t="shared" si="37"/>
        <v>0</v>
      </c>
      <c r="V225" s="34">
        <f t="shared" si="37"/>
        <v>0</v>
      </c>
    </row>
    <row r="226" spans="1:22" x14ac:dyDescent="0.25">
      <c r="B226" s="33" t="s">
        <v>42</v>
      </c>
      <c r="C226" s="34">
        <f>SUMIF($B160:$B214,$B226,C$160:C$214)</f>
        <v>1472.7862655555555</v>
      </c>
      <c r="D226" s="34">
        <f t="shared" ref="D226:V226" si="38">SUMIF($B160:$B214,$B226,D$160:D$214)</f>
        <v>1512.0012127777777</v>
      </c>
      <c r="E226" s="34">
        <f t="shared" si="38"/>
        <v>1460.5163599999998</v>
      </c>
      <c r="F226" s="34">
        <f t="shared" si="38"/>
        <v>1477.6676861111109</v>
      </c>
      <c r="G226" s="34">
        <f t="shared" si="38"/>
        <v>1442.2270488888887</v>
      </c>
      <c r="H226" s="34">
        <f t="shared" si="38"/>
        <v>1442.2270488888887</v>
      </c>
      <c r="I226" s="34">
        <f t="shared" si="38"/>
        <v>1442.2270488888887</v>
      </c>
      <c r="J226" s="34">
        <f t="shared" si="38"/>
        <v>1442.2270488888887</v>
      </c>
      <c r="K226" s="34">
        <f t="shared" si="38"/>
        <v>1442.2270488888887</v>
      </c>
      <c r="L226" s="34">
        <f t="shared" si="38"/>
        <v>1442.2270488888887</v>
      </c>
      <c r="M226" s="34">
        <f t="shared" si="38"/>
        <v>1442.2270488888887</v>
      </c>
      <c r="N226" s="34">
        <f t="shared" si="38"/>
        <v>1442.2270488888887</v>
      </c>
      <c r="O226" s="34">
        <f t="shared" si="38"/>
        <v>1442.2270488888887</v>
      </c>
      <c r="P226" s="34">
        <f t="shared" si="38"/>
        <v>1442.2270488888887</v>
      </c>
      <c r="Q226" s="34">
        <f t="shared" si="38"/>
        <v>1442.2270488888887</v>
      </c>
      <c r="R226" s="34">
        <f t="shared" si="38"/>
        <v>1442.2270488888887</v>
      </c>
      <c r="S226" s="34">
        <f t="shared" si="38"/>
        <v>1442.2270488888887</v>
      </c>
      <c r="T226" s="34">
        <f t="shared" si="38"/>
        <v>1442.2270488888887</v>
      </c>
      <c r="U226" s="34">
        <f t="shared" si="38"/>
        <v>1442.2270488888887</v>
      </c>
      <c r="V226" s="34">
        <f t="shared" si="38"/>
        <v>1442.2270488888887</v>
      </c>
    </row>
    <row r="227" spans="1:22" ht="14.4" thickBot="1" x14ac:dyDescent="0.3">
      <c r="B227" s="39" t="s">
        <v>45</v>
      </c>
      <c r="C227" s="34">
        <f>SUMIF($B160:$B214,$B227,C$160:C$214)</f>
        <v>90840.488670000021</v>
      </c>
      <c r="D227" s="34">
        <f t="shared" ref="D227:V227" si="39">SUMIF($B160:$B214,$B227,D$160:D$214)</f>
        <v>90904.020058888913</v>
      </c>
      <c r="E227" s="34">
        <f t="shared" si="39"/>
        <v>90840.083114444467</v>
      </c>
      <c r="F227" s="34">
        <f t="shared" si="39"/>
        <v>90847.563392222248</v>
      </c>
      <c r="G227" s="34">
        <f t="shared" si="39"/>
        <v>90847.563392222248</v>
      </c>
      <c r="H227" s="34">
        <f t="shared" si="39"/>
        <v>89453.837836666688</v>
      </c>
      <c r="I227" s="34">
        <f t="shared" si="39"/>
        <v>89453.837836666688</v>
      </c>
      <c r="J227" s="34">
        <f t="shared" si="39"/>
        <v>89453.837836666688</v>
      </c>
      <c r="K227" s="34">
        <f t="shared" si="39"/>
        <v>89453.837836666688</v>
      </c>
      <c r="L227" s="34">
        <f t="shared" si="39"/>
        <v>89453.837836666688</v>
      </c>
      <c r="M227" s="34">
        <f t="shared" si="39"/>
        <v>89453.837836666688</v>
      </c>
      <c r="N227" s="34">
        <f t="shared" si="39"/>
        <v>89453.837836666688</v>
      </c>
      <c r="O227" s="34">
        <f t="shared" si="39"/>
        <v>89453.837836666688</v>
      </c>
      <c r="P227" s="34">
        <f t="shared" si="39"/>
        <v>89453.837836666688</v>
      </c>
      <c r="Q227" s="34">
        <f t="shared" si="39"/>
        <v>89453.837836666688</v>
      </c>
      <c r="R227" s="34">
        <f t="shared" si="39"/>
        <v>89453.837836666688</v>
      </c>
      <c r="S227" s="34">
        <f t="shared" si="39"/>
        <v>89453.837836666688</v>
      </c>
      <c r="T227" s="34">
        <f t="shared" si="39"/>
        <v>89453.837836666688</v>
      </c>
      <c r="U227" s="34">
        <f t="shared" si="39"/>
        <v>89453.837836666688</v>
      </c>
      <c r="V227" s="34">
        <f t="shared" si="39"/>
        <v>89453.837836666688</v>
      </c>
    </row>
    <row r="228" spans="1:22" x14ac:dyDescent="0.25">
      <c r="L228" s="46"/>
      <c r="M228" s="46"/>
    </row>
    <row r="229" spans="1:22" x14ac:dyDescent="0.25">
      <c r="C229" s="93">
        <f>SUM(C220:C227)</f>
        <v>1751982.5742644442</v>
      </c>
      <c r="D229" s="93">
        <f t="shared" ref="D229:U229" si="40">SUM(D220:D227)</f>
        <v>1483968.3080214283</v>
      </c>
      <c r="E229" s="93">
        <f t="shared" si="40"/>
        <v>1340597.106924603</v>
      </c>
      <c r="F229" s="93">
        <f t="shared" si="40"/>
        <v>1077081.940171587</v>
      </c>
      <c r="G229" s="93">
        <f t="shared" si="40"/>
        <v>1074794.2042504761</v>
      </c>
      <c r="H229" s="93">
        <f t="shared" si="40"/>
        <v>936476.3144284127</v>
      </c>
      <c r="I229" s="93">
        <f t="shared" si="40"/>
        <v>801302.83549023815</v>
      </c>
      <c r="J229" s="93">
        <f t="shared" si="40"/>
        <v>797505.98408801586</v>
      </c>
      <c r="K229" s="93">
        <f t="shared" si="40"/>
        <v>797505.98408801586</v>
      </c>
      <c r="L229" s="107">
        <f t="shared" si="40"/>
        <v>797505.98408801586</v>
      </c>
      <c r="M229" s="107">
        <f t="shared" si="40"/>
        <v>788884.95735968254</v>
      </c>
      <c r="N229" s="93">
        <f t="shared" si="40"/>
        <v>788884.95735968254</v>
      </c>
      <c r="O229" s="93">
        <f t="shared" si="40"/>
        <v>788884.95735968254</v>
      </c>
      <c r="P229" s="93">
        <f t="shared" si="40"/>
        <v>788884.95735968254</v>
      </c>
      <c r="Q229" s="93">
        <f t="shared" si="40"/>
        <v>788884.95735968254</v>
      </c>
      <c r="R229" s="93">
        <f t="shared" si="40"/>
        <v>788884.95735968254</v>
      </c>
      <c r="S229" s="93">
        <f t="shared" si="40"/>
        <v>788884.95735968254</v>
      </c>
      <c r="T229" s="93">
        <f t="shared" si="40"/>
        <v>788884.95735968254</v>
      </c>
      <c r="U229" s="93">
        <f t="shared" si="40"/>
        <v>788884.95735968254</v>
      </c>
      <c r="V229" s="93">
        <f>SUM(V220:V227)</f>
        <v>788884.95735968254</v>
      </c>
    </row>
    <row r="230" spans="1:22" x14ac:dyDescent="0.25">
      <c r="C230" s="93"/>
      <c r="D230" s="93"/>
      <c r="E230" s="93"/>
      <c r="F230" s="93"/>
      <c r="G230" s="93"/>
      <c r="H230" s="93"/>
      <c r="I230" s="93"/>
      <c r="J230" s="93"/>
      <c r="K230" s="93"/>
      <c r="L230" s="107"/>
      <c r="M230" s="107"/>
      <c r="N230" s="93"/>
      <c r="O230" s="93"/>
      <c r="P230" s="93"/>
      <c r="Q230" s="93"/>
      <c r="R230" s="93"/>
      <c r="S230" s="93"/>
      <c r="T230" s="93"/>
      <c r="U230" s="93"/>
      <c r="V230" s="93"/>
    </row>
    <row r="231" spans="1:22" ht="14.4" thickBot="1" x14ac:dyDescent="0.3">
      <c r="B231" s="2" t="s">
        <v>76</v>
      </c>
      <c r="L231" s="46"/>
      <c r="M231" s="46"/>
    </row>
    <row r="232" spans="1:22" x14ac:dyDescent="0.25">
      <c r="B232" s="54" t="s">
        <v>82</v>
      </c>
      <c r="C232" s="74">
        <v>2021</v>
      </c>
      <c r="D232" s="74">
        <v>2022</v>
      </c>
      <c r="E232" s="74">
        <v>2023</v>
      </c>
      <c r="F232" s="74">
        <v>2024</v>
      </c>
      <c r="G232" s="74">
        <v>2025</v>
      </c>
      <c r="H232" s="74">
        <v>2026</v>
      </c>
      <c r="I232" s="74">
        <v>2027</v>
      </c>
      <c r="J232" s="74">
        <v>2028</v>
      </c>
      <c r="K232" s="74">
        <v>2029</v>
      </c>
      <c r="L232" s="74">
        <v>2030</v>
      </c>
      <c r="M232" s="74">
        <v>2031</v>
      </c>
      <c r="N232" s="74">
        <v>2032</v>
      </c>
      <c r="O232" s="74">
        <v>2033</v>
      </c>
      <c r="P232" s="74">
        <v>2034</v>
      </c>
      <c r="Q232" s="74">
        <v>2035</v>
      </c>
      <c r="R232" s="74">
        <v>2036</v>
      </c>
      <c r="S232" s="74">
        <v>2037</v>
      </c>
      <c r="T232" s="74">
        <v>2038</v>
      </c>
      <c r="U232" s="74">
        <v>2039</v>
      </c>
      <c r="V232" s="74">
        <v>2040</v>
      </c>
    </row>
    <row r="233" spans="1:22" x14ac:dyDescent="0.25">
      <c r="B233" s="33" t="s">
        <v>93</v>
      </c>
      <c r="C233" s="106">
        <f>SUM(C160:C206)</f>
        <v>1752490.7143116661</v>
      </c>
      <c r="D233" s="106">
        <f t="shared" ref="D233:V233" si="41">SUM(D160:D206)</f>
        <v>1484345.8994103172</v>
      </c>
      <c r="E233" s="106">
        <f t="shared" si="41"/>
        <v>1340904.3555357142</v>
      </c>
      <c r="F233" s="106">
        <f>SUM(F160:F206)</f>
        <v>1077474.1436682539</v>
      </c>
      <c r="G233" s="106">
        <f t="shared" si="41"/>
        <v>1075186.4077471427</v>
      </c>
      <c r="H233" s="106">
        <f t="shared" si="41"/>
        <v>936868.51792507921</v>
      </c>
      <c r="I233" s="106">
        <f t="shared" si="41"/>
        <v>801695.03898690466</v>
      </c>
      <c r="J233" s="106">
        <f t="shared" si="41"/>
        <v>797898.18758468248</v>
      </c>
      <c r="K233" s="106">
        <f t="shared" si="41"/>
        <v>797898.18758468248</v>
      </c>
      <c r="L233" s="106">
        <f t="shared" si="41"/>
        <v>797898.18758468248</v>
      </c>
      <c r="M233" s="106">
        <f t="shared" si="41"/>
        <v>789277.16085634916</v>
      </c>
      <c r="N233" s="106">
        <f t="shared" si="41"/>
        <v>789277.16085634916</v>
      </c>
      <c r="O233" s="106">
        <f t="shared" si="41"/>
        <v>789277.16085634916</v>
      </c>
      <c r="P233" s="106">
        <f t="shared" si="41"/>
        <v>789277.16085634916</v>
      </c>
      <c r="Q233" s="106">
        <f t="shared" si="41"/>
        <v>789277.16085634916</v>
      </c>
      <c r="R233" s="106">
        <f t="shared" si="41"/>
        <v>789277.16085634916</v>
      </c>
      <c r="S233" s="106">
        <f t="shared" si="41"/>
        <v>789277.16085634916</v>
      </c>
      <c r="T233" s="106">
        <f t="shared" si="41"/>
        <v>789277.16085634916</v>
      </c>
      <c r="U233" s="106">
        <f t="shared" si="41"/>
        <v>789277.16085634916</v>
      </c>
      <c r="V233" s="106">
        <f t="shared" si="41"/>
        <v>789277.16085634916</v>
      </c>
    </row>
    <row r="234" spans="1:22" x14ac:dyDescent="0.25">
      <c r="B234" s="33" t="s">
        <v>94</v>
      </c>
      <c r="C234" s="95">
        <f>SUM(C207:C214)</f>
        <v>0</v>
      </c>
      <c r="D234" s="95">
        <f t="shared" ref="D234:V234" si="42">SUM(D207:D214)</f>
        <v>0</v>
      </c>
      <c r="E234" s="95">
        <f t="shared" si="42"/>
        <v>0</v>
      </c>
      <c r="F234" s="95">
        <f>SUM(F207:F214)</f>
        <v>0</v>
      </c>
      <c r="G234" s="95">
        <f t="shared" si="42"/>
        <v>0</v>
      </c>
      <c r="H234" s="95">
        <f t="shared" si="42"/>
        <v>0</v>
      </c>
      <c r="I234" s="95">
        <f t="shared" si="42"/>
        <v>0</v>
      </c>
      <c r="J234" s="95">
        <f t="shared" si="42"/>
        <v>0</v>
      </c>
      <c r="K234" s="95">
        <f t="shared" si="42"/>
        <v>0</v>
      </c>
      <c r="L234" s="95">
        <f t="shared" si="42"/>
        <v>0</v>
      </c>
      <c r="M234" s="95">
        <f t="shared" si="42"/>
        <v>0</v>
      </c>
      <c r="N234" s="95">
        <f t="shared" si="42"/>
        <v>0</v>
      </c>
      <c r="O234" s="95">
        <f t="shared" si="42"/>
        <v>0</v>
      </c>
      <c r="P234" s="95">
        <f t="shared" si="42"/>
        <v>0</v>
      </c>
      <c r="Q234" s="95">
        <f t="shared" si="42"/>
        <v>0</v>
      </c>
      <c r="R234" s="95">
        <f t="shared" si="42"/>
        <v>0</v>
      </c>
      <c r="S234" s="95">
        <f t="shared" si="42"/>
        <v>0</v>
      </c>
      <c r="T234" s="95">
        <f t="shared" si="42"/>
        <v>0</v>
      </c>
      <c r="U234" s="95">
        <f t="shared" si="42"/>
        <v>0</v>
      </c>
      <c r="V234" s="95">
        <f t="shared" si="42"/>
        <v>0</v>
      </c>
    </row>
    <row r="236" spans="1:22" x14ac:dyDescent="0.25">
      <c r="C236" s="23">
        <f>SUM(C233:C234)</f>
        <v>1752490.7143116661</v>
      </c>
      <c r="D236" s="23">
        <f t="shared" ref="D236:V236" si="43">SUM(D233:D234)</f>
        <v>1484345.8994103172</v>
      </c>
      <c r="E236" s="23">
        <f t="shared" si="43"/>
        <v>1340904.3555357142</v>
      </c>
      <c r="F236" s="23">
        <f t="shared" si="43"/>
        <v>1077474.1436682539</v>
      </c>
      <c r="G236" s="23">
        <f t="shared" si="43"/>
        <v>1075186.4077471427</v>
      </c>
      <c r="H236" s="23">
        <f t="shared" si="43"/>
        <v>936868.51792507921</v>
      </c>
      <c r="I236" s="23">
        <f t="shared" si="43"/>
        <v>801695.03898690466</v>
      </c>
      <c r="J236" s="23">
        <f t="shared" si="43"/>
        <v>797898.18758468248</v>
      </c>
      <c r="K236" s="23">
        <f t="shared" si="43"/>
        <v>797898.18758468248</v>
      </c>
      <c r="L236" s="23">
        <f t="shared" si="43"/>
        <v>797898.18758468248</v>
      </c>
      <c r="M236" s="23">
        <f t="shared" si="43"/>
        <v>789277.16085634916</v>
      </c>
      <c r="N236" s="23">
        <f t="shared" si="43"/>
        <v>789277.16085634916</v>
      </c>
      <c r="O236" s="23">
        <f t="shared" si="43"/>
        <v>789277.16085634916</v>
      </c>
      <c r="P236" s="23">
        <f t="shared" si="43"/>
        <v>789277.16085634916</v>
      </c>
      <c r="Q236" s="23">
        <f t="shared" si="43"/>
        <v>789277.16085634916</v>
      </c>
      <c r="R236" s="23">
        <f t="shared" si="43"/>
        <v>789277.16085634916</v>
      </c>
      <c r="S236" s="23">
        <f t="shared" si="43"/>
        <v>789277.16085634916</v>
      </c>
      <c r="T236" s="23">
        <f t="shared" si="43"/>
        <v>789277.16085634916</v>
      </c>
      <c r="U236" s="23">
        <f t="shared" si="43"/>
        <v>789277.16085634916</v>
      </c>
      <c r="V236" s="23">
        <f t="shared" si="43"/>
        <v>789277.16085634916</v>
      </c>
    </row>
    <row r="238" spans="1:22" ht="14.4" x14ac:dyDescent="0.3">
      <c r="A238" s="96" t="s">
        <v>132</v>
      </c>
    </row>
    <row r="239" spans="1:22" ht="14.4" x14ac:dyDescent="0.3">
      <c r="A239" s="96"/>
    </row>
    <row r="240" spans="1:22" x14ac:dyDescent="0.25">
      <c r="A240" s="104"/>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AD954-DD93-491B-A7CC-AA61CB9FC61A}">
  <sheetPr codeName="Sheet11">
    <tabColor rgb="FF0B3D91"/>
  </sheetPr>
  <dimension ref="A1:Q48"/>
  <sheetViews>
    <sheetView zoomScaleNormal="100" workbookViewId="0">
      <selection activeCell="E4" sqref="E4"/>
    </sheetView>
  </sheetViews>
  <sheetFormatPr defaultRowHeight="13.8" x14ac:dyDescent="0.25"/>
  <cols>
    <col min="1" max="1" width="19.77734375" style="2" customWidth="1"/>
    <col min="2" max="2" width="56.21875" style="2" customWidth="1"/>
    <col min="3" max="11" width="9.33203125" style="2" bestFit="1" customWidth="1"/>
    <col min="12" max="12" width="10" style="2" customWidth="1"/>
    <col min="13" max="13" width="10.77734375" style="2" customWidth="1"/>
    <col min="14" max="14" width="11.109375" style="2" customWidth="1"/>
    <col min="15" max="15" width="17.33203125" style="2" customWidth="1"/>
    <col min="16" max="16384" width="8.88671875" style="2"/>
  </cols>
  <sheetData>
    <row r="1" spans="1:17" x14ac:dyDescent="0.25">
      <c r="A1" s="110" t="s">
        <v>16</v>
      </c>
      <c r="B1" s="110" t="s">
        <v>82</v>
      </c>
      <c r="C1" s="111" t="s">
        <v>95</v>
      </c>
      <c r="D1" s="111" t="s">
        <v>96</v>
      </c>
      <c r="E1" s="111" t="s">
        <v>97</v>
      </c>
      <c r="F1" s="111" t="s">
        <v>98</v>
      </c>
      <c r="G1" s="111" t="s">
        <v>99</v>
      </c>
      <c r="H1" s="111" t="s">
        <v>100</v>
      </c>
      <c r="I1" s="111" t="s">
        <v>101</v>
      </c>
      <c r="J1" s="111" t="s">
        <v>102</v>
      </c>
      <c r="K1" s="111" t="s">
        <v>103</v>
      </c>
      <c r="L1" s="111" t="s">
        <v>104</v>
      </c>
      <c r="M1" s="111" t="s">
        <v>105</v>
      </c>
      <c r="N1" s="111" t="s">
        <v>106</v>
      </c>
      <c r="O1" s="110" t="s">
        <v>148</v>
      </c>
    </row>
    <row r="2" spans="1:17" x14ac:dyDescent="0.25">
      <c r="A2" s="29" t="s">
        <v>17</v>
      </c>
      <c r="B2" s="29" t="s">
        <v>41</v>
      </c>
      <c r="C2" s="112">
        <v>9513</v>
      </c>
      <c r="D2" s="112">
        <v>8105</v>
      </c>
      <c r="E2" s="112">
        <v>7202</v>
      </c>
      <c r="F2" s="113">
        <v>6616</v>
      </c>
      <c r="G2" s="112">
        <v>6675</v>
      </c>
      <c r="H2" s="112">
        <v>8337</v>
      </c>
      <c r="I2" s="112">
        <v>8154</v>
      </c>
      <c r="J2" s="112">
        <v>13265</v>
      </c>
      <c r="K2" s="112">
        <v>11647</v>
      </c>
      <c r="L2" s="112">
        <v>11887</v>
      </c>
      <c r="M2" s="112">
        <v>15313</v>
      </c>
      <c r="N2" s="112">
        <v>11765</v>
      </c>
      <c r="O2" s="112">
        <f>SUM(C2:N2)</f>
        <v>118479</v>
      </c>
    </row>
    <row r="3" spans="1:17" x14ac:dyDescent="0.25">
      <c r="A3" s="29" t="s">
        <v>49</v>
      </c>
      <c r="B3" s="29" t="s">
        <v>41</v>
      </c>
      <c r="C3" s="112">
        <v>5899</v>
      </c>
      <c r="D3" s="112">
        <v>5763</v>
      </c>
      <c r="E3" s="112">
        <v>6406</v>
      </c>
      <c r="F3" s="113">
        <v>6007</v>
      </c>
      <c r="G3" s="112">
        <v>5829</v>
      </c>
      <c r="H3" s="112">
        <v>5732</v>
      </c>
      <c r="I3" s="112">
        <v>4638</v>
      </c>
      <c r="J3" s="112">
        <v>5840</v>
      </c>
      <c r="K3" s="112">
        <v>5805</v>
      </c>
      <c r="L3" s="112">
        <v>6036</v>
      </c>
      <c r="M3" s="112">
        <v>5771</v>
      </c>
      <c r="N3" s="112">
        <v>5792</v>
      </c>
      <c r="O3" s="112">
        <f>SUM(C3:N3)</f>
        <v>69518</v>
      </c>
      <c r="Q3" s="104"/>
    </row>
    <row r="4" spans="1:17" x14ac:dyDescent="0.25">
      <c r="A4" s="29" t="s">
        <v>51</v>
      </c>
      <c r="B4" s="29" t="s">
        <v>42</v>
      </c>
      <c r="C4" s="112">
        <v>0</v>
      </c>
      <c r="D4" s="112">
        <v>0</v>
      </c>
      <c r="E4" s="112">
        <v>0</v>
      </c>
      <c r="F4" s="113">
        <v>0</v>
      </c>
      <c r="G4" s="112">
        <v>0</v>
      </c>
      <c r="H4" s="112">
        <v>0</v>
      </c>
      <c r="I4" s="112">
        <v>0</v>
      </c>
      <c r="J4" s="112">
        <v>628</v>
      </c>
      <c r="K4" s="112">
        <v>0</v>
      </c>
      <c r="L4" s="112">
        <v>0</v>
      </c>
      <c r="M4" s="112">
        <v>75</v>
      </c>
      <c r="N4" s="112">
        <v>165</v>
      </c>
      <c r="O4" s="112">
        <f>SUM(C4:N4)</f>
        <v>868</v>
      </c>
    </row>
    <row r="5" spans="1:17" x14ac:dyDescent="0.25">
      <c r="A5" s="29" t="s">
        <v>52</v>
      </c>
      <c r="B5" s="29" t="s">
        <v>41</v>
      </c>
      <c r="C5" s="112">
        <v>3658</v>
      </c>
      <c r="D5" s="112">
        <v>3264</v>
      </c>
      <c r="E5" s="112">
        <v>4289</v>
      </c>
      <c r="F5" s="113">
        <v>3828</v>
      </c>
      <c r="G5" s="112">
        <v>3424</v>
      </c>
      <c r="H5" s="112">
        <v>3123</v>
      </c>
      <c r="I5" s="112">
        <v>2689</v>
      </c>
      <c r="J5" s="112">
        <v>3178</v>
      </c>
      <c r="K5" s="112">
        <v>3397</v>
      </c>
      <c r="L5" s="112">
        <v>4408</v>
      </c>
      <c r="M5" s="112">
        <v>3164</v>
      </c>
      <c r="N5" s="112">
        <v>3305</v>
      </c>
      <c r="O5" s="112">
        <f>SUM(C5:N5)</f>
        <v>41727</v>
      </c>
    </row>
    <row r="6" spans="1:17" x14ac:dyDescent="0.25">
      <c r="A6" s="29" t="s">
        <v>18</v>
      </c>
      <c r="B6" s="29" t="s">
        <v>48</v>
      </c>
      <c r="C6" s="112">
        <v>2624</v>
      </c>
      <c r="D6" s="112">
        <v>2628</v>
      </c>
      <c r="E6" s="112">
        <v>3240</v>
      </c>
      <c r="F6" s="113">
        <v>1516</v>
      </c>
      <c r="G6" s="112">
        <v>2804</v>
      </c>
      <c r="H6" s="112">
        <v>2764</v>
      </c>
      <c r="I6" s="112">
        <v>1360</v>
      </c>
      <c r="J6" s="112">
        <v>920</v>
      </c>
      <c r="K6" s="112">
        <v>699</v>
      </c>
      <c r="L6" s="112">
        <v>844</v>
      </c>
      <c r="M6" s="112">
        <v>496</v>
      </c>
      <c r="N6" s="112">
        <v>1812</v>
      </c>
      <c r="O6" s="112">
        <f t="shared" ref="O6:O43" si="0">SUM(C6:N6)</f>
        <v>21707</v>
      </c>
    </row>
    <row r="7" spans="1:17" x14ac:dyDescent="0.25">
      <c r="A7" s="29" t="s">
        <v>55</v>
      </c>
      <c r="B7" s="29" t="s">
        <v>42</v>
      </c>
      <c r="C7" s="112">
        <v>335</v>
      </c>
      <c r="D7" s="112">
        <v>0</v>
      </c>
      <c r="E7" s="112">
        <v>302</v>
      </c>
      <c r="F7" s="113">
        <v>0</v>
      </c>
      <c r="G7" s="112">
        <v>0</v>
      </c>
      <c r="H7" s="112">
        <v>0</v>
      </c>
      <c r="I7" s="112">
        <v>0</v>
      </c>
      <c r="J7" s="112">
        <v>275</v>
      </c>
      <c r="K7" s="112">
        <v>0</v>
      </c>
      <c r="L7" s="112">
        <v>0</v>
      </c>
      <c r="M7" s="112">
        <v>0</v>
      </c>
      <c r="N7" s="112">
        <v>0</v>
      </c>
      <c r="O7" s="112">
        <f t="shared" si="0"/>
        <v>912</v>
      </c>
    </row>
    <row r="8" spans="1:17" x14ac:dyDescent="0.25">
      <c r="A8" s="29" t="s">
        <v>56</v>
      </c>
      <c r="B8" s="29" t="s">
        <v>43</v>
      </c>
      <c r="C8" s="112">
        <v>2212</v>
      </c>
      <c r="D8" s="112">
        <v>36</v>
      </c>
      <c r="E8" s="112">
        <v>2672</v>
      </c>
      <c r="F8" s="113">
        <v>60</v>
      </c>
      <c r="G8" s="112">
        <v>3422</v>
      </c>
      <c r="H8" s="112">
        <v>847</v>
      </c>
      <c r="I8" s="112">
        <v>71</v>
      </c>
      <c r="J8" s="112">
        <v>851</v>
      </c>
      <c r="K8" s="112">
        <v>0</v>
      </c>
      <c r="L8" s="112">
        <v>635</v>
      </c>
      <c r="M8" s="112">
        <v>326</v>
      </c>
      <c r="N8" s="112">
        <v>3582</v>
      </c>
      <c r="O8" s="112">
        <f t="shared" si="0"/>
        <v>14714</v>
      </c>
    </row>
    <row r="9" spans="1:17" x14ac:dyDescent="0.25">
      <c r="A9" s="29" t="s">
        <v>19</v>
      </c>
      <c r="B9" s="29" t="s">
        <v>41</v>
      </c>
      <c r="C9" s="112">
        <v>3668</v>
      </c>
      <c r="D9" s="112">
        <v>3622</v>
      </c>
      <c r="E9" s="112">
        <v>3748</v>
      </c>
      <c r="F9" s="113">
        <v>3428</v>
      </c>
      <c r="G9" s="112">
        <v>3665</v>
      </c>
      <c r="H9" s="112">
        <v>3337</v>
      </c>
      <c r="I9" s="112">
        <v>2587</v>
      </c>
      <c r="J9" s="112">
        <v>4411</v>
      </c>
      <c r="K9" s="112">
        <v>3323</v>
      </c>
      <c r="L9" s="112">
        <v>3579</v>
      </c>
      <c r="M9" s="112">
        <v>3465</v>
      </c>
      <c r="N9" s="112">
        <v>3873</v>
      </c>
      <c r="O9" s="112">
        <f t="shared" si="0"/>
        <v>42706</v>
      </c>
    </row>
    <row r="10" spans="1:17" x14ac:dyDescent="0.25">
      <c r="A10" s="29" t="s">
        <v>20</v>
      </c>
      <c r="B10" s="29" t="s">
        <v>41</v>
      </c>
      <c r="C10" s="112">
        <v>17712</v>
      </c>
      <c r="D10" s="112">
        <v>16506</v>
      </c>
      <c r="E10" s="112">
        <v>18061</v>
      </c>
      <c r="F10" s="113">
        <v>13528</v>
      </c>
      <c r="G10" s="112">
        <v>16923</v>
      </c>
      <c r="H10" s="112">
        <v>16374</v>
      </c>
      <c r="I10" s="112">
        <v>11132</v>
      </c>
      <c r="J10" s="112">
        <v>15734</v>
      </c>
      <c r="K10" s="112">
        <v>16471</v>
      </c>
      <c r="L10" s="112">
        <v>16741</v>
      </c>
      <c r="M10" s="112">
        <v>15311</v>
      </c>
      <c r="N10" s="112">
        <v>16888</v>
      </c>
      <c r="O10" s="112">
        <f t="shared" si="0"/>
        <v>191381</v>
      </c>
    </row>
    <row r="11" spans="1:17" x14ac:dyDescent="0.25">
      <c r="A11" s="29" t="s">
        <v>21</v>
      </c>
      <c r="B11" s="29" t="s">
        <v>41</v>
      </c>
      <c r="C11" s="112">
        <v>17322</v>
      </c>
      <c r="D11" s="112">
        <v>16134</v>
      </c>
      <c r="E11" s="112">
        <v>17000</v>
      </c>
      <c r="F11" s="113">
        <v>16488</v>
      </c>
      <c r="G11" s="112">
        <v>16567</v>
      </c>
      <c r="H11" s="112">
        <v>17181</v>
      </c>
      <c r="I11" s="112">
        <v>13692</v>
      </c>
      <c r="J11" s="112">
        <v>17482</v>
      </c>
      <c r="K11" s="112">
        <v>17543</v>
      </c>
      <c r="L11" s="112">
        <v>16911</v>
      </c>
      <c r="M11" s="112">
        <v>17126</v>
      </c>
      <c r="N11" s="112">
        <v>19111</v>
      </c>
      <c r="O11" s="112">
        <f t="shared" si="0"/>
        <v>202557</v>
      </c>
    </row>
    <row r="12" spans="1:17" x14ac:dyDescent="0.25">
      <c r="A12" s="29" t="s">
        <v>57</v>
      </c>
      <c r="B12" s="29" t="s">
        <v>41</v>
      </c>
      <c r="C12" s="112">
        <v>33</v>
      </c>
      <c r="D12" s="112">
        <v>42</v>
      </c>
      <c r="E12" s="112">
        <v>0</v>
      </c>
      <c r="F12" s="113">
        <v>34</v>
      </c>
      <c r="G12" s="112">
        <v>20</v>
      </c>
      <c r="H12" s="112">
        <v>35</v>
      </c>
      <c r="I12" s="112">
        <v>42</v>
      </c>
      <c r="J12" s="112">
        <v>28</v>
      </c>
      <c r="K12" s="112">
        <v>30</v>
      </c>
      <c r="L12" s="112">
        <v>10</v>
      </c>
      <c r="M12" s="112">
        <v>14</v>
      </c>
      <c r="N12" s="112">
        <v>5</v>
      </c>
      <c r="O12" s="112">
        <f t="shared" si="0"/>
        <v>293</v>
      </c>
    </row>
    <row r="13" spans="1:17" x14ac:dyDescent="0.25">
      <c r="A13" s="29" t="s">
        <v>22</v>
      </c>
      <c r="B13" s="29" t="s">
        <v>41</v>
      </c>
      <c r="C13" s="112">
        <v>0</v>
      </c>
      <c r="D13" s="112">
        <v>0</v>
      </c>
      <c r="E13" s="112">
        <v>0</v>
      </c>
      <c r="F13" s="113">
        <v>0</v>
      </c>
      <c r="G13" s="112">
        <v>0</v>
      </c>
      <c r="H13" s="112">
        <v>0</v>
      </c>
      <c r="I13" s="112">
        <v>0</v>
      </c>
      <c r="J13" s="112">
        <v>0</v>
      </c>
      <c r="K13" s="112">
        <v>0</v>
      </c>
      <c r="L13" s="112">
        <v>2625</v>
      </c>
      <c r="M13" s="112">
        <v>1713</v>
      </c>
      <c r="N13" s="112">
        <v>296</v>
      </c>
      <c r="O13" s="112">
        <f t="shared" si="0"/>
        <v>4634</v>
      </c>
    </row>
    <row r="14" spans="1:17" x14ac:dyDescent="0.25">
      <c r="A14" s="29" t="s">
        <v>23</v>
      </c>
      <c r="B14" s="29" t="s">
        <v>43</v>
      </c>
      <c r="C14" s="112">
        <v>41038</v>
      </c>
      <c r="D14" s="112">
        <v>36338</v>
      </c>
      <c r="E14" s="112">
        <v>40737</v>
      </c>
      <c r="F14" s="113">
        <v>39996</v>
      </c>
      <c r="G14" s="112">
        <v>41360</v>
      </c>
      <c r="H14" s="112">
        <v>40128</v>
      </c>
      <c r="I14" s="112">
        <v>31666</v>
      </c>
      <c r="J14" s="112">
        <v>41519</v>
      </c>
      <c r="K14" s="112">
        <v>40133</v>
      </c>
      <c r="L14" s="112">
        <v>41313</v>
      </c>
      <c r="M14" s="112">
        <v>40204</v>
      </c>
      <c r="N14" s="112">
        <v>41219</v>
      </c>
      <c r="O14" s="112">
        <f t="shared" si="0"/>
        <v>475651</v>
      </c>
    </row>
    <row r="15" spans="1:17" x14ac:dyDescent="0.25">
      <c r="A15" s="29" t="s">
        <v>24</v>
      </c>
      <c r="B15" s="29" t="s">
        <v>42</v>
      </c>
      <c r="C15" s="112">
        <v>0</v>
      </c>
      <c r="D15" s="112">
        <v>0</v>
      </c>
      <c r="E15" s="112">
        <v>0</v>
      </c>
      <c r="F15" s="113">
        <v>0</v>
      </c>
      <c r="G15" s="112">
        <v>0</v>
      </c>
      <c r="H15" s="112">
        <v>358</v>
      </c>
      <c r="I15" s="112">
        <v>0</v>
      </c>
      <c r="J15" s="112">
        <v>0</v>
      </c>
      <c r="K15" s="112">
        <v>4830</v>
      </c>
      <c r="L15" s="112">
        <v>0</v>
      </c>
      <c r="M15" s="112">
        <v>1709</v>
      </c>
      <c r="N15" s="112">
        <v>0</v>
      </c>
      <c r="O15" s="112">
        <f t="shared" si="0"/>
        <v>6897</v>
      </c>
    </row>
    <row r="16" spans="1:17" s="60" customFormat="1" x14ac:dyDescent="0.25">
      <c r="A16" s="100" t="s">
        <v>25</v>
      </c>
      <c r="B16" s="100" t="s">
        <v>44</v>
      </c>
      <c r="C16" s="114">
        <v>0</v>
      </c>
      <c r="D16" s="114">
        <v>0</v>
      </c>
      <c r="E16" s="114">
        <v>106</v>
      </c>
      <c r="F16" s="115">
        <v>40</v>
      </c>
      <c r="G16" s="114">
        <v>0</v>
      </c>
      <c r="H16" s="114">
        <v>80</v>
      </c>
      <c r="I16" s="114">
        <v>0</v>
      </c>
      <c r="J16" s="114">
        <v>169</v>
      </c>
      <c r="K16" s="114">
        <v>65</v>
      </c>
      <c r="L16" s="114">
        <v>38</v>
      </c>
      <c r="M16" s="114">
        <v>0</v>
      </c>
      <c r="N16" s="114">
        <v>69</v>
      </c>
      <c r="O16" s="114">
        <f t="shared" si="0"/>
        <v>567</v>
      </c>
    </row>
    <row r="17" spans="1:15" s="60" customFormat="1" x14ac:dyDescent="0.25">
      <c r="A17" s="100" t="s">
        <v>58</v>
      </c>
      <c r="B17" s="100" t="s">
        <v>41</v>
      </c>
      <c r="C17" s="114">
        <v>35</v>
      </c>
      <c r="D17" s="114">
        <v>10</v>
      </c>
      <c r="E17" s="114">
        <v>0</v>
      </c>
      <c r="F17" s="115">
        <v>21</v>
      </c>
      <c r="G17" s="114">
        <v>20</v>
      </c>
      <c r="H17" s="114">
        <v>0</v>
      </c>
      <c r="I17" s="114">
        <v>22</v>
      </c>
      <c r="J17" s="114">
        <v>15</v>
      </c>
      <c r="K17" s="114">
        <v>107</v>
      </c>
      <c r="L17" s="114">
        <v>47</v>
      </c>
      <c r="M17" s="114">
        <v>0</v>
      </c>
      <c r="N17" s="114">
        <v>70</v>
      </c>
      <c r="O17" s="114">
        <f t="shared" si="0"/>
        <v>347</v>
      </c>
    </row>
    <row r="18" spans="1:15" s="60" customFormat="1" x14ac:dyDescent="0.25">
      <c r="A18" s="100" t="s">
        <v>59</v>
      </c>
      <c r="B18" s="100" t="s">
        <v>41</v>
      </c>
      <c r="C18" s="114">
        <v>56</v>
      </c>
      <c r="D18" s="114">
        <v>20</v>
      </c>
      <c r="E18" s="114">
        <v>88</v>
      </c>
      <c r="F18" s="115">
        <v>34</v>
      </c>
      <c r="G18" s="114">
        <v>203</v>
      </c>
      <c r="H18" s="114">
        <v>38</v>
      </c>
      <c r="I18" s="114">
        <v>62</v>
      </c>
      <c r="J18" s="114">
        <v>19</v>
      </c>
      <c r="K18" s="114">
        <v>74</v>
      </c>
      <c r="L18" s="114">
        <v>26</v>
      </c>
      <c r="M18" s="114">
        <v>225</v>
      </c>
      <c r="N18" s="114">
        <v>119</v>
      </c>
      <c r="O18" s="114">
        <f t="shared" si="0"/>
        <v>964</v>
      </c>
    </row>
    <row r="19" spans="1:15" s="60" customFormat="1" x14ac:dyDescent="0.25">
      <c r="A19" s="100" t="s">
        <v>60</v>
      </c>
      <c r="B19" s="100" t="s">
        <v>41</v>
      </c>
      <c r="C19" s="114" t="s">
        <v>107</v>
      </c>
      <c r="D19" s="114">
        <v>0</v>
      </c>
      <c r="E19" s="114">
        <v>0</v>
      </c>
      <c r="F19" s="115">
        <v>0</v>
      </c>
      <c r="G19" s="114">
        <v>0</v>
      </c>
      <c r="H19" s="114">
        <v>0</v>
      </c>
      <c r="I19" s="114">
        <v>0</v>
      </c>
      <c r="J19" s="114">
        <v>0</v>
      </c>
      <c r="K19" s="114">
        <v>170</v>
      </c>
      <c r="L19" s="114">
        <v>1271</v>
      </c>
      <c r="M19" s="114">
        <v>0</v>
      </c>
      <c r="N19" s="114">
        <v>0</v>
      </c>
      <c r="O19" s="114">
        <f t="shared" si="0"/>
        <v>1441</v>
      </c>
    </row>
    <row r="20" spans="1:15" s="60" customFormat="1" x14ac:dyDescent="0.25">
      <c r="A20" s="100" t="s">
        <v>26</v>
      </c>
      <c r="B20" s="100" t="s">
        <v>45</v>
      </c>
      <c r="C20" s="114">
        <v>0</v>
      </c>
      <c r="D20" s="114">
        <v>0</v>
      </c>
      <c r="E20" s="114">
        <v>0</v>
      </c>
      <c r="F20" s="115">
        <v>0</v>
      </c>
      <c r="G20" s="114">
        <v>0</v>
      </c>
      <c r="H20" s="114">
        <v>0</v>
      </c>
      <c r="I20" s="114">
        <v>0</v>
      </c>
      <c r="J20" s="114">
        <v>47</v>
      </c>
      <c r="K20" s="114">
        <v>0</v>
      </c>
      <c r="L20" s="114">
        <v>0</v>
      </c>
      <c r="M20" s="114">
        <v>0</v>
      </c>
      <c r="N20" s="114">
        <v>0</v>
      </c>
      <c r="O20" s="114">
        <f t="shared" si="0"/>
        <v>47</v>
      </c>
    </row>
    <row r="21" spans="1:15" s="60" customFormat="1" x14ac:dyDescent="0.25">
      <c r="A21" s="100" t="s">
        <v>61</v>
      </c>
      <c r="B21" s="100" t="s">
        <v>42</v>
      </c>
      <c r="C21" s="114">
        <v>0</v>
      </c>
      <c r="D21" s="114">
        <v>0</v>
      </c>
      <c r="E21" s="114">
        <v>0</v>
      </c>
      <c r="F21" s="115">
        <v>0</v>
      </c>
      <c r="G21" s="114">
        <v>499</v>
      </c>
      <c r="H21" s="114">
        <v>0</v>
      </c>
      <c r="I21" s="114">
        <v>0</v>
      </c>
      <c r="J21" s="114">
        <v>0</v>
      </c>
      <c r="K21" s="114">
        <v>0</v>
      </c>
      <c r="L21" s="114">
        <v>0</v>
      </c>
      <c r="M21" s="114">
        <v>0</v>
      </c>
      <c r="N21" s="114">
        <v>0</v>
      </c>
      <c r="O21" s="114">
        <f t="shared" si="0"/>
        <v>499</v>
      </c>
    </row>
    <row r="22" spans="1:15" s="60" customFormat="1" x14ac:dyDescent="0.25">
      <c r="A22" s="100" t="s">
        <v>108</v>
      </c>
      <c r="B22" s="100" t="s">
        <v>40</v>
      </c>
      <c r="C22" s="114">
        <v>436</v>
      </c>
      <c r="D22" s="114">
        <v>307</v>
      </c>
      <c r="E22" s="114">
        <v>445</v>
      </c>
      <c r="F22" s="115">
        <v>452</v>
      </c>
      <c r="G22" s="114">
        <v>451</v>
      </c>
      <c r="H22" s="114">
        <v>216</v>
      </c>
      <c r="I22" s="114">
        <v>307</v>
      </c>
      <c r="J22" s="114">
        <v>469</v>
      </c>
      <c r="K22" s="114">
        <v>367</v>
      </c>
      <c r="L22" s="114">
        <v>257</v>
      </c>
      <c r="M22" s="114">
        <v>252</v>
      </c>
      <c r="N22" s="114">
        <v>407</v>
      </c>
      <c r="O22" s="114">
        <f t="shared" si="0"/>
        <v>4366</v>
      </c>
    </row>
    <row r="23" spans="1:15" s="60" customFormat="1" x14ac:dyDescent="0.25">
      <c r="A23" s="100" t="s">
        <v>109</v>
      </c>
      <c r="B23" s="100" t="s">
        <v>40</v>
      </c>
      <c r="C23" s="114">
        <v>384</v>
      </c>
      <c r="D23" s="114">
        <v>269</v>
      </c>
      <c r="E23" s="114">
        <v>362</v>
      </c>
      <c r="F23" s="115">
        <v>360</v>
      </c>
      <c r="G23" s="114">
        <v>371</v>
      </c>
      <c r="H23" s="114">
        <v>188</v>
      </c>
      <c r="I23" s="114">
        <v>251</v>
      </c>
      <c r="J23" s="114">
        <v>401</v>
      </c>
      <c r="K23" s="114">
        <v>295</v>
      </c>
      <c r="L23" s="114">
        <v>217</v>
      </c>
      <c r="M23" s="114">
        <v>224</v>
      </c>
      <c r="N23" s="114">
        <v>355</v>
      </c>
      <c r="O23" s="114">
        <f t="shared" si="0"/>
        <v>3677</v>
      </c>
    </row>
    <row r="24" spans="1:15" s="60" customFormat="1" x14ac:dyDescent="0.25">
      <c r="A24" s="100" t="s">
        <v>110</v>
      </c>
      <c r="B24" s="100" t="s">
        <v>40</v>
      </c>
      <c r="C24" s="114">
        <v>398</v>
      </c>
      <c r="D24" s="114">
        <v>335</v>
      </c>
      <c r="E24" s="114">
        <v>359</v>
      </c>
      <c r="F24" s="115">
        <v>362</v>
      </c>
      <c r="G24" s="114">
        <v>385</v>
      </c>
      <c r="H24" s="114">
        <v>202</v>
      </c>
      <c r="I24" s="114">
        <v>255</v>
      </c>
      <c r="J24" s="114">
        <v>414</v>
      </c>
      <c r="K24" s="114">
        <v>299</v>
      </c>
      <c r="L24" s="114">
        <v>224</v>
      </c>
      <c r="M24" s="114">
        <v>224</v>
      </c>
      <c r="N24" s="114">
        <v>345</v>
      </c>
      <c r="O24" s="114">
        <f t="shared" si="0"/>
        <v>3802</v>
      </c>
    </row>
    <row r="25" spans="1:15" s="60" customFormat="1" x14ac:dyDescent="0.25">
      <c r="A25" s="100" t="s">
        <v>111</v>
      </c>
      <c r="B25" s="100" t="s">
        <v>40</v>
      </c>
      <c r="C25" s="114">
        <v>466</v>
      </c>
      <c r="D25" s="114">
        <v>301</v>
      </c>
      <c r="E25" s="114">
        <v>443</v>
      </c>
      <c r="F25" s="115">
        <v>448</v>
      </c>
      <c r="G25" s="114">
        <v>444</v>
      </c>
      <c r="H25" s="114">
        <v>221</v>
      </c>
      <c r="I25" s="114">
        <v>295</v>
      </c>
      <c r="J25" s="114">
        <v>471</v>
      </c>
      <c r="K25" s="114">
        <v>364</v>
      </c>
      <c r="L25" s="114">
        <v>260</v>
      </c>
      <c r="M25" s="114">
        <v>244</v>
      </c>
      <c r="N25" s="114">
        <v>410</v>
      </c>
      <c r="O25" s="114">
        <f t="shared" si="0"/>
        <v>4367</v>
      </c>
    </row>
    <row r="26" spans="1:15" s="60" customFormat="1" x14ac:dyDescent="0.25">
      <c r="A26" s="100" t="s">
        <v>27</v>
      </c>
      <c r="B26" s="100" t="s">
        <v>45</v>
      </c>
      <c r="C26" s="114">
        <v>538</v>
      </c>
      <c r="D26" s="114">
        <v>540</v>
      </c>
      <c r="E26" s="114">
        <v>1304</v>
      </c>
      <c r="F26" s="115">
        <v>1727</v>
      </c>
      <c r="G26" s="114">
        <v>1550</v>
      </c>
      <c r="H26" s="114">
        <v>1881</v>
      </c>
      <c r="I26" s="114">
        <v>1082</v>
      </c>
      <c r="J26" s="114">
        <v>919</v>
      </c>
      <c r="K26" s="114">
        <v>1596</v>
      </c>
      <c r="L26" s="114">
        <v>1662</v>
      </c>
      <c r="M26" s="114">
        <v>1148</v>
      </c>
      <c r="N26" s="114">
        <v>824</v>
      </c>
      <c r="O26" s="114">
        <f t="shared" si="0"/>
        <v>14771</v>
      </c>
    </row>
    <row r="27" spans="1:15" s="60" customFormat="1" x14ac:dyDescent="0.25">
      <c r="A27" s="100" t="s">
        <v>28</v>
      </c>
      <c r="B27" s="100" t="s">
        <v>41</v>
      </c>
      <c r="C27" s="114">
        <v>40</v>
      </c>
      <c r="D27" s="114">
        <v>94</v>
      </c>
      <c r="E27" s="114">
        <v>341</v>
      </c>
      <c r="F27" s="115">
        <v>173</v>
      </c>
      <c r="G27" s="114">
        <v>21</v>
      </c>
      <c r="H27" s="114">
        <v>239</v>
      </c>
      <c r="I27" s="114">
        <v>40</v>
      </c>
      <c r="J27" s="114">
        <v>60</v>
      </c>
      <c r="K27" s="114">
        <v>105</v>
      </c>
      <c r="L27" s="114">
        <v>95</v>
      </c>
      <c r="M27" s="114">
        <v>78</v>
      </c>
      <c r="N27" s="114">
        <v>54</v>
      </c>
      <c r="O27" s="114">
        <f t="shared" si="0"/>
        <v>1340</v>
      </c>
    </row>
    <row r="28" spans="1:15" s="60" customFormat="1" x14ac:dyDescent="0.25">
      <c r="A28" s="100" t="s">
        <v>62</v>
      </c>
      <c r="B28" s="100" t="s">
        <v>41</v>
      </c>
      <c r="C28" s="114">
        <v>283</v>
      </c>
      <c r="D28" s="114">
        <v>263</v>
      </c>
      <c r="E28" s="114">
        <v>369</v>
      </c>
      <c r="F28" s="115">
        <v>317</v>
      </c>
      <c r="G28" s="114">
        <v>317</v>
      </c>
      <c r="H28" s="114">
        <v>240</v>
      </c>
      <c r="I28" s="114">
        <v>207</v>
      </c>
      <c r="J28" s="114">
        <v>327</v>
      </c>
      <c r="K28" s="114">
        <v>491</v>
      </c>
      <c r="L28" s="114">
        <v>312</v>
      </c>
      <c r="M28" s="114">
        <v>274</v>
      </c>
      <c r="N28" s="114">
        <v>295</v>
      </c>
      <c r="O28" s="114">
        <f t="shared" si="0"/>
        <v>3695</v>
      </c>
    </row>
    <row r="29" spans="1:15" s="60" customFormat="1" x14ac:dyDescent="0.25">
      <c r="A29" s="100" t="s">
        <v>29</v>
      </c>
      <c r="B29" s="100" t="s">
        <v>41</v>
      </c>
      <c r="C29" s="114">
        <v>0</v>
      </c>
      <c r="D29" s="114">
        <v>0</v>
      </c>
      <c r="E29" s="114">
        <v>38</v>
      </c>
      <c r="F29" s="115">
        <v>40</v>
      </c>
      <c r="G29" s="114">
        <v>0</v>
      </c>
      <c r="H29" s="114">
        <v>512</v>
      </c>
      <c r="I29" s="114">
        <v>0</v>
      </c>
      <c r="J29" s="114">
        <v>40</v>
      </c>
      <c r="K29" s="114">
        <v>0</v>
      </c>
      <c r="L29" s="114">
        <v>20</v>
      </c>
      <c r="M29" s="114">
        <v>0</v>
      </c>
      <c r="N29" s="114">
        <v>0</v>
      </c>
      <c r="O29" s="114">
        <f t="shared" si="0"/>
        <v>650</v>
      </c>
    </row>
    <row r="30" spans="1:15" s="60" customFormat="1" x14ac:dyDescent="0.25">
      <c r="A30" s="100" t="s">
        <v>30</v>
      </c>
      <c r="B30" s="100" t="s">
        <v>43</v>
      </c>
      <c r="C30" s="114">
        <v>0</v>
      </c>
      <c r="D30" s="114">
        <v>350</v>
      </c>
      <c r="E30" s="114">
        <v>0</v>
      </c>
      <c r="F30" s="115">
        <v>0</v>
      </c>
      <c r="G30" s="114">
        <v>0</v>
      </c>
      <c r="H30" s="114">
        <v>0</v>
      </c>
      <c r="I30" s="114">
        <v>180</v>
      </c>
      <c r="J30" s="114">
        <v>0</v>
      </c>
      <c r="K30" s="114">
        <v>0</v>
      </c>
      <c r="L30" s="114">
        <v>0</v>
      </c>
      <c r="M30" s="114">
        <v>0</v>
      </c>
      <c r="N30" s="114">
        <v>0</v>
      </c>
      <c r="O30" s="114">
        <f t="shared" si="0"/>
        <v>530</v>
      </c>
    </row>
    <row r="31" spans="1:15" s="60" customFormat="1" x14ac:dyDescent="0.25">
      <c r="A31" s="100" t="s">
        <v>54</v>
      </c>
      <c r="B31" s="100" t="s">
        <v>43</v>
      </c>
      <c r="C31" s="114">
        <v>5512</v>
      </c>
      <c r="D31" s="114">
        <v>13712</v>
      </c>
      <c r="E31" s="114">
        <v>0</v>
      </c>
      <c r="F31" s="115">
        <v>4657</v>
      </c>
      <c r="G31" s="114">
        <v>6133</v>
      </c>
      <c r="H31" s="114">
        <v>4980</v>
      </c>
      <c r="I31" s="114">
        <v>4393</v>
      </c>
      <c r="J31" s="114">
        <v>16690</v>
      </c>
      <c r="K31" s="114">
        <v>2312</v>
      </c>
      <c r="L31" s="114">
        <v>1725</v>
      </c>
      <c r="M31" s="114">
        <v>7761</v>
      </c>
      <c r="N31" s="114">
        <v>7275</v>
      </c>
      <c r="O31" s="114">
        <f t="shared" si="0"/>
        <v>75150</v>
      </c>
    </row>
    <row r="32" spans="1:15" s="60" customFormat="1" x14ac:dyDescent="0.25">
      <c r="A32" s="100" t="s">
        <v>31</v>
      </c>
      <c r="B32" s="100" t="s">
        <v>48</v>
      </c>
      <c r="C32" s="114">
        <v>30</v>
      </c>
      <c r="D32" s="114">
        <v>30</v>
      </c>
      <c r="E32" s="114">
        <v>56</v>
      </c>
      <c r="F32" s="115">
        <v>0</v>
      </c>
      <c r="G32" s="114">
        <v>30</v>
      </c>
      <c r="H32" s="114">
        <v>60</v>
      </c>
      <c r="I32" s="114">
        <v>0</v>
      </c>
      <c r="J32" s="114">
        <v>0</v>
      </c>
      <c r="K32" s="114">
        <v>0</v>
      </c>
      <c r="L32" s="114">
        <v>0</v>
      </c>
      <c r="M32" s="114">
        <v>0</v>
      </c>
      <c r="N32" s="114">
        <v>0</v>
      </c>
      <c r="O32" s="114">
        <f t="shared" si="0"/>
        <v>206</v>
      </c>
    </row>
    <row r="33" spans="1:16" s="60" customFormat="1" x14ac:dyDescent="0.25">
      <c r="A33" s="100" t="s">
        <v>32</v>
      </c>
      <c r="B33" s="100" t="s">
        <v>48</v>
      </c>
      <c r="C33" s="114">
        <v>60</v>
      </c>
      <c r="D33" s="114">
        <v>0</v>
      </c>
      <c r="E33" s="114">
        <v>60</v>
      </c>
      <c r="F33" s="115">
        <v>30</v>
      </c>
      <c r="G33" s="114">
        <v>30</v>
      </c>
      <c r="H33" s="114">
        <v>30</v>
      </c>
      <c r="I33" s="114">
        <v>0</v>
      </c>
      <c r="J33" s="114">
        <v>0</v>
      </c>
      <c r="K33" s="114">
        <v>0</v>
      </c>
      <c r="L33" s="114">
        <v>0</v>
      </c>
      <c r="M33" s="114">
        <v>0</v>
      </c>
      <c r="N33" s="114">
        <v>0</v>
      </c>
      <c r="O33" s="114">
        <f t="shared" si="0"/>
        <v>210</v>
      </c>
    </row>
    <row r="34" spans="1:16" s="60" customFormat="1" x14ac:dyDescent="0.25">
      <c r="A34" s="100" t="s">
        <v>33</v>
      </c>
      <c r="B34" s="100" t="s">
        <v>41</v>
      </c>
      <c r="C34" s="114">
        <v>24952</v>
      </c>
      <c r="D34" s="114">
        <v>23500</v>
      </c>
      <c r="E34" s="114">
        <v>25464</v>
      </c>
      <c r="F34" s="115">
        <v>25430</v>
      </c>
      <c r="G34" s="114">
        <v>24609</v>
      </c>
      <c r="H34" s="114">
        <v>27074</v>
      </c>
      <c r="I34" s="114">
        <v>19416</v>
      </c>
      <c r="J34" s="114">
        <v>26742</v>
      </c>
      <c r="K34" s="114">
        <v>24300</v>
      </c>
      <c r="L34" s="114">
        <v>24866</v>
      </c>
      <c r="M34" s="114">
        <v>25794</v>
      </c>
      <c r="N34" s="114">
        <v>25847</v>
      </c>
      <c r="O34" s="114">
        <f t="shared" si="0"/>
        <v>297994</v>
      </c>
    </row>
    <row r="35" spans="1:16" s="60" customFormat="1" x14ac:dyDescent="0.25">
      <c r="A35" s="100" t="s">
        <v>34</v>
      </c>
      <c r="B35" s="100" t="s">
        <v>45</v>
      </c>
      <c r="C35" s="114">
        <v>7381</v>
      </c>
      <c r="D35" s="114">
        <v>6650</v>
      </c>
      <c r="E35" s="114">
        <v>8472</v>
      </c>
      <c r="F35" s="115">
        <v>6962</v>
      </c>
      <c r="G35" s="114">
        <v>6777</v>
      </c>
      <c r="H35" s="114">
        <v>7146</v>
      </c>
      <c r="I35" s="114">
        <v>5329</v>
      </c>
      <c r="J35" s="114">
        <v>8049</v>
      </c>
      <c r="K35" s="114">
        <v>7577</v>
      </c>
      <c r="L35" s="114">
        <v>7415</v>
      </c>
      <c r="M35" s="114">
        <v>7060</v>
      </c>
      <c r="N35" s="114">
        <v>7582</v>
      </c>
      <c r="O35" s="114">
        <f t="shared" si="0"/>
        <v>86400</v>
      </c>
    </row>
    <row r="36" spans="1:16" s="60" customFormat="1" x14ac:dyDescent="0.25">
      <c r="A36" s="100" t="s">
        <v>63</v>
      </c>
      <c r="B36" s="100" t="s">
        <v>43</v>
      </c>
      <c r="C36" s="114">
        <v>0</v>
      </c>
      <c r="D36" s="114">
        <v>0</v>
      </c>
      <c r="E36" s="114">
        <v>0</v>
      </c>
      <c r="F36" s="115">
        <v>600</v>
      </c>
      <c r="G36" s="114">
        <v>355</v>
      </c>
      <c r="H36" s="114">
        <v>0</v>
      </c>
      <c r="I36" s="114">
        <v>240</v>
      </c>
      <c r="J36" s="114">
        <v>580</v>
      </c>
      <c r="K36" s="114">
        <v>766</v>
      </c>
      <c r="L36" s="114">
        <v>501</v>
      </c>
      <c r="M36" s="114">
        <v>361</v>
      </c>
      <c r="N36" s="114">
        <v>4947</v>
      </c>
      <c r="O36" s="114">
        <f t="shared" si="0"/>
        <v>8350</v>
      </c>
    </row>
    <row r="37" spans="1:16" s="60" customFormat="1" x14ac:dyDescent="0.25">
      <c r="A37" s="100" t="s">
        <v>64</v>
      </c>
      <c r="B37" s="100" t="s">
        <v>44</v>
      </c>
      <c r="C37" s="114">
        <v>50</v>
      </c>
      <c r="D37" s="114">
        <v>31</v>
      </c>
      <c r="E37" s="114">
        <v>61</v>
      </c>
      <c r="F37" s="115">
        <v>33</v>
      </c>
      <c r="G37" s="114">
        <v>18</v>
      </c>
      <c r="H37" s="114">
        <v>8</v>
      </c>
      <c r="I37" s="114">
        <v>0</v>
      </c>
      <c r="J37" s="114">
        <v>0</v>
      </c>
      <c r="K37" s="114">
        <v>45</v>
      </c>
      <c r="L37" s="114">
        <v>8</v>
      </c>
      <c r="M37" s="114">
        <v>96</v>
      </c>
      <c r="N37" s="114">
        <v>4</v>
      </c>
      <c r="O37" s="114">
        <f t="shared" si="0"/>
        <v>354</v>
      </c>
      <c r="P37" s="116"/>
    </row>
    <row r="38" spans="1:16" x14ac:dyDescent="0.25">
      <c r="A38" s="29" t="s">
        <v>65</v>
      </c>
      <c r="B38" s="29" t="s">
        <v>41</v>
      </c>
      <c r="C38" s="112">
        <v>16071</v>
      </c>
      <c r="D38" s="112">
        <v>14850</v>
      </c>
      <c r="E38" s="112">
        <v>16423</v>
      </c>
      <c r="F38" s="113">
        <v>15580</v>
      </c>
      <c r="G38" s="112">
        <v>16151</v>
      </c>
      <c r="H38" s="112">
        <v>15640</v>
      </c>
      <c r="I38" s="112">
        <v>12397</v>
      </c>
      <c r="J38" s="112">
        <v>16137</v>
      </c>
      <c r="K38" s="112">
        <v>15588</v>
      </c>
      <c r="L38" s="112">
        <v>16237</v>
      </c>
      <c r="M38" s="112">
        <v>15552</v>
      </c>
      <c r="N38" s="112">
        <v>16163</v>
      </c>
      <c r="O38" s="112">
        <f t="shared" si="0"/>
        <v>186789</v>
      </c>
    </row>
    <row r="39" spans="1:16" x14ac:dyDescent="0.25">
      <c r="A39" s="29" t="s">
        <v>35</v>
      </c>
      <c r="B39" s="29" t="s">
        <v>40</v>
      </c>
      <c r="C39" s="112">
        <v>15</v>
      </c>
      <c r="D39" s="112">
        <v>0</v>
      </c>
      <c r="E39" s="112">
        <v>15</v>
      </c>
      <c r="F39" s="113">
        <v>0</v>
      </c>
      <c r="G39" s="112">
        <v>0</v>
      </c>
      <c r="H39" s="112">
        <v>15</v>
      </c>
      <c r="I39" s="112">
        <v>0</v>
      </c>
      <c r="J39" s="112">
        <v>0</v>
      </c>
      <c r="K39" s="112">
        <v>15</v>
      </c>
      <c r="L39" s="112">
        <v>0</v>
      </c>
      <c r="M39" s="112">
        <v>10</v>
      </c>
      <c r="N39" s="112">
        <v>0</v>
      </c>
      <c r="O39" s="112">
        <f t="shared" si="0"/>
        <v>70</v>
      </c>
    </row>
    <row r="40" spans="1:16" x14ac:dyDescent="0.25">
      <c r="A40" s="29" t="s">
        <v>36</v>
      </c>
      <c r="B40" s="29" t="s">
        <v>40</v>
      </c>
      <c r="C40" s="112">
        <v>0</v>
      </c>
      <c r="D40" s="112">
        <v>87</v>
      </c>
      <c r="E40" s="112">
        <v>0</v>
      </c>
      <c r="F40" s="113">
        <v>0</v>
      </c>
      <c r="G40" s="112">
        <v>0</v>
      </c>
      <c r="H40" s="112">
        <v>108</v>
      </c>
      <c r="I40" s="112">
        <v>0</v>
      </c>
      <c r="J40" s="112">
        <v>0</v>
      </c>
      <c r="K40" s="112">
        <v>0</v>
      </c>
      <c r="L40" s="112">
        <v>0</v>
      </c>
      <c r="M40" s="112">
        <v>0</v>
      </c>
      <c r="N40" s="112">
        <v>0</v>
      </c>
      <c r="O40" s="112">
        <f t="shared" si="0"/>
        <v>195</v>
      </c>
    </row>
    <row r="41" spans="1:16" x14ac:dyDescent="0.25">
      <c r="A41" s="29" t="s">
        <v>37</v>
      </c>
      <c r="B41" s="29" t="s">
        <v>40</v>
      </c>
      <c r="C41" s="112">
        <v>0</v>
      </c>
      <c r="D41" s="112">
        <v>15</v>
      </c>
      <c r="E41" s="112">
        <v>15</v>
      </c>
      <c r="F41" s="113">
        <v>15</v>
      </c>
      <c r="G41" s="112">
        <v>0</v>
      </c>
      <c r="H41" s="112">
        <v>13</v>
      </c>
      <c r="I41" s="112">
        <v>0</v>
      </c>
      <c r="J41" s="112">
        <v>15</v>
      </c>
      <c r="K41" s="112">
        <v>0</v>
      </c>
      <c r="L41" s="112">
        <v>0</v>
      </c>
      <c r="M41" s="112">
        <v>0</v>
      </c>
      <c r="N41" s="112">
        <v>0</v>
      </c>
      <c r="O41" s="112">
        <f t="shared" si="0"/>
        <v>73</v>
      </c>
    </row>
    <row r="42" spans="1:16" x14ac:dyDescent="0.25">
      <c r="A42" s="29" t="s">
        <v>38</v>
      </c>
      <c r="B42" s="29" t="s">
        <v>41</v>
      </c>
      <c r="C42" s="112">
        <v>0</v>
      </c>
      <c r="D42" s="112">
        <v>55</v>
      </c>
      <c r="E42" s="112">
        <v>0</v>
      </c>
      <c r="F42" s="113">
        <v>10</v>
      </c>
      <c r="G42" s="112">
        <v>43</v>
      </c>
      <c r="H42" s="112">
        <v>54</v>
      </c>
      <c r="I42" s="112">
        <v>0</v>
      </c>
      <c r="J42" s="112">
        <v>60</v>
      </c>
      <c r="K42" s="112">
        <v>0</v>
      </c>
      <c r="L42" s="112">
        <v>55</v>
      </c>
      <c r="M42" s="112">
        <v>0</v>
      </c>
      <c r="N42" s="112">
        <v>55</v>
      </c>
      <c r="O42" s="112">
        <f t="shared" si="0"/>
        <v>332</v>
      </c>
    </row>
    <row r="43" spans="1:16" x14ac:dyDescent="0.25">
      <c r="A43" s="29" t="s">
        <v>39</v>
      </c>
      <c r="B43" s="29" t="s">
        <v>41</v>
      </c>
      <c r="C43" s="112">
        <v>3095</v>
      </c>
      <c r="D43" s="112">
        <v>2772</v>
      </c>
      <c r="E43" s="112">
        <v>3129</v>
      </c>
      <c r="F43" s="113">
        <v>2936</v>
      </c>
      <c r="G43" s="112">
        <v>3062</v>
      </c>
      <c r="H43" s="112">
        <v>2908</v>
      </c>
      <c r="I43" s="112">
        <v>2374</v>
      </c>
      <c r="J43" s="112">
        <v>3559</v>
      </c>
      <c r="K43" s="112">
        <v>3087</v>
      </c>
      <c r="L43" s="112">
        <v>3093</v>
      </c>
      <c r="M43" s="112">
        <v>2930</v>
      </c>
      <c r="N43" s="112">
        <v>2815</v>
      </c>
      <c r="O43" s="112">
        <f t="shared" si="0"/>
        <v>35760</v>
      </c>
    </row>
    <row r="44" spans="1:16" x14ac:dyDescent="0.25">
      <c r="A44" s="29"/>
      <c r="B44" s="29"/>
      <c r="C44" s="112"/>
      <c r="D44" s="112"/>
      <c r="E44" s="112"/>
      <c r="F44" s="113"/>
      <c r="G44" s="112"/>
      <c r="H44" s="112"/>
      <c r="I44" s="112"/>
      <c r="J44" s="112"/>
      <c r="K44" s="112"/>
      <c r="L44" s="112"/>
      <c r="M44" s="112"/>
      <c r="N44" s="112"/>
      <c r="O44" s="112"/>
    </row>
    <row r="45" spans="1:16" x14ac:dyDescent="0.25">
      <c r="A45" s="29" t="s">
        <v>112</v>
      </c>
      <c r="B45" s="29"/>
      <c r="C45" s="117">
        <f t="shared" ref="C45:O45" si="1">SUM(C2:C43)</f>
        <v>163816</v>
      </c>
      <c r="D45" s="117">
        <f t="shared" si="1"/>
        <v>156629</v>
      </c>
      <c r="E45" s="117">
        <f t="shared" si="1"/>
        <v>161207</v>
      </c>
      <c r="F45" s="117">
        <f t="shared" si="1"/>
        <v>151728</v>
      </c>
      <c r="G45" s="117">
        <f t="shared" si="1"/>
        <v>162158</v>
      </c>
      <c r="H45" s="117">
        <f t="shared" si="1"/>
        <v>160069</v>
      </c>
      <c r="I45" s="117">
        <f t="shared" si="1"/>
        <v>122881</v>
      </c>
      <c r="J45" s="117">
        <f t="shared" si="1"/>
        <v>179314</v>
      </c>
      <c r="K45" s="117">
        <f t="shared" si="1"/>
        <v>161501</v>
      </c>
      <c r="L45" s="117">
        <f t="shared" si="1"/>
        <v>163318</v>
      </c>
      <c r="M45" s="117">
        <f t="shared" si="1"/>
        <v>166920</v>
      </c>
      <c r="N45" s="117">
        <f t="shared" si="1"/>
        <v>175449</v>
      </c>
      <c r="O45" s="117">
        <f t="shared" si="1"/>
        <v>1924990</v>
      </c>
    </row>
    <row r="47" spans="1:16" ht="14.4" x14ac:dyDescent="0.3">
      <c r="A47" s="96" t="s">
        <v>133</v>
      </c>
    </row>
    <row r="48" spans="1:16" x14ac:dyDescent="0.25">
      <c r="A48" s="2" t="s">
        <v>135</v>
      </c>
    </row>
  </sheetData>
  <conditionalFormatting sqref="O1:O1048576">
    <cfRule type="dataBar" priority="1">
      <dataBar>
        <cfvo type="min"/>
        <cfvo type="max"/>
        <color rgb="FF63C384"/>
      </dataBar>
      <extLst>
        <ext xmlns:x14="http://schemas.microsoft.com/office/spreadsheetml/2009/9/main" uri="{B025F937-C7B1-47D3-B67F-A62EFF666E3E}">
          <x14:id>{3198F690-651A-4F94-93BD-93FFF248DF28}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198F690-651A-4F94-93BD-93FFF248DF28}">
            <x14:dataBar minLength="0" maxLength="100" border="1" negativeBarBorderColorSameAsPositive="0">
              <x14:cfvo type="autoMin"/>
              <x14:cfvo type="autoMax"/>
              <x14:borderColor rgb="FF63C384"/>
              <x14:negativeFillColor rgb="FFFF0000"/>
              <x14:negativeBorderColor rgb="FFFF0000"/>
              <x14:axisColor rgb="FF000000"/>
            </x14:dataBar>
          </x14:cfRule>
          <xm:sqref>O1:O1048576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BEC30-2B86-42CD-8F72-67DC8861C0D4}">
  <sheetPr>
    <tabColor rgb="FF0B3D91"/>
  </sheetPr>
  <dimension ref="A1:W53"/>
  <sheetViews>
    <sheetView zoomScaleNormal="100" workbookViewId="0">
      <selection activeCell="E4" sqref="E4"/>
    </sheetView>
  </sheetViews>
  <sheetFormatPr defaultRowHeight="13.8" x14ac:dyDescent="0.25"/>
  <cols>
    <col min="1" max="1" width="17.5546875" style="2" customWidth="1"/>
    <col min="2" max="2" width="53.77734375" style="2" customWidth="1"/>
    <col min="3" max="22" width="11.44140625" style="82" bestFit="1" customWidth="1"/>
    <col min="23" max="23" width="13.21875" style="2" bestFit="1" customWidth="1"/>
    <col min="24" max="16384" width="8.88671875" style="2"/>
  </cols>
  <sheetData>
    <row r="1" spans="1:23" x14ac:dyDescent="0.25">
      <c r="A1" s="76" t="s">
        <v>16</v>
      </c>
      <c r="B1" s="76" t="s">
        <v>82</v>
      </c>
      <c r="C1" s="75">
        <v>2021</v>
      </c>
      <c r="D1" s="76">
        <v>2022</v>
      </c>
      <c r="E1" s="75">
        <v>2023</v>
      </c>
      <c r="F1" s="76">
        <v>2024</v>
      </c>
      <c r="G1" s="75">
        <v>2025</v>
      </c>
      <c r="H1" s="76">
        <v>2026</v>
      </c>
      <c r="I1" s="75">
        <v>2027</v>
      </c>
      <c r="J1" s="76">
        <v>2028</v>
      </c>
      <c r="K1" s="75">
        <v>2029</v>
      </c>
      <c r="L1" s="76">
        <v>2030</v>
      </c>
      <c r="M1" s="75">
        <v>2031</v>
      </c>
      <c r="N1" s="76">
        <v>2032</v>
      </c>
      <c r="O1" s="75">
        <v>2033</v>
      </c>
      <c r="P1" s="76">
        <v>2034</v>
      </c>
      <c r="Q1" s="75">
        <v>2035</v>
      </c>
      <c r="R1" s="76">
        <v>2036</v>
      </c>
      <c r="S1" s="75">
        <v>2037</v>
      </c>
      <c r="T1" s="76">
        <v>2038</v>
      </c>
      <c r="U1" s="75">
        <v>2039</v>
      </c>
      <c r="V1" s="76">
        <v>2040</v>
      </c>
    </row>
    <row r="2" spans="1:23" x14ac:dyDescent="0.25">
      <c r="A2" s="29" t="s">
        <v>17</v>
      </c>
      <c r="B2" s="29" t="s">
        <v>41</v>
      </c>
      <c r="C2" s="105">
        <f>IFERROR(INDEX(Minutes_by_use_case!$C$2:$C$9,MATCH($B2,Minutes_by_use_case!$A$2:$A$9,0)),"-")</f>
        <v>66700.388888888891</v>
      </c>
      <c r="D2" s="105">
        <f>IFERROR(INDEX(Minutes_by_use_case!$C$2:$C$9,MATCH($B2,Minutes_by_use_case!$A$2:$A$9,0)),"-")</f>
        <v>66700.388888888891</v>
      </c>
      <c r="E2" s="105">
        <f>IFERROR(INDEX(Minutes_by_use_case!$C$2:$C$9,MATCH($B2,Minutes_by_use_case!$A$2:$A$9,0)),"-")</f>
        <v>66700.388888888891</v>
      </c>
      <c r="F2" s="105">
        <f>IFERROR(INDEX(Minutes_by_use_case!$C$2:$C$9,MATCH($B2,Minutes_by_use_case!$A$2:$A$9,0)),"-")</f>
        <v>66700.388888888891</v>
      </c>
      <c r="G2" s="105">
        <f>IFERROR(INDEX(Minutes_by_use_case!$C$2:$C$9,MATCH($B2,Minutes_by_use_case!$A$2:$A$9,0)),"-")</f>
        <v>66700.388888888891</v>
      </c>
      <c r="H2" s="105">
        <f>IFERROR(INDEX(Minutes_by_use_case!$C$2:$C$9,MATCH($B2,Minutes_by_use_case!$A$2:$A$9,0)),"-")</f>
        <v>66700.388888888891</v>
      </c>
      <c r="I2" s="105">
        <f>IFERROR(INDEX(Minutes_by_use_case!$C$2:$C$9,MATCH($B2,Minutes_by_use_case!$A$2:$A$9,0)),"-")</f>
        <v>66700.388888888891</v>
      </c>
      <c r="J2" s="105">
        <f>IFERROR(INDEX(Minutes_by_use_case!$C$2:$C$9,MATCH($B2,Minutes_by_use_case!$A$2:$A$9,0)),"-")</f>
        <v>66700.388888888891</v>
      </c>
      <c r="K2" s="105">
        <f>IFERROR(INDEX(Minutes_by_use_case!$C$2:$C$9,MATCH($B2,Minutes_by_use_case!$A$2:$A$9,0)),"-")</f>
        <v>66700.388888888891</v>
      </c>
      <c r="L2" s="105">
        <f>IFERROR(INDEX(Minutes_by_use_case!$C$2:$C$9,MATCH($B2,Minutes_by_use_case!$A$2:$A$9,0)),"-")</f>
        <v>66700.388888888891</v>
      </c>
      <c r="M2" s="105">
        <f>IFERROR(INDEX(Minutes_by_use_case!$C$2:$C$9,MATCH($B2,Minutes_by_use_case!$A$2:$A$9,0)),"-")</f>
        <v>66700.388888888891</v>
      </c>
      <c r="N2" s="105">
        <f>IFERROR(INDEX(Minutes_by_use_case!$C$2:$C$9,MATCH($B2,Minutes_by_use_case!$A$2:$A$9,0)),"-")</f>
        <v>66700.388888888891</v>
      </c>
      <c r="O2" s="105">
        <f>IFERROR(INDEX(Minutes_by_use_case!$C$2:$C$9,MATCH($B2,Minutes_by_use_case!$A$2:$A$9,0)),"-")</f>
        <v>66700.388888888891</v>
      </c>
      <c r="P2" s="105">
        <f>IFERROR(INDEX(Minutes_by_use_case!$C$2:$C$9,MATCH($B2,Minutes_by_use_case!$A$2:$A$9,0)),"-")</f>
        <v>66700.388888888891</v>
      </c>
      <c r="Q2" s="105">
        <f>IFERROR(INDEX(Minutes_by_use_case!$C$2:$C$9,MATCH($B2,Minutes_by_use_case!$A$2:$A$9,0)),"-")</f>
        <v>66700.388888888891</v>
      </c>
      <c r="R2" s="105">
        <f>IFERROR(INDEX(Minutes_by_use_case!$C$2:$C$9,MATCH($B2,Minutes_by_use_case!$A$2:$A$9,0)),"-")</f>
        <v>66700.388888888891</v>
      </c>
      <c r="S2" s="105">
        <f>IFERROR(INDEX(Minutes_by_use_case!$C$2:$C$9,MATCH($B2,Minutes_by_use_case!$A$2:$A$9,0)),"-")</f>
        <v>66700.388888888891</v>
      </c>
      <c r="T2" s="105">
        <f>IFERROR(INDEX(Minutes_by_use_case!$C$2:$C$9,MATCH($B2,Minutes_by_use_case!$A$2:$A$9,0)),"-")</f>
        <v>66700.388888888891</v>
      </c>
      <c r="U2" s="105">
        <f>IFERROR(INDEX(Minutes_by_use_case!$C$2:$C$9,MATCH($B2,Minutes_by_use_case!$A$2:$A$9,0)),"-")</f>
        <v>66700.388888888891</v>
      </c>
      <c r="V2" s="105">
        <f>IFERROR(INDEX(Minutes_by_use_case!$C$2:$C$9,MATCH($B2,Minutes_by_use_case!$A$2:$A$9,0)),"-")</f>
        <v>66700.388888888891</v>
      </c>
      <c r="W2" s="19"/>
    </row>
    <row r="3" spans="1:23" x14ac:dyDescent="0.25">
      <c r="A3" s="29" t="s">
        <v>49</v>
      </c>
      <c r="B3" s="29" t="s">
        <v>41</v>
      </c>
      <c r="C3" s="105">
        <f>IFERROR(INDEX(Minutes_by_use_case!$C$2:$C$9,MATCH($B3,Minutes_by_use_case!$A$2:$A$9,0)),"-")</f>
        <v>66700.388888888891</v>
      </c>
      <c r="D3" s="105">
        <f>IFERROR(INDEX(Minutes_by_use_case!$C$2:$C$9,MATCH($B3,Minutes_by_use_case!$A$2:$A$9,0)),"-")</f>
        <v>66700.388888888891</v>
      </c>
      <c r="E3" s="105">
        <f>IFERROR(INDEX(Minutes_by_use_case!$C$2:$C$9,MATCH($B3,Minutes_by_use_case!$A$2:$A$9,0)),"-")</f>
        <v>66700.388888888891</v>
      </c>
      <c r="F3" s="105">
        <f>IFERROR(INDEX(Minutes_by_use_case!$C$2:$C$9,MATCH($B3,Minutes_by_use_case!$A$2:$A$9,0)),"-")</f>
        <v>66700.388888888891</v>
      </c>
      <c r="G3" s="105">
        <f>IFERROR(INDEX(Minutes_by_use_case!$C$2:$C$9,MATCH($B3,Minutes_by_use_case!$A$2:$A$9,0)),"-")</f>
        <v>66700.388888888891</v>
      </c>
      <c r="H3" s="105">
        <f>IFERROR(INDEX(Minutes_by_use_case!$C$2:$C$9,MATCH($B3,Minutes_by_use_case!$A$2:$A$9,0)),"-")</f>
        <v>66700.388888888891</v>
      </c>
      <c r="I3" s="105">
        <f>IFERROR(INDEX(Minutes_by_use_case!$C$2:$C$9,MATCH($B3,Minutes_by_use_case!$A$2:$A$9,0)),"-")</f>
        <v>66700.388888888891</v>
      </c>
      <c r="J3" s="105">
        <f>IFERROR(INDEX(Minutes_by_use_case!$C$2:$C$9,MATCH($B3,Minutes_by_use_case!$A$2:$A$9,0)),"-")</f>
        <v>66700.388888888891</v>
      </c>
      <c r="K3" s="105">
        <f>IFERROR(INDEX(Minutes_by_use_case!$C$2:$C$9,MATCH($B3,Minutes_by_use_case!$A$2:$A$9,0)),"-")</f>
        <v>66700.388888888891</v>
      </c>
      <c r="L3" s="105">
        <f>IFERROR(INDEX(Minutes_by_use_case!$C$2:$C$9,MATCH($B3,Minutes_by_use_case!$A$2:$A$9,0)),"-")</f>
        <v>66700.388888888891</v>
      </c>
      <c r="M3" s="105">
        <f>IFERROR(INDEX(Minutes_by_use_case!$C$2:$C$9,MATCH($B3,Minutes_by_use_case!$A$2:$A$9,0)),"-")</f>
        <v>66700.388888888891</v>
      </c>
      <c r="N3" s="105">
        <f>IFERROR(INDEX(Minutes_by_use_case!$C$2:$C$9,MATCH($B3,Minutes_by_use_case!$A$2:$A$9,0)),"-")</f>
        <v>66700.388888888891</v>
      </c>
      <c r="O3" s="105">
        <f>IFERROR(INDEX(Minutes_by_use_case!$C$2:$C$9,MATCH($B3,Minutes_by_use_case!$A$2:$A$9,0)),"-")</f>
        <v>66700.388888888891</v>
      </c>
      <c r="P3" s="105">
        <f>IFERROR(INDEX(Minutes_by_use_case!$C$2:$C$9,MATCH($B3,Minutes_by_use_case!$A$2:$A$9,0)),"-")</f>
        <v>66700.388888888891</v>
      </c>
      <c r="Q3" s="105">
        <f>IFERROR(INDEX(Minutes_by_use_case!$C$2:$C$9,MATCH($B3,Minutes_by_use_case!$A$2:$A$9,0)),"-")</f>
        <v>66700.388888888891</v>
      </c>
      <c r="R3" s="105">
        <f>IFERROR(INDEX(Minutes_by_use_case!$C$2:$C$9,MATCH($B3,Minutes_by_use_case!$A$2:$A$9,0)),"-")</f>
        <v>66700.388888888891</v>
      </c>
      <c r="S3" s="105">
        <f>IFERROR(INDEX(Minutes_by_use_case!$C$2:$C$9,MATCH($B3,Minutes_by_use_case!$A$2:$A$9,0)),"-")</f>
        <v>66700.388888888891</v>
      </c>
      <c r="T3" s="105">
        <f>IFERROR(INDEX(Minutes_by_use_case!$C$2:$C$9,MATCH($B3,Minutes_by_use_case!$A$2:$A$9,0)),"-")</f>
        <v>66700.388888888891</v>
      </c>
      <c r="U3" s="105">
        <f>IFERROR(INDEX(Minutes_by_use_case!$C$2:$C$9,MATCH($B3,Minutes_by_use_case!$A$2:$A$9,0)),"-")</f>
        <v>66700.388888888891</v>
      </c>
      <c r="V3" s="105">
        <f>IFERROR(INDEX(Minutes_by_use_case!$C$2:$C$9,MATCH($B3,Minutes_by_use_case!$A$2:$A$9,0)),"-")</f>
        <v>66700.388888888891</v>
      </c>
    </row>
    <row r="4" spans="1:23" x14ac:dyDescent="0.25">
      <c r="A4" s="29" t="s">
        <v>51</v>
      </c>
      <c r="B4" s="29" t="s">
        <v>42</v>
      </c>
      <c r="C4" s="105">
        <f>IFERROR(INDEX(Minutes_by_use_case!$C$2:$C$9,MATCH($B4,Minutes_by_use_case!$A$2:$A$9,0)),"-")</f>
        <v>2294</v>
      </c>
      <c r="D4" s="105">
        <f>IFERROR(INDEX(Minutes_by_use_case!$C$2:$C$9,MATCH($B4,Minutes_by_use_case!$A$2:$A$9,0)),"-")</f>
        <v>2294</v>
      </c>
      <c r="E4" s="105">
        <f>IFERROR(INDEX(Minutes_by_use_case!$C$2:$C$9,MATCH($B4,Minutes_by_use_case!$A$2:$A$9,0)),"-")</f>
        <v>2294</v>
      </c>
      <c r="F4" s="105">
        <f>IFERROR(INDEX(Minutes_by_use_case!$C$2:$C$9,MATCH($B4,Minutes_by_use_case!$A$2:$A$9,0)),"-")</f>
        <v>2294</v>
      </c>
      <c r="G4" s="105">
        <f>IFERROR(INDEX(Minutes_by_use_case!$C$2:$C$9,MATCH($B4,Minutes_by_use_case!$A$2:$A$9,0)),"-")</f>
        <v>2294</v>
      </c>
      <c r="H4" s="105">
        <f>IFERROR(INDEX(Minutes_by_use_case!$C$2:$C$9,MATCH($B4,Minutes_by_use_case!$A$2:$A$9,0)),"-")</f>
        <v>2294</v>
      </c>
      <c r="I4" s="105">
        <f>IFERROR(INDEX(Minutes_by_use_case!$C$2:$C$9,MATCH($B4,Minutes_by_use_case!$A$2:$A$9,0)),"-")</f>
        <v>2294</v>
      </c>
      <c r="J4" s="105">
        <f>IFERROR(INDEX(Minutes_by_use_case!$C$2:$C$9,MATCH($B4,Minutes_by_use_case!$A$2:$A$9,0)),"-")</f>
        <v>2294</v>
      </c>
      <c r="K4" s="105">
        <f>IFERROR(INDEX(Minutes_by_use_case!$C$2:$C$9,MATCH($B4,Minutes_by_use_case!$A$2:$A$9,0)),"-")</f>
        <v>2294</v>
      </c>
      <c r="L4" s="105">
        <f>IFERROR(INDEX(Minutes_by_use_case!$C$2:$C$9,MATCH($B4,Minutes_by_use_case!$A$2:$A$9,0)),"-")</f>
        <v>2294</v>
      </c>
      <c r="M4" s="105">
        <f>IFERROR(INDEX(Minutes_by_use_case!$C$2:$C$9,MATCH($B4,Minutes_by_use_case!$A$2:$A$9,0)),"-")</f>
        <v>2294</v>
      </c>
      <c r="N4" s="105">
        <f>IFERROR(INDEX(Minutes_by_use_case!$C$2:$C$9,MATCH($B4,Minutes_by_use_case!$A$2:$A$9,0)),"-")</f>
        <v>2294</v>
      </c>
      <c r="O4" s="105">
        <f>IFERROR(INDEX(Minutes_by_use_case!$C$2:$C$9,MATCH($B4,Minutes_by_use_case!$A$2:$A$9,0)),"-")</f>
        <v>2294</v>
      </c>
      <c r="P4" s="105">
        <f>IFERROR(INDEX(Minutes_by_use_case!$C$2:$C$9,MATCH($B4,Minutes_by_use_case!$A$2:$A$9,0)),"-")</f>
        <v>2294</v>
      </c>
      <c r="Q4" s="105">
        <f>IFERROR(INDEX(Minutes_by_use_case!$C$2:$C$9,MATCH($B4,Minutes_by_use_case!$A$2:$A$9,0)),"-")</f>
        <v>2294</v>
      </c>
      <c r="R4" s="105">
        <f>IFERROR(INDEX(Minutes_by_use_case!$C$2:$C$9,MATCH($B4,Minutes_by_use_case!$A$2:$A$9,0)),"-")</f>
        <v>2294</v>
      </c>
      <c r="S4" s="105">
        <f>IFERROR(INDEX(Minutes_by_use_case!$C$2:$C$9,MATCH($B4,Minutes_by_use_case!$A$2:$A$9,0)),"-")</f>
        <v>2294</v>
      </c>
      <c r="T4" s="105">
        <f>IFERROR(INDEX(Minutes_by_use_case!$C$2:$C$9,MATCH($B4,Minutes_by_use_case!$A$2:$A$9,0)),"-")</f>
        <v>2294</v>
      </c>
      <c r="U4" s="105">
        <f>IFERROR(INDEX(Minutes_by_use_case!$C$2:$C$9,MATCH($B4,Minutes_by_use_case!$A$2:$A$9,0)),"-")</f>
        <v>2294</v>
      </c>
      <c r="V4" s="105">
        <f>IFERROR(INDEX(Minutes_by_use_case!$C$2:$C$9,MATCH($B4,Minutes_by_use_case!$A$2:$A$9,0)),"-")</f>
        <v>2294</v>
      </c>
    </row>
    <row r="5" spans="1:23" x14ac:dyDescent="0.25">
      <c r="A5" s="29" t="s">
        <v>52</v>
      </c>
      <c r="B5" s="29" t="s">
        <v>41</v>
      </c>
      <c r="C5" s="105">
        <f>IFERROR(INDEX(Minutes_by_use_case!$C$2:$C$9,MATCH($B5,Minutes_by_use_case!$A$2:$A$9,0)),"-")</f>
        <v>66700.388888888891</v>
      </c>
      <c r="D5" s="105">
        <f>IFERROR(INDEX(Minutes_by_use_case!$C$2:$C$9,MATCH($B5,Minutes_by_use_case!$A$2:$A$9,0)),"-")</f>
        <v>66700.388888888891</v>
      </c>
      <c r="E5" s="105">
        <f>IFERROR(INDEX(Minutes_by_use_case!$C$2:$C$9,MATCH($B5,Minutes_by_use_case!$A$2:$A$9,0)),"-")</f>
        <v>66700.388888888891</v>
      </c>
      <c r="F5" s="105">
        <f>IFERROR(INDEX(Minutes_by_use_case!$C$2:$C$9,MATCH($B5,Minutes_by_use_case!$A$2:$A$9,0)),"-")</f>
        <v>66700.388888888891</v>
      </c>
      <c r="G5" s="105">
        <f>IFERROR(INDEX(Minutes_by_use_case!$C$2:$C$9,MATCH($B5,Minutes_by_use_case!$A$2:$A$9,0)),"-")</f>
        <v>66700.388888888891</v>
      </c>
      <c r="H5" s="105">
        <f>IFERROR(INDEX(Minutes_by_use_case!$C$2:$C$9,MATCH($B5,Minutes_by_use_case!$A$2:$A$9,0)),"-")</f>
        <v>66700.388888888891</v>
      </c>
      <c r="I5" s="105">
        <f>IFERROR(INDEX(Minutes_by_use_case!$C$2:$C$9,MATCH($B5,Minutes_by_use_case!$A$2:$A$9,0)),"-")</f>
        <v>66700.388888888891</v>
      </c>
      <c r="J5" s="105">
        <f>IFERROR(INDEX(Minutes_by_use_case!$C$2:$C$9,MATCH($B5,Minutes_by_use_case!$A$2:$A$9,0)),"-")</f>
        <v>66700.388888888891</v>
      </c>
      <c r="K5" s="105">
        <f>IFERROR(INDEX(Minutes_by_use_case!$C$2:$C$9,MATCH($B5,Minutes_by_use_case!$A$2:$A$9,0)),"-")</f>
        <v>66700.388888888891</v>
      </c>
      <c r="L5" s="105">
        <f>IFERROR(INDEX(Minutes_by_use_case!$C$2:$C$9,MATCH($B5,Minutes_by_use_case!$A$2:$A$9,0)),"-")</f>
        <v>66700.388888888891</v>
      </c>
      <c r="M5" s="105">
        <f>IFERROR(INDEX(Minutes_by_use_case!$C$2:$C$9,MATCH($B5,Minutes_by_use_case!$A$2:$A$9,0)),"-")</f>
        <v>66700.388888888891</v>
      </c>
      <c r="N5" s="105">
        <f>IFERROR(INDEX(Minutes_by_use_case!$C$2:$C$9,MATCH($B5,Minutes_by_use_case!$A$2:$A$9,0)),"-")</f>
        <v>66700.388888888891</v>
      </c>
      <c r="O5" s="105">
        <f>IFERROR(INDEX(Minutes_by_use_case!$C$2:$C$9,MATCH($B5,Minutes_by_use_case!$A$2:$A$9,0)),"-")</f>
        <v>66700.388888888891</v>
      </c>
      <c r="P5" s="105">
        <f>IFERROR(INDEX(Minutes_by_use_case!$C$2:$C$9,MATCH($B5,Minutes_by_use_case!$A$2:$A$9,0)),"-")</f>
        <v>66700.388888888891</v>
      </c>
      <c r="Q5" s="105">
        <f>IFERROR(INDEX(Minutes_by_use_case!$C$2:$C$9,MATCH($B5,Minutes_by_use_case!$A$2:$A$9,0)),"-")</f>
        <v>66700.388888888891</v>
      </c>
      <c r="R5" s="105">
        <f>IFERROR(INDEX(Minutes_by_use_case!$C$2:$C$9,MATCH($B5,Minutes_by_use_case!$A$2:$A$9,0)),"-")</f>
        <v>66700.388888888891</v>
      </c>
      <c r="S5" s="105">
        <f>IFERROR(INDEX(Minutes_by_use_case!$C$2:$C$9,MATCH($B5,Minutes_by_use_case!$A$2:$A$9,0)),"-")</f>
        <v>66700.388888888891</v>
      </c>
      <c r="T5" s="105">
        <f>IFERROR(INDEX(Minutes_by_use_case!$C$2:$C$9,MATCH($B5,Minutes_by_use_case!$A$2:$A$9,0)),"-")</f>
        <v>66700.388888888891</v>
      </c>
      <c r="U5" s="105">
        <f>IFERROR(INDEX(Minutes_by_use_case!$C$2:$C$9,MATCH($B5,Minutes_by_use_case!$A$2:$A$9,0)),"-")</f>
        <v>66700.388888888891</v>
      </c>
      <c r="V5" s="105">
        <f>IFERROR(INDEX(Minutes_by_use_case!$C$2:$C$9,MATCH($B5,Minutes_by_use_case!$A$2:$A$9,0)),"-")</f>
        <v>66700.388888888891</v>
      </c>
    </row>
    <row r="6" spans="1:23" x14ac:dyDescent="0.25">
      <c r="A6" s="29" t="s">
        <v>18</v>
      </c>
      <c r="B6" s="29" t="s">
        <v>48</v>
      </c>
      <c r="C6" s="105" t="str">
        <f>IFERROR(INDEX(Minutes_by_use_case!$C$2:$C$9,MATCH($B6,Minutes_by_use_case!$A$2:$A$9,0)),"-")</f>
        <v>-</v>
      </c>
      <c r="D6" s="105" t="str">
        <f>IFERROR(INDEX(Minutes_by_use_case!$C$2:$C$9,MATCH($B6,Minutes_by_use_case!$A$2:$A$9,0)),"-")</f>
        <v>-</v>
      </c>
      <c r="E6" s="105" t="str">
        <f>IFERROR(INDEX(Minutes_by_use_case!$C$2:$C$9,MATCH($B6,Minutes_by_use_case!$A$2:$A$9,0)),"-")</f>
        <v>-</v>
      </c>
      <c r="F6" s="105" t="str">
        <f>IFERROR(INDEX(Minutes_by_use_case!$C$2:$C$9,MATCH($B6,Minutes_by_use_case!$A$2:$A$9,0)),"-")</f>
        <v>-</v>
      </c>
      <c r="G6" s="105" t="str">
        <f>IFERROR(INDEX(Minutes_by_use_case!$C$2:$C$9,MATCH($B6,Minutes_by_use_case!$A$2:$A$9,0)),"-")</f>
        <v>-</v>
      </c>
      <c r="H6" s="105" t="str">
        <f>IFERROR(INDEX(Minutes_by_use_case!$C$2:$C$9,MATCH($B6,Minutes_by_use_case!$A$2:$A$9,0)),"-")</f>
        <v>-</v>
      </c>
      <c r="I6" s="105" t="str">
        <f>IFERROR(INDEX(Minutes_by_use_case!$C$2:$C$9,MATCH($B6,Minutes_by_use_case!$A$2:$A$9,0)),"-")</f>
        <v>-</v>
      </c>
      <c r="J6" s="105" t="str">
        <f>IFERROR(INDEX(Minutes_by_use_case!$C$2:$C$9,MATCH($B6,Minutes_by_use_case!$A$2:$A$9,0)),"-")</f>
        <v>-</v>
      </c>
      <c r="K6" s="105" t="str">
        <f>IFERROR(INDEX(Minutes_by_use_case!$C$2:$C$9,MATCH($B6,Minutes_by_use_case!$A$2:$A$9,0)),"-")</f>
        <v>-</v>
      </c>
      <c r="L6" s="105" t="str">
        <f>IFERROR(INDEX(Minutes_by_use_case!$C$2:$C$9,MATCH($B6,Minutes_by_use_case!$A$2:$A$9,0)),"-")</f>
        <v>-</v>
      </c>
      <c r="M6" s="105" t="str">
        <f>IFERROR(INDEX(Minutes_by_use_case!$C$2:$C$9,MATCH($B6,Minutes_by_use_case!$A$2:$A$9,0)),"-")</f>
        <v>-</v>
      </c>
      <c r="N6" s="105" t="str">
        <f>IFERROR(INDEX(Minutes_by_use_case!$C$2:$C$9,MATCH($B6,Minutes_by_use_case!$A$2:$A$9,0)),"-")</f>
        <v>-</v>
      </c>
      <c r="O6" s="105" t="str">
        <f>IFERROR(INDEX(Minutes_by_use_case!$C$2:$C$9,MATCH($B6,Minutes_by_use_case!$A$2:$A$9,0)),"-")</f>
        <v>-</v>
      </c>
      <c r="P6" s="105" t="str">
        <f>IFERROR(INDEX(Minutes_by_use_case!$C$2:$C$9,MATCH($B6,Minutes_by_use_case!$A$2:$A$9,0)),"-")</f>
        <v>-</v>
      </c>
      <c r="Q6" s="105" t="str">
        <f>IFERROR(INDEX(Minutes_by_use_case!$C$2:$C$9,MATCH($B6,Minutes_by_use_case!$A$2:$A$9,0)),"-")</f>
        <v>-</v>
      </c>
      <c r="R6" s="105" t="str">
        <f>IFERROR(INDEX(Minutes_by_use_case!$C$2:$C$9,MATCH($B6,Minutes_by_use_case!$A$2:$A$9,0)),"-")</f>
        <v>-</v>
      </c>
      <c r="S6" s="105" t="str">
        <f>IFERROR(INDEX(Minutes_by_use_case!$C$2:$C$9,MATCH($B6,Minutes_by_use_case!$A$2:$A$9,0)),"-")</f>
        <v>-</v>
      </c>
      <c r="T6" s="105" t="str">
        <f>IFERROR(INDEX(Minutes_by_use_case!$C$2:$C$9,MATCH($B6,Minutes_by_use_case!$A$2:$A$9,0)),"-")</f>
        <v>-</v>
      </c>
      <c r="U6" s="105" t="str">
        <f>IFERROR(INDEX(Minutes_by_use_case!$C$2:$C$9,MATCH($B6,Minutes_by_use_case!$A$2:$A$9,0)),"-")</f>
        <v>-</v>
      </c>
      <c r="V6" s="105" t="str">
        <f>IFERROR(INDEX(Minutes_by_use_case!$C$2:$C$9,MATCH($B6,Minutes_by_use_case!$A$2:$A$9,0)),"-")</f>
        <v>-</v>
      </c>
    </row>
    <row r="7" spans="1:23" x14ac:dyDescent="0.25">
      <c r="A7" s="29" t="s">
        <v>55</v>
      </c>
      <c r="B7" s="29" t="s">
        <v>42</v>
      </c>
      <c r="C7" s="105">
        <f>IFERROR(INDEX(Minutes_by_use_case!$C$2:$C$9,MATCH($B7,Minutes_by_use_case!$A$2:$A$9,0)),"-")</f>
        <v>2294</v>
      </c>
      <c r="D7" s="105">
        <f>IFERROR(INDEX(Minutes_by_use_case!$C$2:$C$9,MATCH($B7,Minutes_by_use_case!$A$2:$A$9,0)),"-")</f>
        <v>2294</v>
      </c>
      <c r="E7" s="105">
        <f>IFERROR(INDEX(Minutes_by_use_case!$C$2:$C$9,MATCH($B7,Minutes_by_use_case!$A$2:$A$9,0)),"-")</f>
        <v>2294</v>
      </c>
      <c r="F7" s="105">
        <f>IFERROR(INDEX(Minutes_by_use_case!$C$2:$C$9,MATCH($B7,Minutes_by_use_case!$A$2:$A$9,0)),"-")</f>
        <v>2294</v>
      </c>
      <c r="G7" s="105">
        <f>IFERROR(INDEX(Minutes_by_use_case!$C$2:$C$9,MATCH($B7,Minutes_by_use_case!$A$2:$A$9,0)),"-")</f>
        <v>2294</v>
      </c>
      <c r="H7" s="105">
        <f>IFERROR(INDEX(Minutes_by_use_case!$C$2:$C$9,MATCH($B7,Minutes_by_use_case!$A$2:$A$9,0)),"-")</f>
        <v>2294</v>
      </c>
      <c r="I7" s="105">
        <f>IFERROR(INDEX(Minutes_by_use_case!$C$2:$C$9,MATCH($B7,Minutes_by_use_case!$A$2:$A$9,0)),"-")</f>
        <v>2294</v>
      </c>
      <c r="J7" s="105">
        <f>IFERROR(INDEX(Minutes_by_use_case!$C$2:$C$9,MATCH($B7,Minutes_by_use_case!$A$2:$A$9,0)),"-")</f>
        <v>2294</v>
      </c>
      <c r="K7" s="105">
        <f>IFERROR(INDEX(Minutes_by_use_case!$C$2:$C$9,MATCH($B7,Minutes_by_use_case!$A$2:$A$9,0)),"-")</f>
        <v>2294</v>
      </c>
      <c r="L7" s="105">
        <f>IFERROR(INDEX(Minutes_by_use_case!$C$2:$C$9,MATCH($B7,Minutes_by_use_case!$A$2:$A$9,0)),"-")</f>
        <v>2294</v>
      </c>
      <c r="M7" s="105">
        <f>IFERROR(INDEX(Minutes_by_use_case!$C$2:$C$9,MATCH($B7,Minutes_by_use_case!$A$2:$A$9,0)),"-")</f>
        <v>2294</v>
      </c>
      <c r="N7" s="105">
        <f>IFERROR(INDEX(Minutes_by_use_case!$C$2:$C$9,MATCH($B7,Minutes_by_use_case!$A$2:$A$9,0)),"-")</f>
        <v>2294</v>
      </c>
      <c r="O7" s="105">
        <f>IFERROR(INDEX(Minutes_by_use_case!$C$2:$C$9,MATCH($B7,Minutes_by_use_case!$A$2:$A$9,0)),"-")</f>
        <v>2294</v>
      </c>
      <c r="P7" s="105">
        <f>IFERROR(INDEX(Minutes_by_use_case!$C$2:$C$9,MATCH($B7,Minutes_by_use_case!$A$2:$A$9,0)),"-")</f>
        <v>2294</v>
      </c>
      <c r="Q7" s="105">
        <f>IFERROR(INDEX(Minutes_by_use_case!$C$2:$C$9,MATCH($B7,Minutes_by_use_case!$A$2:$A$9,0)),"-")</f>
        <v>2294</v>
      </c>
      <c r="R7" s="105">
        <f>IFERROR(INDEX(Minutes_by_use_case!$C$2:$C$9,MATCH($B7,Minutes_by_use_case!$A$2:$A$9,0)),"-")</f>
        <v>2294</v>
      </c>
      <c r="S7" s="105">
        <f>IFERROR(INDEX(Minutes_by_use_case!$C$2:$C$9,MATCH($B7,Minutes_by_use_case!$A$2:$A$9,0)),"-")</f>
        <v>2294</v>
      </c>
      <c r="T7" s="105">
        <f>IFERROR(INDEX(Minutes_by_use_case!$C$2:$C$9,MATCH($B7,Minutes_by_use_case!$A$2:$A$9,0)),"-")</f>
        <v>2294</v>
      </c>
      <c r="U7" s="105">
        <f>IFERROR(INDEX(Minutes_by_use_case!$C$2:$C$9,MATCH($B7,Minutes_by_use_case!$A$2:$A$9,0)),"-")</f>
        <v>2294</v>
      </c>
      <c r="V7" s="105">
        <f>IFERROR(INDEX(Minutes_by_use_case!$C$2:$C$9,MATCH($B7,Minutes_by_use_case!$A$2:$A$9,0)),"-")</f>
        <v>2294</v>
      </c>
    </row>
    <row r="8" spans="1:23" x14ac:dyDescent="0.25">
      <c r="A8" s="29" t="s">
        <v>56</v>
      </c>
      <c r="B8" s="29" t="s">
        <v>43</v>
      </c>
      <c r="C8" s="105">
        <f>IFERROR(INDEX(Minutes_by_use_case!$C$2:$C$9,MATCH($B8,Minutes_by_use_case!$A$2:$A$9,0)),"-")</f>
        <v>114879</v>
      </c>
      <c r="D8" s="105">
        <f>IFERROR(INDEX(Minutes_by_use_case!$C$2:$C$9,MATCH($B8,Minutes_by_use_case!$A$2:$A$9,0)),"-")</f>
        <v>114879</v>
      </c>
      <c r="E8" s="105">
        <f>IFERROR(INDEX(Minutes_by_use_case!$C$2:$C$9,MATCH($B8,Minutes_by_use_case!$A$2:$A$9,0)),"-")</f>
        <v>114879</v>
      </c>
      <c r="F8" s="105">
        <f>IFERROR(INDEX(Minutes_by_use_case!$C$2:$C$9,MATCH($B8,Minutes_by_use_case!$A$2:$A$9,0)),"-")</f>
        <v>114879</v>
      </c>
      <c r="G8" s="105">
        <f>IFERROR(INDEX(Minutes_by_use_case!$C$2:$C$9,MATCH($B8,Minutes_by_use_case!$A$2:$A$9,0)),"-")</f>
        <v>114879</v>
      </c>
      <c r="H8" s="105">
        <f>IFERROR(INDEX(Minutes_by_use_case!$C$2:$C$9,MATCH($B8,Minutes_by_use_case!$A$2:$A$9,0)),"-")</f>
        <v>114879</v>
      </c>
      <c r="I8" s="105">
        <f>IFERROR(INDEX(Minutes_by_use_case!$C$2:$C$9,MATCH($B8,Minutes_by_use_case!$A$2:$A$9,0)),"-")</f>
        <v>114879</v>
      </c>
      <c r="J8" s="105">
        <f>IFERROR(INDEX(Minutes_by_use_case!$C$2:$C$9,MATCH($B8,Minutes_by_use_case!$A$2:$A$9,0)),"-")</f>
        <v>114879</v>
      </c>
      <c r="K8" s="105">
        <f>IFERROR(INDEX(Minutes_by_use_case!$C$2:$C$9,MATCH($B8,Minutes_by_use_case!$A$2:$A$9,0)),"-")</f>
        <v>114879</v>
      </c>
      <c r="L8" s="105">
        <f>IFERROR(INDEX(Minutes_by_use_case!$C$2:$C$9,MATCH($B8,Minutes_by_use_case!$A$2:$A$9,0)),"-")</f>
        <v>114879</v>
      </c>
      <c r="M8" s="105">
        <f>IFERROR(INDEX(Minutes_by_use_case!$C$2:$C$9,MATCH($B8,Minutes_by_use_case!$A$2:$A$9,0)),"-")</f>
        <v>114879</v>
      </c>
      <c r="N8" s="105">
        <f>IFERROR(INDEX(Minutes_by_use_case!$C$2:$C$9,MATCH($B8,Minutes_by_use_case!$A$2:$A$9,0)),"-")</f>
        <v>114879</v>
      </c>
      <c r="O8" s="105">
        <f>IFERROR(INDEX(Minutes_by_use_case!$C$2:$C$9,MATCH($B8,Minutes_by_use_case!$A$2:$A$9,0)),"-")</f>
        <v>114879</v>
      </c>
      <c r="P8" s="105">
        <f>IFERROR(INDEX(Minutes_by_use_case!$C$2:$C$9,MATCH($B8,Minutes_by_use_case!$A$2:$A$9,0)),"-")</f>
        <v>114879</v>
      </c>
      <c r="Q8" s="105">
        <f>IFERROR(INDEX(Minutes_by_use_case!$C$2:$C$9,MATCH($B8,Minutes_by_use_case!$A$2:$A$9,0)),"-")</f>
        <v>114879</v>
      </c>
      <c r="R8" s="105">
        <f>IFERROR(INDEX(Minutes_by_use_case!$C$2:$C$9,MATCH($B8,Minutes_by_use_case!$A$2:$A$9,0)),"-")</f>
        <v>114879</v>
      </c>
      <c r="S8" s="105">
        <f>IFERROR(INDEX(Minutes_by_use_case!$C$2:$C$9,MATCH($B8,Minutes_by_use_case!$A$2:$A$9,0)),"-")</f>
        <v>114879</v>
      </c>
      <c r="T8" s="105">
        <f>IFERROR(INDEX(Minutes_by_use_case!$C$2:$C$9,MATCH($B8,Minutes_by_use_case!$A$2:$A$9,0)),"-")</f>
        <v>114879</v>
      </c>
      <c r="U8" s="105">
        <f>IFERROR(INDEX(Minutes_by_use_case!$C$2:$C$9,MATCH($B8,Minutes_by_use_case!$A$2:$A$9,0)),"-")</f>
        <v>114879</v>
      </c>
      <c r="V8" s="105">
        <f>IFERROR(INDEX(Minutes_by_use_case!$C$2:$C$9,MATCH($B8,Minutes_by_use_case!$A$2:$A$9,0)),"-")</f>
        <v>114879</v>
      </c>
    </row>
    <row r="9" spans="1:23" x14ac:dyDescent="0.25">
      <c r="A9" s="29" t="s">
        <v>19</v>
      </c>
      <c r="B9" s="29" t="s">
        <v>41</v>
      </c>
      <c r="C9" s="105">
        <f>IFERROR(INDEX(Minutes_by_use_case!$C$2:$C$9,MATCH($B9,Minutes_by_use_case!$A$2:$A$9,0)),"-")</f>
        <v>66700.388888888891</v>
      </c>
      <c r="D9" s="105">
        <f>IFERROR(INDEX(Minutes_by_use_case!$C$2:$C$9,MATCH($B9,Minutes_by_use_case!$A$2:$A$9,0)),"-")</f>
        <v>66700.388888888891</v>
      </c>
      <c r="E9" s="105">
        <f>IFERROR(INDEX(Minutes_by_use_case!$C$2:$C$9,MATCH($B9,Minutes_by_use_case!$A$2:$A$9,0)),"-")</f>
        <v>66700.388888888891</v>
      </c>
      <c r="F9" s="105">
        <f>IFERROR(INDEX(Minutes_by_use_case!$C$2:$C$9,MATCH($B9,Minutes_by_use_case!$A$2:$A$9,0)),"-")</f>
        <v>66700.388888888891</v>
      </c>
      <c r="G9" s="105">
        <f>IFERROR(INDEX(Minutes_by_use_case!$C$2:$C$9,MATCH($B9,Minutes_by_use_case!$A$2:$A$9,0)),"-")</f>
        <v>66700.388888888891</v>
      </c>
      <c r="H9" s="105">
        <f>IFERROR(INDEX(Minutes_by_use_case!$C$2:$C$9,MATCH($B9,Minutes_by_use_case!$A$2:$A$9,0)),"-")</f>
        <v>66700.388888888891</v>
      </c>
      <c r="I9" s="105">
        <f>IFERROR(INDEX(Minutes_by_use_case!$C$2:$C$9,MATCH($B9,Minutes_by_use_case!$A$2:$A$9,0)),"-")</f>
        <v>66700.388888888891</v>
      </c>
      <c r="J9" s="105">
        <f>IFERROR(INDEX(Minutes_by_use_case!$C$2:$C$9,MATCH($B9,Minutes_by_use_case!$A$2:$A$9,0)),"-")</f>
        <v>66700.388888888891</v>
      </c>
      <c r="K9" s="105">
        <f>IFERROR(INDEX(Minutes_by_use_case!$C$2:$C$9,MATCH($B9,Minutes_by_use_case!$A$2:$A$9,0)),"-")</f>
        <v>66700.388888888891</v>
      </c>
      <c r="L9" s="105">
        <f>IFERROR(INDEX(Minutes_by_use_case!$C$2:$C$9,MATCH($B9,Minutes_by_use_case!$A$2:$A$9,0)),"-")</f>
        <v>66700.388888888891</v>
      </c>
      <c r="M9" s="105">
        <f>IFERROR(INDEX(Minutes_by_use_case!$C$2:$C$9,MATCH($B9,Minutes_by_use_case!$A$2:$A$9,0)),"-")</f>
        <v>66700.388888888891</v>
      </c>
      <c r="N9" s="105">
        <f>IFERROR(INDEX(Minutes_by_use_case!$C$2:$C$9,MATCH($B9,Minutes_by_use_case!$A$2:$A$9,0)),"-")</f>
        <v>66700.388888888891</v>
      </c>
      <c r="O9" s="105">
        <f>IFERROR(INDEX(Minutes_by_use_case!$C$2:$C$9,MATCH($B9,Minutes_by_use_case!$A$2:$A$9,0)),"-")</f>
        <v>66700.388888888891</v>
      </c>
      <c r="P9" s="105">
        <f>IFERROR(INDEX(Minutes_by_use_case!$C$2:$C$9,MATCH($B9,Minutes_by_use_case!$A$2:$A$9,0)),"-")</f>
        <v>66700.388888888891</v>
      </c>
      <c r="Q9" s="105">
        <f>IFERROR(INDEX(Minutes_by_use_case!$C$2:$C$9,MATCH($B9,Minutes_by_use_case!$A$2:$A$9,0)),"-")</f>
        <v>66700.388888888891</v>
      </c>
      <c r="R9" s="105">
        <f>IFERROR(INDEX(Minutes_by_use_case!$C$2:$C$9,MATCH($B9,Minutes_by_use_case!$A$2:$A$9,0)),"-")</f>
        <v>66700.388888888891</v>
      </c>
      <c r="S9" s="105">
        <f>IFERROR(INDEX(Minutes_by_use_case!$C$2:$C$9,MATCH($B9,Minutes_by_use_case!$A$2:$A$9,0)),"-")</f>
        <v>66700.388888888891</v>
      </c>
      <c r="T9" s="105">
        <f>IFERROR(INDEX(Minutes_by_use_case!$C$2:$C$9,MATCH($B9,Minutes_by_use_case!$A$2:$A$9,0)),"-")</f>
        <v>66700.388888888891</v>
      </c>
      <c r="U9" s="105">
        <f>IFERROR(INDEX(Minutes_by_use_case!$C$2:$C$9,MATCH($B9,Minutes_by_use_case!$A$2:$A$9,0)),"-")</f>
        <v>66700.388888888891</v>
      </c>
      <c r="V9" s="105">
        <f>IFERROR(INDEX(Minutes_by_use_case!$C$2:$C$9,MATCH($B9,Minutes_by_use_case!$A$2:$A$9,0)),"-")</f>
        <v>66700.388888888891</v>
      </c>
    </row>
    <row r="10" spans="1:23" x14ac:dyDescent="0.25">
      <c r="A10" s="29" t="s">
        <v>20</v>
      </c>
      <c r="B10" s="29" t="s">
        <v>41</v>
      </c>
      <c r="C10" s="105">
        <f>IFERROR(INDEX(Minutes_by_use_case!$C$2:$C$9,MATCH($B10,Minutes_by_use_case!$A$2:$A$9,0)),"-")</f>
        <v>66700.388888888891</v>
      </c>
      <c r="D10" s="105">
        <f>IFERROR(INDEX(Minutes_by_use_case!$C$2:$C$9,MATCH($B10,Minutes_by_use_case!$A$2:$A$9,0)),"-")</f>
        <v>66700.388888888891</v>
      </c>
      <c r="E10" s="105">
        <f>IFERROR(INDEX(Minutes_by_use_case!$C$2:$C$9,MATCH($B10,Minutes_by_use_case!$A$2:$A$9,0)),"-")</f>
        <v>66700.388888888891</v>
      </c>
      <c r="F10" s="105">
        <f>IFERROR(INDEX(Minutes_by_use_case!$C$2:$C$9,MATCH($B10,Minutes_by_use_case!$A$2:$A$9,0)),"-")</f>
        <v>66700.388888888891</v>
      </c>
      <c r="G10" s="105">
        <f>IFERROR(INDEX(Minutes_by_use_case!$C$2:$C$9,MATCH($B10,Minutes_by_use_case!$A$2:$A$9,0)),"-")</f>
        <v>66700.388888888891</v>
      </c>
      <c r="H10" s="105">
        <f>IFERROR(INDEX(Minutes_by_use_case!$C$2:$C$9,MATCH($B10,Minutes_by_use_case!$A$2:$A$9,0)),"-")</f>
        <v>66700.388888888891</v>
      </c>
      <c r="I10" s="105">
        <f>IFERROR(INDEX(Minutes_by_use_case!$C$2:$C$9,MATCH($B10,Minutes_by_use_case!$A$2:$A$9,0)),"-")</f>
        <v>66700.388888888891</v>
      </c>
      <c r="J10" s="105">
        <f>IFERROR(INDEX(Minutes_by_use_case!$C$2:$C$9,MATCH($B10,Minutes_by_use_case!$A$2:$A$9,0)),"-")</f>
        <v>66700.388888888891</v>
      </c>
      <c r="K10" s="105">
        <f>IFERROR(INDEX(Minutes_by_use_case!$C$2:$C$9,MATCH($B10,Minutes_by_use_case!$A$2:$A$9,0)),"-")</f>
        <v>66700.388888888891</v>
      </c>
      <c r="L10" s="105">
        <f>IFERROR(INDEX(Minutes_by_use_case!$C$2:$C$9,MATCH($B10,Minutes_by_use_case!$A$2:$A$9,0)),"-")</f>
        <v>66700.388888888891</v>
      </c>
      <c r="M10" s="105">
        <f>IFERROR(INDEX(Minutes_by_use_case!$C$2:$C$9,MATCH($B10,Minutes_by_use_case!$A$2:$A$9,0)),"-")</f>
        <v>66700.388888888891</v>
      </c>
      <c r="N10" s="105">
        <f>IFERROR(INDEX(Minutes_by_use_case!$C$2:$C$9,MATCH($B10,Minutes_by_use_case!$A$2:$A$9,0)),"-")</f>
        <v>66700.388888888891</v>
      </c>
      <c r="O10" s="105">
        <f>IFERROR(INDEX(Minutes_by_use_case!$C$2:$C$9,MATCH($B10,Minutes_by_use_case!$A$2:$A$9,0)),"-")</f>
        <v>66700.388888888891</v>
      </c>
      <c r="P10" s="105">
        <f>IFERROR(INDEX(Minutes_by_use_case!$C$2:$C$9,MATCH($B10,Minutes_by_use_case!$A$2:$A$9,0)),"-")</f>
        <v>66700.388888888891</v>
      </c>
      <c r="Q10" s="105">
        <f>IFERROR(INDEX(Minutes_by_use_case!$C$2:$C$9,MATCH($B10,Minutes_by_use_case!$A$2:$A$9,0)),"-")</f>
        <v>66700.388888888891</v>
      </c>
      <c r="R10" s="105">
        <f>IFERROR(INDEX(Minutes_by_use_case!$C$2:$C$9,MATCH($B10,Minutes_by_use_case!$A$2:$A$9,0)),"-")</f>
        <v>66700.388888888891</v>
      </c>
      <c r="S10" s="105">
        <f>IFERROR(INDEX(Minutes_by_use_case!$C$2:$C$9,MATCH($B10,Minutes_by_use_case!$A$2:$A$9,0)),"-")</f>
        <v>66700.388888888891</v>
      </c>
      <c r="T10" s="105">
        <f>IFERROR(INDEX(Minutes_by_use_case!$C$2:$C$9,MATCH($B10,Minutes_by_use_case!$A$2:$A$9,0)),"-")</f>
        <v>66700.388888888891</v>
      </c>
      <c r="U10" s="105">
        <f>IFERROR(INDEX(Minutes_by_use_case!$C$2:$C$9,MATCH($B10,Minutes_by_use_case!$A$2:$A$9,0)),"-")</f>
        <v>66700.388888888891</v>
      </c>
      <c r="V10" s="105">
        <f>IFERROR(INDEX(Minutes_by_use_case!$C$2:$C$9,MATCH($B10,Minutes_by_use_case!$A$2:$A$9,0)),"-")</f>
        <v>66700.388888888891</v>
      </c>
    </row>
    <row r="11" spans="1:23" x14ac:dyDescent="0.25">
      <c r="A11" s="29" t="s">
        <v>21</v>
      </c>
      <c r="B11" s="29" t="s">
        <v>41</v>
      </c>
      <c r="C11" s="105">
        <f>IFERROR(INDEX(Minutes_by_use_case!$C$2:$C$9,MATCH($B11,Minutes_by_use_case!$A$2:$A$9,0)),"-")</f>
        <v>66700.388888888891</v>
      </c>
      <c r="D11" s="105">
        <f>IFERROR(INDEX(Minutes_by_use_case!$C$2:$C$9,MATCH($B11,Minutes_by_use_case!$A$2:$A$9,0)),"-")</f>
        <v>66700.388888888891</v>
      </c>
      <c r="E11" s="105">
        <f>IFERROR(INDEX(Minutes_by_use_case!$C$2:$C$9,MATCH($B11,Minutes_by_use_case!$A$2:$A$9,0)),"-")</f>
        <v>66700.388888888891</v>
      </c>
      <c r="F11" s="105">
        <f>IFERROR(INDEX(Minutes_by_use_case!$C$2:$C$9,MATCH($B11,Minutes_by_use_case!$A$2:$A$9,0)),"-")</f>
        <v>66700.388888888891</v>
      </c>
      <c r="G11" s="105">
        <f>IFERROR(INDEX(Minutes_by_use_case!$C$2:$C$9,MATCH($B11,Minutes_by_use_case!$A$2:$A$9,0)),"-")</f>
        <v>66700.388888888891</v>
      </c>
      <c r="H11" s="105">
        <f>IFERROR(INDEX(Minutes_by_use_case!$C$2:$C$9,MATCH($B11,Minutes_by_use_case!$A$2:$A$9,0)),"-")</f>
        <v>66700.388888888891</v>
      </c>
      <c r="I11" s="105">
        <f>IFERROR(INDEX(Minutes_by_use_case!$C$2:$C$9,MATCH($B11,Minutes_by_use_case!$A$2:$A$9,0)),"-")</f>
        <v>66700.388888888891</v>
      </c>
      <c r="J11" s="105">
        <f>IFERROR(INDEX(Minutes_by_use_case!$C$2:$C$9,MATCH($B11,Minutes_by_use_case!$A$2:$A$9,0)),"-")</f>
        <v>66700.388888888891</v>
      </c>
      <c r="K11" s="105">
        <f>IFERROR(INDEX(Minutes_by_use_case!$C$2:$C$9,MATCH($B11,Minutes_by_use_case!$A$2:$A$9,0)),"-")</f>
        <v>66700.388888888891</v>
      </c>
      <c r="L11" s="105">
        <f>IFERROR(INDEX(Minutes_by_use_case!$C$2:$C$9,MATCH($B11,Minutes_by_use_case!$A$2:$A$9,0)),"-")</f>
        <v>66700.388888888891</v>
      </c>
      <c r="M11" s="105">
        <f>IFERROR(INDEX(Minutes_by_use_case!$C$2:$C$9,MATCH($B11,Minutes_by_use_case!$A$2:$A$9,0)),"-")</f>
        <v>66700.388888888891</v>
      </c>
      <c r="N11" s="105">
        <f>IFERROR(INDEX(Minutes_by_use_case!$C$2:$C$9,MATCH($B11,Minutes_by_use_case!$A$2:$A$9,0)),"-")</f>
        <v>66700.388888888891</v>
      </c>
      <c r="O11" s="105">
        <f>IFERROR(INDEX(Minutes_by_use_case!$C$2:$C$9,MATCH($B11,Minutes_by_use_case!$A$2:$A$9,0)),"-")</f>
        <v>66700.388888888891</v>
      </c>
      <c r="P11" s="105">
        <f>IFERROR(INDEX(Minutes_by_use_case!$C$2:$C$9,MATCH($B11,Minutes_by_use_case!$A$2:$A$9,0)),"-")</f>
        <v>66700.388888888891</v>
      </c>
      <c r="Q11" s="105">
        <f>IFERROR(INDEX(Minutes_by_use_case!$C$2:$C$9,MATCH($B11,Minutes_by_use_case!$A$2:$A$9,0)),"-")</f>
        <v>66700.388888888891</v>
      </c>
      <c r="R11" s="105">
        <f>IFERROR(INDEX(Minutes_by_use_case!$C$2:$C$9,MATCH($B11,Minutes_by_use_case!$A$2:$A$9,0)),"-")</f>
        <v>66700.388888888891</v>
      </c>
      <c r="S11" s="105">
        <f>IFERROR(INDEX(Minutes_by_use_case!$C$2:$C$9,MATCH($B11,Minutes_by_use_case!$A$2:$A$9,0)),"-")</f>
        <v>66700.388888888891</v>
      </c>
      <c r="T11" s="105">
        <f>IFERROR(INDEX(Minutes_by_use_case!$C$2:$C$9,MATCH($B11,Minutes_by_use_case!$A$2:$A$9,0)),"-")</f>
        <v>66700.388888888891</v>
      </c>
      <c r="U11" s="105">
        <f>IFERROR(INDEX(Minutes_by_use_case!$C$2:$C$9,MATCH($B11,Minutes_by_use_case!$A$2:$A$9,0)),"-")</f>
        <v>66700.388888888891</v>
      </c>
      <c r="V11" s="105">
        <f>IFERROR(INDEX(Minutes_by_use_case!$C$2:$C$9,MATCH($B11,Minutes_by_use_case!$A$2:$A$9,0)),"-")</f>
        <v>66700.388888888891</v>
      </c>
    </row>
    <row r="12" spans="1:23" x14ac:dyDescent="0.25">
      <c r="A12" s="29" t="s">
        <v>57</v>
      </c>
      <c r="B12" s="29" t="s">
        <v>41</v>
      </c>
      <c r="C12" s="105">
        <f>IFERROR(INDEX(Minutes_by_use_case!$C$2:$C$9,MATCH($B12,Minutes_by_use_case!$A$2:$A$9,0)),"-")</f>
        <v>66700.388888888891</v>
      </c>
      <c r="D12" s="105">
        <f>IFERROR(INDEX(Minutes_by_use_case!$C$2:$C$9,MATCH($B12,Minutes_by_use_case!$A$2:$A$9,0)),"-")</f>
        <v>66700.388888888891</v>
      </c>
      <c r="E12" s="105">
        <f>IFERROR(INDEX(Minutes_by_use_case!$C$2:$C$9,MATCH($B12,Minutes_by_use_case!$A$2:$A$9,0)),"-")</f>
        <v>66700.388888888891</v>
      </c>
      <c r="F12" s="105">
        <f>IFERROR(INDEX(Minutes_by_use_case!$C$2:$C$9,MATCH($B12,Minutes_by_use_case!$A$2:$A$9,0)),"-")</f>
        <v>66700.388888888891</v>
      </c>
      <c r="G12" s="105">
        <f>IFERROR(INDEX(Minutes_by_use_case!$C$2:$C$9,MATCH($B12,Minutes_by_use_case!$A$2:$A$9,0)),"-")</f>
        <v>66700.388888888891</v>
      </c>
      <c r="H12" s="105">
        <f>IFERROR(INDEX(Minutes_by_use_case!$C$2:$C$9,MATCH($B12,Minutes_by_use_case!$A$2:$A$9,0)),"-")</f>
        <v>66700.388888888891</v>
      </c>
      <c r="I12" s="105">
        <f>IFERROR(INDEX(Minutes_by_use_case!$C$2:$C$9,MATCH($B12,Minutes_by_use_case!$A$2:$A$9,0)),"-")</f>
        <v>66700.388888888891</v>
      </c>
      <c r="J12" s="105">
        <f>IFERROR(INDEX(Minutes_by_use_case!$C$2:$C$9,MATCH($B12,Minutes_by_use_case!$A$2:$A$9,0)),"-")</f>
        <v>66700.388888888891</v>
      </c>
      <c r="K12" s="105">
        <f>IFERROR(INDEX(Minutes_by_use_case!$C$2:$C$9,MATCH($B12,Minutes_by_use_case!$A$2:$A$9,0)),"-")</f>
        <v>66700.388888888891</v>
      </c>
      <c r="L12" s="105">
        <f>IFERROR(INDEX(Minutes_by_use_case!$C$2:$C$9,MATCH($B12,Minutes_by_use_case!$A$2:$A$9,0)),"-")</f>
        <v>66700.388888888891</v>
      </c>
      <c r="M12" s="105">
        <f>IFERROR(INDEX(Minutes_by_use_case!$C$2:$C$9,MATCH($B12,Minutes_by_use_case!$A$2:$A$9,0)),"-")</f>
        <v>66700.388888888891</v>
      </c>
      <c r="N12" s="105">
        <f>IFERROR(INDEX(Minutes_by_use_case!$C$2:$C$9,MATCH($B12,Minutes_by_use_case!$A$2:$A$9,0)),"-")</f>
        <v>66700.388888888891</v>
      </c>
      <c r="O12" s="105">
        <f>IFERROR(INDEX(Minutes_by_use_case!$C$2:$C$9,MATCH($B12,Minutes_by_use_case!$A$2:$A$9,0)),"-")</f>
        <v>66700.388888888891</v>
      </c>
      <c r="P12" s="105">
        <f>IFERROR(INDEX(Minutes_by_use_case!$C$2:$C$9,MATCH($B12,Minutes_by_use_case!$A$2:$A$9,0)),"-")</f>
        <v>66700.388888888891</v>
      </c>
      <c r="Q12" s="105">
        <f>IFERROR(INDEX(Minutes_by_use_case!$C$2:$C$9,MATCH($B12,Minutes_by_use_case!$A$2:$A$9,0)),"-")</f>
        <v>66700.388888888891</v>
      </c>
      <c r="R12" s="105">
        <f>IFERROR(INDEX(Minutes_by_use_case!$C$2:$C$9,MATCH($B12,Minutes_by_use_case!$A$2:$A$9,0)),"-")</f>
        <v>66700.388888888891</v>
      </c>
      <c r="S12" s="105">
        <f>IFERROR(INDEX(Minutes_by_use_case!$C$2:$C$9,MATCH($B12,Minutes_by_use_case!$A$2:$A$9,0)),"-")</f>
        <v>66700.388888888891</v>
      </c>
      <c r="T12" s="105">
        <f>IFERROR(INDEX(Minutes_by_use_case!$C$2:$C$9,MATCH($B12,Minutes_by_use_case!$A$2:$A$9,0)),"-")</f>
        <v>66700.388888888891</v>
      </c>
      <c r="U12" s="105">
        <f>IFERROR(INDEX(Minutes_by_use_case!$C$2:$C$9,MATCH($B12,Minutes_by_use_case!$A$2:$A$9,0)),"-")</f>
        <v>66700.388888888891</v>
      </c>
      <c r="V12" s="105">
        <f>IFERROR(INDEX(Minutes_by_use_case!$C$2:$C$9,MATCH($B12,Minutes_by_use_case!$A$2:$A$9,0)),"-")</f>
        <v>66700.388888888891</v>
      </c>
    </row>
    <row r="13" spans="1:23" x14ac:dyDescent="0.25">
      <c r="A13" s="29" t="s">
        <v>22</v>
      </c>
      <c r="B13" s="29" t="s">
        <v>41</v>
      </c>
      <c r="C13" s="105">
        <f>IFERROR(INDEX(Minutes_by_use_case!$C$2:$C$9,MATCH($B13,Minutes_by_use_case!$A$2:$A$9,0)),"-")</f>
        <v>66700.388888888891</v>
      </c>
      <c r="D13" s="105">
        <f>IFERROR(INDEX(Minutes_by_use_case!$C$2:$C$9,MATCH($B13,Minutes_by_use_case!$A$2:$A$9,0)),"-")</f>
        <v>66700.388888888891</v>
      </c>
      <c r="E13" s="105">
        <f>IFERROR(INDEX(Minutes_by_use_case!$C$2:$C$9,MATCH($B13,Minutes_by_use_case!$A$2:$A$9,0)),"-")</f>
        <v>66700.388888888891</v>
      </c>
      <c r="F13" s="105">
        <f>IFERROR(INDEX(Minutes_by_use_case!$C$2:$C$9,MATCH($B13,Minutes_by_use_case!$A$2:$A$9,0)),"-")</f>
        <v>66700.388888888891</v>
      </c>
      <c r="G13" s="105">
        <f>IFERROR(INDEX(Minutes_by_use_case!$C$2:$C$9,MATCH($B13,Minutes_by_use_case!$A$2:$A$9,0)),"-")</f>
        <v>66700.388888888891</v>
      </c>
      <c r="H13" s="105">
        <f>IFERROR(INDEX(Minutes_by_use_case!$C$2:$C$9,MATCH($B13,Minutes_by_use_case!$A$2:$A$9,0)),"-")</f>
        <v>66700.388888888891</v>
      </c>
      <c r="I13" s="105">
        <f>IFERROR(INDEX(Minutes_by_use_case!$C$2:$C$9,MATCH($B13,Minutes_by_use_case!$A$2:$A$9,0)),"-")</f>
        <v>66700.388888888891</v>
      </c>
      <c r="J13" s="105">
        <f>IFERROR(INDEX(Minutes_by_use_case!$C$2:$C$9,MATCH($B13,Minutes_by_use_case!$A$2:$A$9,0)),"-")</f>
        <v>66700.388888888891</v>
      </c>
      <c r="K13" s="105">
        <f>IFERROR(INDEX(Minutes_by_use_case!$C$2:$C$9,MATCH($B13,Minutes_by_use_case!$A$2:$A$9,0)),"-")</f>
        <v>66700.388888888891</v>
      </c>
      <c r="L13" s="105">
        <f>IFERROR(INDEX(Minutes_by_use_case!$C$2:$C$9,MATCH($B13,Minutes_by_use_case!$A$2:$A$9,0)),"-")</f>
        <v>66700.388888888891</v>
      </c>
      <c r="M13" s="105">
        <f>IFERROR(INDEX(Minutes_by_use_case!$C$2:$C$9,MATCH($B13,Minutes_by_use_case!$A$2:$A$9,0)),"-")</f>
        <v>66700.388888888891</v>
      </c>
      <c r="N13" s="105">
        <f>IFERROR(INDEX(Minutes_by_use_case!$C$2:$C$9,MATCH($B13,Minutes_by_use_case!$A$2:$A$9,0)),"-")</f>
        <v>66700.388888888891</v>
      </c>
      <c r="O13" s="105">
        <f>IFERROR(INDEX(Minutes_by_use_case!$C$2:$C$9,MATCH($B13,Minutes_by_use_case!$A$2:$A$9,0)),"-")</f>
        <v>66700.388888888891</v>
      </c>
      <c r="P13" s="105">
        <f>IFERROR(INDEX(Minutes_by_use_case!$C$2:$C$9,MATCH($B13,Minutes_by_use_case!$A$2:$A$9,0)),"-")</f>
        <v>66700.388888888891</v>
      </c>
      <c r="Q13" s="105">
        <f>IFERROR(INDEX(Minutes_by_use_case!$C$2:$C$9,MATCH($B13,Minutes_by_use_case!$A$2:$A$9,0)),"-")</f>
        <v>66700.388888888891</v>
      </c>
      <c r="R13" s="105">
        <f>IFERROR(INDEX(Minutes_by_use_case!$C$2:$C$9,MATCH($B13,Minutes_by_use_case!$A$2:$A$9,0)),"-")</f>
        <v>66700.388888888891</v>
      </c>
      <c r="S13" s="105">
        <f>IFERROR(INDEX(Minutes_by_use_case!$C$2:$C$9,MATCH($B13,Minutes_by_use_case!$A$2:$A$9,0)),"-")</f>
        <v>66700.388888888891</v>
      </c>
      <c r="T13" s="105">
        <f>IFERROR(INDEX(Minutes_by_use_case!$C$2:$C$9,MATCH($B13,Minutes_by_use_case!$A$2:$A$9,0)),"-")</f>
        <v>66700.388888888891</v>
      </c>
      <c r="U13" s="105">
        <f>IFERROR(INDEX(Minutes_by_use_case!$C$2:$C$9,MATCH($B13,Minutes_by_use_case!$A$2:$A$9,0)),"-")</f>
        <v>66700.388888888891</v>
      </c>
      <c r="V13" s="105">
        <f>IFERROR(INDEX(Minutes_by_use_case!$C$2:$C$9,MATCH($B13,Minutes_by_use_case!$A$2:$A$9,0)),"-")</f>
        <v>66700.388888888891</v>
      </c>
    </row>
    <row r="14" spans="1:23" x14ac:dyDescent="0.25">
      <c r="A14" s="29" t="s">
        <v>23</v>
      </c>
      <c r="B14" s="29" t="s">
        <v>43</v>
      </c>
      <c r="C14" s="105">
        <f>IFERROR(INDEX(Minutes_by_use_case!$C$2:$C$9,MATCH($B14,Minutes_by_use_case!$A$2:$A$9,0)),"-")</f>
        <v>114879</v>
      </c>
      <c r="D14" s="105">
        <f>IFERROR(INDEX(Minutes_by_use_case!$C$2:$C$9,MATCH($B14,Minutes_by_use_case!$A$2:$A$9,0)),"-")</f>
        <v>114879</v>
      </c>
      <c r="E14" s="105">
        <f>IFERROR(INDEX(Minutes_by_use_case!$C$2:$C$9,MATCH($B14,Minutes_by_use_case!$A$2:$A$9,0)),"-")</f>
        <v>114879</v>
      </c>
      <c r="F14" s="105">
        <f>IFERROR(INDEX(Minutes_by_use_case!$C$2:$C$9,MATCH($B14,Minutes_by_use_case!$A$2:$A$9,0)),"-")</f>
        <v>114879</v>
      </c>
      <c r="G14" s="105">
        <f>IFERROR(INDEX(Minutes_by_use_case!$C$2:$C$9,MATCH($B14,Minutes_by_use_case!$A$2:$A$9,0)),"-")</f>
        <v>114879</v>
      </c>
      <c r="H14" s="105">
        <f>IFERROR(INDEX(Minutes_by_use_case!$C$2:$C$9,MATCH($B14,Minutes_by_use_case!$A$2:$A$9,0)),"-")</f>
        <v>114879</v>
      </c>
      <c r="I14" s="105">
        <f>IFERROR(INDEX(Minutes_by_use_case!$C$2:$C$9,MATCH($B14,Minutes_by_use_case!$A$2:$A$9,0)),"-")</f>
        <v>114879</v>
      </c>
      <c r="J14" s="105">
        <f>IFERROR(INDEX(Minutes_by_use_case!$C$2:$C$9,MATCH($B14,Minutes_by_use_case!$A$2:$A$9,0)),"-")</f>
        <v>114879</v>
      </c>
      <c r="K14" s="105">
        <f>IFERROR(INDEX(Minutes_by_use_case!$C$2:$C$9,MATCH($B14,Minutes_by_use_case!$A$2:$A$9,0)),"-")</f>
        <v>114879</v>
      </c>
      <c r="L14" s="105">
        <f>IFERROR(INDEX(Minutes_by_use_case!$C$2:$C$9,MATCH($B14,Minutes_by_use_case!$A$2:$A$9,0)),"-")</f>
        <v>114879</v>
      </c>
      <c r="M14" s="105">
        <f>IFERROR(INDEX(Minutes_by_use_case!$C$2:$C$9,MATCH($B14,Minutes_by_use_case!$A$2:$A$9,0)),"-")</f>
        <v>114879</v>
      </c>
      <c r="N14" s="105">
        <f>IFERROR(INDEX(Minutes_by_use_case!$C$2:$C$9,MATCH($B14,Minutes_by_use_case!$A$2:$A$9,0)),"-")</f>
        <v>114879</v>
      </c>
      <c r="O14" s="105">
        <f>IFERROR(INDEX(Minutes_by_use_case!$C$2:$C$9,MATCH($B14,Minutes_by_use_case!$A$2:$A$9,0)),"-")</f>
        <v>114879</v>
      </c>
      <c r="P14" s="105">
        <f>IFERROR(INDEX(Minutes_by_use_case!$C$2:$C$9,MATCH($B14,Minutes_by_use_case!$A$2:$A$9,0)),"-")</f>
        <v>114879</v>
      </c>
      <c r="Q14" s="105">
        <f>IFERROR(INDEX(Minutes_by_use_case!$C$2:$C$9,MATCH($B14,Minutes_by_use_case!$A$2:$A$9,0)),"-")</f>
        <v>114879</v>
      </c>
      <c r="R14" s="105">
        <f>IFERROR(INDEX(Minutes_by_use_case!$C$2:$C$9,MATCH($B14,Minutes_by_use_case!$A$2:$A$9,0)),"-")</f>
        <v>114879</v>
      </c>
      <c r="S14" s="105">
        <f>IFERROR(INDEX(Minutes_by_use_case!$C$2:$C$9,MATCH($B14,Minutes_by_use_case!$A$2:$A$9,0)),"-")</f>
        <v>114879</v>
      </c>
      <c r="T14" s="105">
        <f>IFERROR(INDEX(Minutes_by_use_case!$C$2:$C$9,MATCH($B14,Minutes_by_use_case!$A$2:$A$9,0)),"-")</f>
        <v>114879</v>
      </c>
      <c r="U14" s="105">
        <f>IFERROR(INDEX(Minutes_by_use_case!$C$2:$C$9,MATCH($B14,Minutes_by_use_case!$A$2:$A$9,0)),"-")</f>
        <v>114879</v>
      </c>
      <c r="V14" s="105">
        <f>IFERROR(INDEX(Minutes_by_use_case!$C$2:$C$9,MATCH($B14,Minutes_by_use_case!$A$2:$A$9,0)),"-")</f>
        <v>114879</v>
      </c>
    </row>
    <row r="15" spans="1:23" x14ac:dyDescent="0.25">
      <c r="A15" s="29" t="s">
        <v>24</v>
      </c>
      <c r="B15" s="29" t="s">
        <v>42</v>
      </c>
      <c r="C15" s="105">
        <f>IFERROR(INDEX(Minutes_by_use_case!$C$2:$C$9,MATCH($B15,Minutes_by_use_case!$A$2:$A$9,0)),"-")</f>
        <v>2294</v>
      </c>
      <c r="D15" s="105">
        <f>IFERROR(INDEX(Minutes_by_use_case!$C$2:$C$9,MATCH($B15,Minutes_by_use_case!$A$2:$A$9,0)),"-")</f>
        <v>2294</v>
      </c>
      <c r="E15" s="105">
        <f>IFERROR(INDEX(Minutes_by_use_case!$C$2:$C$9,MATCH($B15,Minutes_by_use_case!$A$2:$A$9,0)),"-")</f>
        <v>2294</v>
      </c>
      <c r="F15" s="105">
        <f>IFERROR(INDEX(Minutes_by_use_case!$C$2:$C$9,MATCH($B15,Minutes_by_use_case!$A$2:$A$9,0)),"-")</f>
        <v>2294</v>
      </c>
      <c r="G15" s="105">
        <f>IFERROR(INDEX(Minutes_by_use_case!$C$2:$C$9,MATCH($B15,Minutes_by_use_case!$A$2:$A$9,0)),"-")</f>
        <v>2294</v>
      </c>
      <c r="H15" s="105">
        <f>IFERROR(INDEX(Minutes_by_use_case!$C$2:$C$9,MATCH($B15,Minutes_by_use_case!$A$2:$A$9,0)),"-")</f>
        <v>2294</v>
      </c>
      <c r="I15" s="105">
        <f>IFERROR(INDEX(Minutes_by_use_case!$C$2:$C$9,MATCH($B15,Minutes_by_use_case!$A$2:$A$9,0)),"-")</f>
        <v>2294</v>
      </c>
      <c r="J15" s="105">
        <f>IFERROR(INDEX(Minutes_by_use_case!$C$2:$C$9,MATCH($B15,Minutes_by_use_case!$A$2:$A$9,0)),"-")</f>
        <v>2294</v>
      </c>
      <c r="K15" s="105">
        <f>IFERROR(INDEX(Minutes_by_use_case!$C$2:$C$9,MATCH($B15,Minutes_by_use_case!$A$2:$A$9,0)),"-")</f>
        <v>2294</v>
      </c>
      <c r="L15" s="105">
        <f>IFERROR(INDEX(Minutes_by_use_case!$C$2:$C$9,MATCH($B15,Minutes_by_use_case!$A$2:$A$9,0)),"-")</f>
        <v>2294</v>
      </c>
      <c r="M15" s="105">
        <f>IFERROR(INDEX(Minutes_by_use_case!$C$2:$C$9,MATCH($B15,Minutes_by_use_case!$A$2:$A$9,0)),"-")</f>
        <v>2294</v>
      </c>
      <c r="N15" s="105">
        <f>IFERROR(INDEX(Minutes_by_use_case!$C$2:$C$9,MATCH($B15,Minutes_by_use_case!$A$2:$A$9,0)),"-")</f>
        <v>2294</v>
      </c>
      <c r="O15" s="105">
        <f>IFERROR(INDEX(Minutes_by_use_case!$C$2:$C$9,MATCH($B15,Minutes_by_use_case!$A$2:$A$9,0)),"-")</f>
        <v>2294</v>
      </c>
      <c r="P15" s="105">
        <f>IFERROR(INDEX(Minutes_by_use_case!$C$2:$C$9,MATCH($B15,Minutes_by_use_case!$A$2:$A$9,0)),"-")</f>
        <v>2294</v>
      </c>
      <c r="Q15" s="105">
        <f>IFERROR(INDEX(Minutes_by_use_case!$C$2:$C$9,MATCH($B15,Minutes_by_use_case!$A$2:$A$9,0)),"-")</f>
        <v>2294</v>
      </c>
      <c r="R15" s="105">
        <f>IFERROR(INDEX(Minutes_by_use_case!$C$2:$C$9,MATCH($B15,Minutes_by_use_case!$A$2:$A$9,0)),"-")</f>
        <v>2294</v>
      </c>
      <c r="S15" s="105">
        <f>IFERROR(INDEX(Minutes_by_use_case!$C$2:$C$9,MATCH($B15,Minutes_by_use_case!$A$2:$A$9,0)),"-")</f>
        <v>2294</v>
      </c>
      <c r="T15" s="105">
        <f>IFERROR(INDEX(Minutes_by_use_case!$C$2:$C$9,MATCH($B15,Minutes_by_use_case!$A$2:$A$9,0)),"-")</f>
        <v>2294</v>
      </c>
      <c r="U15" s="105">
        <f>IFERROR(INDEX(Minutes_by_use_case!$C$2:$C$9,MATCH($B15,Minutes_by_use_case!$A$2:$A$9,0)),"-")</f>
        <v>2294</v>
      </c>
      <c r="V15" s="105">
        <f>IFERROR(INDEX(Minutes_by_use_case!$C$2:$C$9,MATCH($B15,Minutes_by_use_case!$A$2:$A$9,0)),"-")</f>
        <v>2294</v>
      </c>
    </row>
    <row r="16" spans="1:23" x14ac:dyDescent="0.25">
      <c r="A16" s="29" t="s">
        <v>25</v>
      </c>
      <c r="B16" s="29" t="s">
        <v>44</v>
      </c>
      <c r="C16" s="105">
        <f>IFERROR(INDEX(Minutes_by_use_case!$C$2:$C$9,MATCH($B16,Minutes_by_use_case!$A$2:$A$9,0)),"-")</f>
        <v>460.5</v>
      </c>
      <c r="D16" s="105">
        <f>IFERROR(INDEX(Minutes_by_use_case!$C$2:$C$9,MATCH($B16,Minutes_by_use_case!$A$2:$A$9,0)),"-")</f>
        <v>460.5</v>
      </c>
      <c r="E16" s="105">
        <f>IFERROR(INDEX(Minutes_by_use_case!$C$2:$C$9,MATCH($B16,Minutes_by_use_case!$A$2:$A$9,0)),"-")</f>
        <v>460.5</v>
      </c>
      <c r="F16" s="105">
        <f>IFERROR(INDEX(Minutes_by_use_case!$C$2:$C$9,MATCH($B16,Minutes_by_use_case!$A$2:$A$9,0)),"-")</f>
        <v>460.5</v>
      </c>
      <c r="G16" s="105">
        <f>IFERROR(INDEX(Minutes_by_use_case!$C$2:$C$9,MATCH($B16,Minutes_by_use_case!$A$2:$A$9,0)),"-")</f>
        <v>460.5</v>
      </c>
      <c r="H16" s="105">
        <f>IFERROR(INDEX(Minutes_by_use_case!$C$2:$C$9,MATCH($B16,Minutes_by_use_case!$A$2:$A$9,0)),"-")</f>
        <v>460.5</v>
      </c>
      <c r="I16" s="105">
        <f>IFERROR(INDEX(Minutes_by_use_case!$C$2:$C$9,MATCH($B16,Minutes_by_use_case!$A$2:$A$9,0)),"-")</f>
        <v>460.5</v>
      </c>
      <c r="J16" s="105">
        <f>IFERROR(INDEX(Minutes_by_use_case!$C$2:$C$9,MATCH($B16,Minutes_by_use_case!$A$2:$A$9,0)),"-")</f>
        <v>460.5</v>
      </c>
      <c r="K16" s="105">
        <f>IFERROR(INDEX(Minutes_by_use_case!$C$2:$C$9,MATCH($B16,Minutes_by_use_case!$A$2:$A$9,0)),"-")</f>
        <v>460.5</v>
      </c>
      <c r="L16" s="105">
        <f>IFERROR(INDEX(Minutes_by_use_case!$C$2:$C$9,MATCH($B16,Minutes_by_use_case!$A$2:$A$9,0)),"-")</f>
        <v>460.5</v>
      </c>
      <c r="M16" s="105">
        <f>IFERROR(INDEX(Minutes_by_use_case!$C$2:$C$9,MATCH($B16,Minutes_by_use_case!$A$2:$A$9,0)),"-")</f>
        <v>460.5</v>
      </c>
      <c r="N16" s="105">
        <f>IFERROR(INDEX(Minutes_by_use_case!$C$2:$C$9,MATCH($B16,Minutes_by_use_case!$A$2:$A$9,0)),"-")</f>
        <v>460.5</v>
      </c>
      <c r="O16" s="105">
        <f>IFERROR(INDEX(Minutes_by_use_case!$C$2:$C$9,MATCH($B16,Minutes_by_use_case!$A$2:$A$9,0)),"-")</f>
        <v>460.5</v>
      </c>
      <c r="P16" s="105">
        <f>IFERROR(INDEX(Minutes_by_use_case!$C$2:$C$9,MATCH($B16,Minutes_by_use_case!$A$2:$A$9,0)),"-")</f>
        <v>460.5</v>
      </c>
      <c r="Q16" s="105">
        <f>IFERROR(INDEX(Minutes_by_use_case!$C$2:$C$9,MATCH($B16,Minutes_by_use_case!$A$2:$A$9,0)),"-")</f>
        <v>460.5</v>
      </c>
      <c r="R16" s="105">
        <f>IFERROR(INDEX(Minutes_by_use_case!$C$2:$C$9,MATCH($B16,Minutes_by_use_case!$A$2:$A$9,0)),"-")</f>
        <v>460.5</v>
      </c>
      <c r="S16" s="105">
        <f>IFERROR(INDEX(Minutes_by_use_case!$C$2:$C$9,MATCH($B16,Minutes_by_use_case!$A$2:$A$9,0)),"-")</f>
        <v>460.5</v>
      </c>
      <c r="T16" s="105">
        <f>IFERROR(INDEX(Minutes_by_use_case!$C$2:$C$9,MATCH($B16,Minutes_by_use_case!$A$2:$A$9,0)),"-")</f>
        <v>460.5</v>
      </c>
      <c r="U16" s="105">
        <f>IFERROR(INDEX(Minutes_by_use_case!$C$2:$C$9,MATCH($B16,Minutes_by_use_case!$A$2:$A$9,0)),"-")</f>
        <v>460.5</v>
      </c>
      <c r="V16" s="105">
        <f>IFERROR(INDEX(Minutes_by_use_case!$C$2:$C$9,MATCH($B16,Minutes_by_use_case!$A$2:$A$9,0)),"-")</f>
        <v>460.5</v>
      </c>
    </row>
    <row r="17" spans="1:22" x14ac:dyDescent="0.25">
      <c r="A17" s="29" t="s">
        <v>58</v>
      </c>
      <c r="B17" s="29" t="s">
        <v>41</v>
      </c>
      <c r="C17" s="105">
        <f>IFERROR(INDEX(Minutes_by_use_case!$C$2:$C$9,MATCH($B17,Minutes_by_use_case!$A$2:$A$9,0)),"-")</f>
        <v>66700.388888888891</v>
      </c>
      <c r="D17" s="105">
        <f>IFERROR(INDEX(Minutes_by_use_case!$C$2:$C$9,MATCH($B17,Minutes_by_use_case!$A$2:$A$9,0)),"-")</f>
        <v>66700.388888888891</v>
      </c>
      <c r="E17" s="105">
        <f>IFERROR(INDEX(Minutes_by_use_case!$C$2:$C$9,MATCH($B17,Minutes_by_use_case!$A$2:$A$9,0)),"-")</f>
        <v>66700.388888888891</v>
      </c>
      <c r="F17" s="105">
        <f>IFERROR(INDEX(Minutes_by_use_case!$C$2:$C$9,MATCH($B17,Minutes_by_use_case!$A$2:$A$9,0)),"-")</f>
        <v>66700.388888888891</v>
      </c>
      <c r="G17" s="105">
        <f>IFERROR(INDEX(Minutes_by_use_case!$C$2:$C$9,MATCH($B17,Minutes_by_use_case!$A$2:$A$9,0)),"-")</f>
        <v>66700.388888888891</v>
      </c>
      <c r="H17" s="105">
        <f>IFERROR(INDEX(Minutes_by_use_case!$C$2:$C$9,MATCH($B17,Minutes_by_use_case!$A$2:$A$9,0)),"-")</f>
        <v>66700.388888888891</v>
      </c>
      <c r="I17" s="105">
        <f>IFERROR(INDEX(Minutes_by_use_case!$C$2:$C$9,MATCH($B17,Minutes_by_use_case!$A$2:$A$9,0)),"-")</f>
        <v>66700.388888888891</v>
      </c>
      <c r="J17" s="105">
        <f>IFERROR(INDEX(Minutes_by_use_case!$C$2:$C$9,MATCH($B17,Minutes_by_use_case!$A$2:$A$9,0)),"-")</f>
        <v>66700.388888888891</v>
      </c>
      <c r="K17" s="105">
        <f>IFERROR(INDEX(Minutes_by_use_case!$C$2:$C$9,MATCH($B17,Minutes_by_use_case!$A$2:$A$9,0)),"-")</f>
        <v>66700.388888888891</v>
      </c>
      <c r="L17" s="105">
        <f>IFERROR(INDEX(Minutes_by_use_case!$C$2:$C$9,MATCH($B17,Minutes_by_use_case!$A$2:$A$9,0)),"-")</f>
        <v>66700.388888888891</v>
      </c>
      <c r="M17" s="105">
        <f>IFERROR(INDEX(Minutes_by_use_case!$C$2:$C$9,MATCH($B17,Minutes_by_use_case!$A$2:$A$9,0)),"-")</f>
        <v>66700.388888888891</v>
      </c>
      <c r="N17" s="105">
        <f>IFERROR(INDEX(Minutes_by_use_case!$C$2:$C$9,MATCH($B17,Minutes_by_use_case!$A$2:$A$9,0)),"-")</f>
        <v>66700.388888888891</v>
      </c>
      <c r="O17" s="105">
        <f>IFERROR(INDEX(Minutes_by_use_case!$C$2:$C$9,MATCH($B17,Minutes_by_use_case!$A$2:$A$9,0)),"-")</f>
        <v>66700.388888888891</v>
      </c>
      <c r="P17" s="105">
        <f>IFERROR(INDEX(Minutes_by_use_case!$C$2:$C$9,MATCH($B17,Minutes_by_use_case!$A$2:$A$9,0)),"-")</f>
        <v>66700.388888888891</v>
      </c>
      <c r="Q17" s="105">
        <f>IFERROR(INDEX(Minutes_by_use_case!$C$2:$C$9,MATCH($B17,Minutes_by_use_case!$A$2:$A$9,0)),"-")</f>
        <v>66700.388888888891</v>
      </c>
      <c r="R17" s="105">
        <f>IFERROR(INDEX(Minutes_by_use_case!$C$2:$C$9,MATCH($B17,Minutes_by_use_case!$A$2:$A$9,0)),"-")</f>
        <v>66700.388888888891</v>
      </c>
      <c r="S17" s="105">
        <f>IFERROR(INDEX(Minutes_by_use_case!$C$2:$C$9,MATCH($B17,Minutes_by_use_case!$A$2:$A$9,0)),"-")</f>
        <v>66700.388888888891</v>
      </c>
      <c r="T17" s="105">
        <f>IFERROR(INDEX(Minutes_by_use_case!$C$2:$C$9,MATCH($B17,Minutes_by_use_case!$A$2:$A$9,0)),"-")</f>
        <v>66700.388888888891</v>
      </c>
      <c r="U17" s="105">
        <f>IFERROR(INDEX(Minutes_by_use_case!$C$2:$C$9,MATCH($B17,Minutes_by_use_case!$A$2:$A$9,0)),"-")</f>
        <v>66700.388888888891</v>
      </c>
      <c r="V17" s="105">
        <f>IFERROR(INDEX(Minutes_by_use_case!$C$2:$C$9,MATCH($B17,Minutes_by_use_case!$A$2:$A$9,0)),"-")</f>
        <v>66700.388888888891</v>
      </c>
    </row>
    <row r="18" spans="1:22" x14ac:dyDescent="0.25">
      <c r="A18" s="29" t="s">
        <v>59</v>
      </c>
      <c r="B18" s="29" t="s">
        <v>41</v>
      </c>
      <c r="C18" s="105">
        <f>IFERROR(INDEX(Minutes_by_use_case!$C$2:$C$9,MATCH($B18,Minutes_by_use_case!$A$2:$A$9,0)),"-")</f>
        <v>66700.388888888891</v>
      </c>
      <c r="D18" s="105">
        <f>IFERROR(INDEX(Minutes_by_use_case!$C$2:$C$9,MATCH($B18,Minutes_by_use_case!$A$2:$A$9,0)),"-")</f>
        <v>66700.388888888891</v>
      </c>
      <c r="E18" s="105">
        <f>IFERROR(INDEX(Minutes_by_use_case!$C$2:$C$9,MATCH($B18,Minutes_by_use_case!$A$2:$A$9,0)),"-")</f>
        <v>66700.388888888891</v>
      </c>
      <c r="F18" s="105">
        <f>IFERROR(INDEX(Minutes_by_use_case!$C$2:$C$9,MATCH($B18,Minutes_by_use_case!$A$2:$A$9,0)),"-")</f>
        <v>66700.388888888891</v>
      </c>
      <c r="G18" s="105">
        <f>IFERROR(INDEX(Minutes_by_use_case!$C$2:$C$9,MATCH($B18,Minutes_by_use_case!$A$2:$A$9,0)),"-")</f>
        <v>66700.388888888891</v>
      </c>
      <c r="H18" s="105">
        <f>IFERROR(INDEX(Minutes_by_use_case!$C$2:$C$9,MATCH($B18,Minutes_by_use_case!$A$2:$A$9,0)),"-")</f>
        <v>66700.388888888891</v>
      </c>
      <c r="I18" s="105">
        <f>IFERROR(INDEX(Minutes_by_use_case!$C$2:$C$9,MATCH($B18,Minutes_by_use_case!$A$2:$A$9,0)),"-")</f>
        <v>66700.388888888891</v>
      </c>
      <c r="J18" s="105">
        <f>IFERROR(INDEX(Minutes_by_use_case!$C$2:$C$9,MATCH($B18,Minutes_by_use_case!$A$2:$A$9,0)),"-")</f>
        <v>66700.388888888891</v>
      </c>
      <c r="K18" s="105">
        <f>IFERROR(INDEX(Minutes_by_use_case!$C$2:$C$9,MATCH($B18,Minutes_by_use_case!$A$2:$A$9,0)),"-")</f>
        <v>66700.388888888891</v>
      </c>
      <c r="L18" s="105">
        <f>IFERROR(INDEX(Minutes_by_use_case!$C$2:$C$9,MATCH($B18,Minutes_by_use_case!$A$2:$A$9,0)),"-")</f>
        <v>66700.388888888891</v>
      </c>
      <c r="M18" s="105">
        <f>IFERROR(INDEX(Minutes_by_use_case!$C$2:$C$9,MATCH($B18,Minutes_by_use_case!$A$2:$A$9,0)),"-")</f>
        <v>66700.388888888891</v>
      </c>
      <c r="N18" s="105">
        <f>IFERROR(INDEX(Minutes_by_use_case!$C$2:$C$9,MATCH($B18,Minutes_by_use_case!$A$2:$A$9,0)),"-")</f>
        <v>66700.388888888891</v>
      </c>
      <c r="O18" s="105">
        <f>IFERROR(INDEX(Minutes_by_use_case!$C$2:$C$9,MATCH($B18,Minutes_by_use_case!$A$2:$A$9,0)),"-")</f>
        <v>66700.388888888891</v>
      </c>
      <c r="P18" s="105">
        <f>IFERROR(INDEX(Minutes_by_use_case!$C$2:$C$9,MATCH($B18,Minutes_by_use_case!$A$2:$A$9,0)),"-")</f>
        <v>66700.388888888891</v>
      </c>
      <c r="Q18" s="105">
        <f>IFERROR(INDEX(Minutes_by_use_case!$C$2:$C$9,MATCH($B18,Minutes_by_use_case!$A$2:$A$9,0)),"-")</f>
        <v>66700.388888888891</v>
      </c>
      <c r="R18" s="105">
        <f>IFERROR(INDEX(Minutes_by_use_case!$C$2:$C$9,MATCH($B18,Minutes_by_use_case!$A$2:$A$9,0)),"-")</f>
        <v>66700.388888888891</v>
      </c>
      <c r="S18" s="105">
        <f>IFERROR(INDEX(Minutes_by_use_case!$C$2:$C$9,MATCH($B18,Minutes_by_use_case!$A$2:$A$9,0)),"-")</f>
        <v>66700.388888888891</v>
      </c>
      <c r="T18" s="105">
        <f>IFERROR(INDEX(Minutes_by_use_case!$C$2:$C$9,MATCH($B18,Minutes_by_use_case!$A$2:$A$9,0)),"-")</f>
        <v>66700.388888888891</v>
      </c>
      <c r="U18" s="105">
        <f>IFERROR(INDEX(Minutes_by_use_case!$C$2:$C$9,MATCH($B18,Minutes_by_use_case!$A$2:$A$9,0)),"-")</f>
        <v>66700.388888888891</v>
      </c>
      <c r="V18" s="105">
        <f>IFERROR(INDEX(Minutes_by_use_case!$C$2:$C$9,MATCH($B18,Minutes_by_use_case!$A$2:$A$9,0)),"-")</f>
        <v>66700.388888888891</v>
      </c>
    </row>
    <row r="19" spans="1:22" x14ac:dyDescent="0.25">
      <c r="A19" s="29" t="s">
        <v>60</v>
      </c>
      <c r="B19" s="29" t="s">
        <v>41</v>
      </c>
      <c r="C19" s="105">
        <f>IFERROR(INDEX(Minutes_by_use_case!$C$2:$C$9,MATCH($B19,Minutes_by_use_case!$A$2:$A$9,0)),"-")</f>
        <v>66700.388888888891</v>
      </c>
      <c r="D19" s="105">
        <f>IFERROR(INDEX(Minutes_by_use_case!$C$2:$C$9,MATCH($B19,Minutes_by_use_case!$A$2:$A$9,0)),"-")</f>
        <v>66700.388888888891</v>
      </c>
      <c r="E19" s="105">
        <f>IFERROR(INDEX(Minutes_by_use_case!$C$2:$C$9,MATCH($B19,Minutes_by_use_case!$A$2:$A$9,0)),"-")</f>
        <v>66700.388888888891</v>
      </c>
      <c r="F19" s="105">
        <f>IFERROR(INDEX(Minutes_by_use_case!$C$2:$C$9,MATCH($B19,Minutes_by_use_case!$A$2:$A$9,0)),"-")</f>
        <v>66700.388888888891</v>
      </c>
      <c r="G19" s="105">
        <f>IFERROR(INDEX(Minutes_by_use_case!$C$2:$C$9,MATCH($B19,Minutes_by_use_case!$A$2:$A$9,0)),"-")</f>
        <v>66700.388888888891</v>
      </c>
      <c r="H19" s="105">
        <f>IFERROR(INDEX(Minutes_by_use_case!$C$2:$C$9,MATCH($B19,Minutes_by_use_case!$A$2:$A$9,0)),"-")</f>
        <v>66700.388888888891</v>
      </c>
      <c r="I19" s="105">
        <f>IFERROR(INDEX(Minutes_by_use_case!$C$2:$C$9,MATCH($B19,Minutes_by_use_case!$A$2:$A$9,0)),"-")</f>
        <v>66700.388888888891</v>
      </c>
      <c r="J19" s="105">
        <f>IFERROR(INDEX(Minutes_by_use_case!$C$2:$C$9,MATCH($B19,Minutes_by_use_case!$A$2:$A$9,0)),"-")</f>
        <v>66700.388888888891</v>
      </c>
      <c r="K19" s="105">
        <f>IFERROR(INDEX(Minutes_by_use_case!$C$2:$C$9,MATCH($B19,Minutes_by_use_case!$A$2:$A$9,0)),"-")</f>
        <v>66700.388888888891</v>
      </c>
      <c r="L19" s="105">
        <f>IFERROR(INDEX(Minutes_by_use_case!$C$2:$C$9,MATCH($B19,Minutes_by_use_case!$A$2:$A$9,0)),"-")</f>
        <v>66700.388888888891</v>
      </c>
      <c r="M19" s="105">
        <f>IFERROR(INDEX(Minutes_by_use_case!$C$2:$C$9,MATCH($B19,Minutes_by_use_case!$A$2:$A$9,0)),"-")</f>
        <v>66700.388888888891</v>
      </c>
      <c r="N19" s="105">
        <f>IFERROR(INDEX(Minutes_by_use_case!$C$2:$C$9,MATCH($B19,Minutes_by_use_case!$A$2:$A$9,0)),"-")</f>
        <v>66700.388888888891</v>
      </c>
      <c r="O19" s="105">
        <f>IFERROR(INDEX(Minutes_by_use_case!$C$2:$C$9,MATCH($B19,Minutes_by_use_case!$A$2:$A$9,0)),"-")</f>
        <v>66700.388888888891</v>
      </c>
      <c r="P19" s="105">
        <f>IFERROR(INDEX(Minutes_by_use_case!$C$2:$C$9,MATCH($B19,Minutes_by_use_case!$A$2:$A$9,0)),"-")</f>
        <v>66700.388888888891</v>
      </c>
      <c r="Q19" s="105">
        <f>IFERROR(INDEX(Minutes_by_use_case!$C$2:$C$9,MATCH($B19,Minutes_by_use_case!$A$2:$A$9,0)),"-")</f>
        <v>66700.388888888891</v>
      </c>
      <c r="R19" s="105">
        <f>IFERROR(INDEX(Minutes_by_use_case!$C$2:$C$9,MATCH($B19,Minutes_by_use_case!$A$2:$A$9,0)),"-")</f>
        <v>66700.388888888891</v>
      </c>
      <c r="S19" s="105">
        <f>IFERROR(INDEX(Minutes_by_use_case!$C$2:$C$9,MATCH($B19,Minutes_by_use_case!$A$2:$A$9,0)),"-")</f>
        <v>66700.388888888891</v>
      </c>
      <c r="T19" s="105">
        <f>IFERROR(INDEX(Minutes_by_use_case!$C$2:$C$9,MATCH($B19,Minutes_by_use_case!$A$2:$A$9,0)),"-")</f>
        <v>66700.388888888891</v>
      </c>
      <c r="U19" s="105">
        <f>IFERROR(INDEX(Minutes_by_use_case!$C$2:$C$9,MATCH($B19,Minutes_by_use_case!$A$2:$A$9,0)),"-")</f>
        <v>66700.388888888891</v>
      </c>
      <c r="V19" s="105">
        <f>IFERROR(INDEX(Minutes_by_use_case!$C$2:$C$9,MATCH($B19,Minutes_by_use_case!$A$2:$A$9,0)),"-")</f>
        <v>66700.388888888891</v>
      </c>
    </row>
    <row r="20" spans="1:22" x14ac:dyDescent="0.25">
      <c r="A20" s="29" t="s">
        <v>26</v>
      </c>
      <c r="B20" s="29" t="s">
        <v>45</v>
      </c>
      <c r="C20" s="105">
        <f>IFERROR(INDEX(Minutes_by_use_case!$C$2:$C$9,MATCH($B20,Minutes_by_use_case!$A$2:$A$9,0)),"-")</f>
        <v>33739.333333333336</v>
      </c>
      <c r="D20" s="105">
        <f>IFERROR(INDEX(Minutes_by_use_case!$C$2:$C$9,MATCH($B20,Minutes_by_use_case!$A$2:$A$9,0)),"-")</f>
        <v>33739.333333333336</v>
      </c>
      <c r="E20" s="105">
        <f>IFERROR(INDEX(Minutes_by_use_case!$C$2:$C$9,MATCH($B20,Minutes_by_use_case!$A$2:$A$9,0)),"-")</f>
        <v>33739.333333333336</v>
      </c>
      <c r="F20" s="105">
        <f>IFERROR(INDEX(Minutes_by_use_case!$C$2:$C$9,MATCH($B20,Minutes_by_use_case!$A$2:$A$9,0)),"-")</f>
        <v>33739.333333333336</v>
      </c>
      <c r="G20" s="105">
        <f>IFERROR(INDEX(Minutes_by_use_case!$C$2:$C$9,MATCH($B20,Minutes_by_use_case!$A$2:$A$9,0)),"-")</f>
        <v>33739.333333333336</v>
      </c>
      <c r="H20" s="105">
        <f>IFERROR(INDEX(Minutes_by_use_case!$C$2:$C$9,MATCH($B20,Minutes_by_use_case!$A$2:$A$9,0)),"-")</f>
        <v>33739.333333333336</v>
      </c>
      <c r="I20" s="105">
        <f>IFERROR(INDEX(Minutes_by_use_case!$C$2:$C$9,MATCH($B20,Minutes_by_use_case!$A$2:$A$9,0)),"-")</f>
        <v>33739.333333333336</v>
      </c>
      <c r="J20" s="105">
        <f>IFERROR(INDEX(Minutes_by_use_case!$C$2:$C$9,MATCH($B20,Minutes_by_use_case!$A$2:$A$9,0)),"-")</f>
        <v>33739.333333333336</v>
      </c>
      <c r="K20" s="105">
        <f>IFERROR(INDEX(Minutes_by_use_case!$C$2:$C$9,MATCH($B20,Minutes_by_use_case!$A$2:$A$9,0)),"-")</f>
        <v>33739.333333333336</v>
      </c>
      <c r="L20" s="105">
        <f>IFERROR(INDEX(Minutes_by_use_case!$C$2:$C$9,MATCH($B20,Minutes_by_use_case!$A$2:$A$9,0)),"-")</f>
        <v>33739.333333333336</v>
      </c>
      <c r="M20" s="105">
        <f>IFERROR(INDEX(Minutes_by_use_case!$C$2:$C$9,MATCH($B20,Minutes_by_use_case!$A$2:$A$9,0)),"-")</f>
        <v>33739.333333333336</v>
      </c>
      <c r="N20" s="105">
        <f>IFERROR(INDEX(Minutes_by_use_case!$C$2:$C$9,MATCH($B20,Minutes_by_use_case!$A$2:$A$9,0)),"-")</f>
        <v>33739.333333333336</v>
      </c>
      <c r="O20" s="105">
        <f>IFERROR(INDEX(Minutes_by_use_case!$C$2:$C$9,MATCH($B20,Minutes_by_use_case!$A$2:$A$9,0)),"-")</f>
        <v>33739.333333333336</v>
      </c>
      <c r="P20" s="105">
        <f>IFERROR(INDEX(Minutes_by_use_case!$C$2:$C$9,MATCH($B20,Minutes_by_use_case!$A$2:$A$9,0)),"-")</f>
        <v>33739.333333333336</v>
      </c>
      <c r="Q20" s="105">
        <f>IFERROR(INDEX(Minutes_by_use_case!$C$2:$C$9,MATCH($B20,Minutes_by_use_case!$A$2:$A$9,0)),"-")</f>
        <v>33739.333333333336</v>
      </c>
      <c r="R20" s="105">
        <f>IFERROR(INDEX(Minutes_by_use_case!$C$2:$C$9,MATCH($B20,Minutes_by_use_case!$A$2:$A$9,0)),"-")</f>
        <v>33739.333333333336</v>
      </c>
      <c r="S20" s="105">
        <f>IFERROR(INDEX(Minutes_by_use_case!$C$2:$C$9,MATCH($B20,Minutes_by_use_case!$A$2:$A$9,0)),"-")</f>
        <v>33739.333333333336</v>
      </c>
      <c r="T20" s="105">
        <f>IFERROR(INDEX(Minutes_by_use_case!$C$2:$C$9,MATCH($B20,Minutes_by_use_case!$A$2:$A$9,0)),"-")</f>
        <v>33739.333333333336</v>
      </c>
      <c r="U20" s="105">
        <f>IFERROR(INDEX(Minutes_by_use_case!$C$2:$C$9,MATCH($B20,Minutes_by_use_case!$A$2:$A$9,0)),"-")</f>
        <v>33739.333333333336</v>
      </c>
      <c r="V20" s="105">
        <f>IFERROR(INDEX(Minutes_by_use_case!$C$2:$C$9,MATCH($B20,Minutes_by_use_case!$A$2:$A$9,0)),"-")</f>
        <v>33739.333333333336</v>
      </c>
    </row>
    <row r="21" spans="1:22" x14ac:dyDescent="0.25">
      <c r="A21" s="29" t="s">
        <v>61</v>
      </c>
      <c r="B21" s="29" t="s">
        <v>42</v>
      </c>
      <c r="C21" s="105">
        <f>IFERROR(INDEX(Minutes_by_use_case!$C$2:$C$9,MATCH($B21,Minutes_by_use_case!$A$2:$A$9,0)),"-")</f>
        <v>2294</v>
      </c>
      <c r="D21" s="105">
        <f>IFERROR(INDEX(Minutes_by_use_case!$C$2:$C$9,MATCH($B21,Minutes_by_use_case!$A$2:$A$9,0)),"-")</f>
        <v>2294</v>
      </c>
      <c r="E21" s="105">
        <f>IFERROR(INDEX(Minutes_by_use_case!$C$2:$C$9,MATCH($B21,Minutes_by_use_case!$A$2:$A$9,0)),"-")</f>
        <v>2294</v>
      </c>
      <c r="F21" s="105">
        <f>IFERROR(INDEX(Minutes_by_use_case!$C$2:$C$9,MATCH($B21,Minutes_by_use_case!$A$2:$A$9,0)),"-")</f>
        <v>2294</v>
      </c>
      <c r="G21" s="105">
        <f>IFERROR(INDEX(Minutes_by_use_case!$C$2:$C$9,MATCH($B21,Minutes_by_use_case!$A$2:$A$9,0)),"-")</f>
        <v>2294</v>
      </c>
      <c r="H21" s="105">
        <f>IFERROR(INDEX(Minutes_by_use_case!$C$2:$C$9,MATCH($B21,Minutes_by_use_case!$A$2:$A$9,0)),"-")</f>
        <v>2294</v>
      </c>
      <c r="I21" s="105">
        <f>IFERROR(INDEX(Minutes_by_use_case!$C$2:$C$9,MATCH($B21,Minutes_by_use_case!$A$2:$A$9,0)),"-")</f>
        <v>2294</v>
      </c>
      <c r="J21" s="105">
        <f>IFERROR(INDEX(Minutes_by_use_case!$C$2:$C$9,MATCH($B21,Minutes_by_use_case!$A$2:$A$9,0)),"-")</f>
        <v>2294</v>
      </c>
      <c r="K21" s="105">
        <f>IFERROR(INDEX(Minutes_by_use_case!$C$2:$C$9,MATCH($B21,Minutes_by_use_case!$A$2:$A$9,0)),"-")</f>
        <v>2294</v>
      </c>
      <c r="L21" s="105">
        <f>IFERROR(INDEX(Minutes_by_use_case!$C$2:$C$9,MATCH($B21,Minutes_by_use_case!$A$2:$A$9,0)),"-")</f>
        <v>2294</v>
      </c>
      <c r="M21" s="105">
        <f>IFERROR(INDEX(Minutes_by_use_case!$C$2:$C$9,MATCH($B21,Minutes_by_use_case!$A$2:$A$9,0)),"-")</f>
        <v>2294</v>
      </c>
      <c r="N21" s="105">
        <f>IFERROR(INDEX(Minutes_by_use_case!$C$2:$C$9,MATCH($B21,Minutes_by_use_case!$A$2:$A$9,0)),"-")</f>
        <v>2294</v>
      </c>
      <c r="O21" s="105">
        <f>IFERROR(INDEX(Minutes_by_use_case!$C$2:$C$9,MATCH($B21,Minutes_by_use_case!$A$2:$A$9,0)),"-")</f>
        <v>2294</v>
      </c>
      <c r="P21" s="105">
        <f>IFERROR(INDEX(Minutes_by_use_case!$C$2:$C$9,MATCH($B21,Minutes_by_use_case!$A$2:$A$9,0)),"-")</f>
        <v>2294</v>
      </c>
      <c r="Q21" s="105">
        <f>IFERROR(INDEX(Minutes_by_use_case!$C$2:$C$9,MATCH($B21,Minutes_by_use_case!$A$2:$A$9,0)),"-")</f>
        <v>2294</v>
      </c>
      <c r="R21" s="105">
        <f>IFERROR(INDEX(Minutes_by_use_case!$C$2:$C$9,MATCH($B21,Minutes_by_use_case!$A$2:$A$9,0)),"-")</f>
        <v>2294</v>
      </c>
      <c r="S21" s="105">
        <f>IFERROR(INDEX(Minutes_by_use_case!$C$2:$C$9,MATCH($B21,Minutes_by_use_case!$A$2:$A$9,0)),"-")</f>
        <v>2294</v>
      </c>
      <c r="T21" s="105">
        <f>IFERROR(INDEX(Minutes_by_use_case!$C$2:$C$9,MATCH($B21,Minutes_by_use_case!$A$2:$A$9,0)),"-")</f>
        <v>2294</v>
      </c>
      <c r="U21" s="105">
        <f>IFERROR(INDEX(Minutes_by_use_case!$C$2:$C$9,MATCH($B21,Minutes_by_use_case!$A$2:$A$9,0)),"-")</f>
        <v>2294</v>
      </c>
      <c r="V21" s="105">
        <f>IFERROR(INDEX(Minutes_by_use_case!$C$2:$C$9,MATCH($B21,Minutes_by_use_case!$A$2:$A$9,0)),"-")</f>
        <v>2294</v>
      </c>
    </row>
    <row r="22" spans="1:22" x14ac:dyDescent="0.25">
      <c r="A22" s="29" t="s">
        <v>108</v>
      </c>
      <c r="B22" s="29" t="s">
        <v>40</v>
      </c>
      <c r="C22" s="105">
        <f>IFERROR(INDEX(Minutes_by_use_case!$C$2:$C$9,MATCH($B22,Minutes_by_use_case!$A$2:$A$9,0)),"-")</f>
        <v>2364.2857142857142</v>
      </c>
      <c r="D22" s="105">
        <f>IFERROR(INDEX(Minutes_by_use_case!$C$2:$C$9,MATCH($B22,Minutes_by_use_case!$A$2:$A$9,0)),"-")</f>
        <v>2364.2857142857142</v>
      </c>
      <c r="E22" s="105">
        <f>IFERROR(INDEX(Minutes_by_use_case!$C$2:$C$9,MATCH($B22,Minutes_by_use_case!$A$2:$A$9,0)),"-")</f>
        <v>2364.2857142857142</v>
      </c>
      <c r="F22" s="105">
        <f>IFERROR(INDEX(Minutes_by_use_case!$C$2:$C$9,MATCH($B22,Minutes_by_use_case!$A$2:$A$9,0)),"-")</f>
        <v>2364.2857142857142</v>
      </c>
      <c r="G22" s="105">
        <f>IFERROR(INDEX(Minutes_by_use_case!$C$2:$C$9,MATCH($B22,Minutes_by_use_case!$A$2:$A$9,0)),"-")</f>
        <v>2364.2857142857142</v>
      </c>
      <c r="H22" s="105">
        <f>IFERROR(INDEX(Minutes_by_use_case!$C$2:$C$9,MATCH($B22,Minutes_by_use_case!$A$2:$A$9,0)),"-")</f>
        <v>2364.2857142857142</v>
      </c>
      <c r="I22" s="105">
        <f>IFERROR(INDEX(Minutes_by_use_case!$C$2:$C$9,MATCH($B22,Minutes_by_use_case!$A$2:$A$9,0)),"-")</f>
        <v>2364.2857142857142</v>
      </c>
      <c r="J22" s="105">
        <f>IFERROR(INDEX(Minutes_by_use_case!$C$2:$C$9,MATCH($B22,Minutes_by_use_case!$A$2:$A$9,0)),"-")</f>
        <v>2364.2857142857142</v>
      </c>
      <c r="K22" s="105">
        <f>IFERROR(INDEX(Minutes_by_use_case!$C$2:$C$9,MATCH($B22,Minutes_by_use_case!$A$2:$A$9,0)),"-")</f>
        <v>2364.2857142857142</v>
      </c>
      <c r="L22" s="105">
        <f>IFERROR(INDEX(Minutes_by_use_case!$C$2:$C$9,MATCH($B22,Minutes_by_use_case!$A$2:$A$9,0)),"-")</f>
        <v>2364.2857142857142</v>
      </c>
      <c r="M22" s="105">
        <f>IFERROR(INDEX(Minutes_by_use_case!$C$2:$C$9,MATCH($B22,Minutes_by_use_case!$A$2:$A$9,0)),"-")</f>
        <v>2364.2857142857142</v>
      </c>
      <c r="N22" s="105">
        <f>IFERROR(INDEX(Minutes_by_use_case!$C$2:$C$9,MATCH($B22,Minutes_by_use_case!$A$2:$A$9,0)),"-")</f>
        <v>2364.2857142857142</v>
      </c>
      <c r="O22" s="105">
        <f>IFERROR(INDEX(Minutes_by_use_case!$C$2:$C$9,MATCH($B22,Minutes_by_use_case!$A$2:$A$9,0)),"-")</f>
        <v>2364.2857142857142</v>
      </c>
      <c r="P22" s="105">
        <f>IFERROR(INDEX(Minutes_by_use_case!$C$2:$C$9,MATCH($B22,Minutes_by_use_case!$A$2:$A$9,0)),"-")</f>
        <v>2364.2857142857142</v>
      </c>
      <c r="Q22" s="105">
        <f>IFERROR(INDEX(Minutes_by_use_case!$C$2:$C$9,MATCH($B22,Minutes_by_use_case!$A$2:$A$9,0)),"-")</f>
        <v>2364.2857142857142</v>
      </c>
      <c r="R22" s="105">
        <f>IFERROR(INDEX(Minutes_by_use_case!$C$2:$C$9,MATCH($B22,Minutes_by_use_case!$A$2:$A$9,0)),"-")</f>
        <v>2364.2857142857142</v>
      </c>
      <c r="S22" s="105">
        <f>IFERROR(INDEX(Minutes_by_use_case!$C$2:$C$9,MATCH($B22,Minutes_by_use_case!$A$2:$A$9,0)),"-")</f>
        <v>2364.2857142857142</v>
      </c>
      <c r="T22" s="105">
        <f>IFERROR(INDEX(Minutes_by_use_case!$C$2:$C$9,MATCH($B22,Minutes_by_use_case!$A$2:$A$9,0)),"-")</f>
        <v>2364.2857142857142</v>
      </c>
      <c r="U22" s="105">
        <f>IFERROR(INDEX(Minutes_by_use_case!$C$2:$C$9,MATCH($B22,Minutes_by_use_case!$A$2:$A$9,0)),"-")</f>
        <v>2364.2857142857142</v>
      </c>
      <c r="V22" s="105">
        <f>IFERROR(INDEX(Minutes_by_use_case!$C$2:$C$9,MATCH($B22,Minutes_by_use_case!$A$2:$A$9,0)),"-")</f>
        <v>2364.2857142857142</v>
      </c>
    </row>
    <row r="23" spans="1:22" x14ac:dyDescent="0.25">
      <c r="A23" s="29" t="s">
        <v>109</v>
      </c>
      <c r="B23" s="29" t="s">
        <v>40</v>
      </c>
      <c r="C23" s="105">
        <f>IFERROR(INDEX(Minutes_by_use_case!$C$2:$C$9,MATCH($B23,Minutes_by_use_case!$A$2:$A$9,0)),"-")</f>
        <v>2364.2857142857142</v>
      </c>
      <c r="D23" s="105">
        <f>IFERROR(INDEX(Minutes_by_use_case!$C$2:$C$9,MATCH($B23,Minutes_by_use_case!$A$2:$A$9,0)),"-")</f>
        <v>2364.2857142857142</v>
      </c>
      <c r="E23" s="105">
        <f>IFERROR(INDEX(Minutes_by_use_case!$C$2:$C$9,MATCH($B23,Minutes_by_use_case!$A$2:$A$9,0)),"-")</f>
        <v>2364.2857142857142</v>
      </c>
      <c r="F23" s="105">
        <f>IFERROR(INDEX(Minutes_by_use_case!$C$2:$C$9,MATCH($B23,Minutes_by_use_case!$A$2:$A$9,0)),"-")</f>
        <v>2364.2857142857142</v>
      </c>
      <c r="G23" s="105">
        <f>IFERROR(INDEX(Minutes_by_use_case!$C$2:$C$9,MATCH($B23,Minutes_by_use_case!$A$2:$A$9,0)),"-")</f>
        <v>2364.2857142857142</v>
      </c>
      <c r="H23" s="105">
        <f>IFERROR(INDEX(Minutes_by_use_case!$C$2:$C$9,MATCH($B23,Minutes_by_use_case!$A$2:$A$9,0)),"-")</f>
        <v>2364.2857142857142</v>
      </c>
      <c r="I23" s="105">
        <f>IFERROR(INDEX(Minutes_by_use_case!$C$2:$C$9,MATCH($B23,Minutes_by_use_case!$A$2:$A$9,0)),"-")</f>
        <v>2364.2857142857142</v>
      </c>
      <c r="J23" s="105">
        <f>IFERROR(INDEX(Minutes_by_use_case!$C$2:$C$9,MATCH($B23,Minutes_by_use_case!$A$2:$A$9,0)),"-")</f>
        <v>2364.2857142857142</v>
      </c>
      <c r="K23" s="105">
        <f>IFERROR(INDEX(Minutes_by_use_case!$C$2:$C$9,MATCH($B23,Minutes_by_use_case!$A$2:$A$9,0)),"-")</f>
        <v>2364.2857142857142</v>
      </c>
      <c r="L23" s="105">
        <f>IFERROR(INDEX(Minutes_by_use_case!$C$2:$C$9,MATCH($B23,Minutes_by_use_case!$A$2:$A$9,0)),"-")</f>
        <v>2364.2857142857142</v>
      </c>
      <c r="M23" s="105">
        <f>IFERROR(INDEX(Minutes_by_use_case!$C$2:$C$9,MATCH($B23,Minutes_by_use_case!$A$2:$A$9,0)),"-")</f>
        <v>2364.2857142857142</v>
      </c>
      <c r="N23" s="105">
        <f>IFERROR(INDEX(Minutes_by_use_case!$C$2:$C$9,MATCH($B23,Minutes_by_use_case!$A$2:$A$9,0)),"-")</f>
        <v>2364.2857142857142</v>
      </c>
      <c r="O23" s="105">
        <f>IFERROR(INDEX(Minutes_by_use_case!$C$2:$C$9,MATCH($B23,Minutes_by_use_case!$A$2:$A$9,0)),"-")</f>
        <v>2364.2857142857142</v>
      </c>
      <c r="P23" s="105">
        <f>IFERROR(INDEX(Minutes_by_use_case!$C$2:$C$9,MATCH($B23,Minutes_by_use_case!$A$2:$A$9,0)),"-")</f>
        <v>2364.2857142857142</v>
      </c>
      <c r="Q23" s="105">
        <f>IFERROR(INDEX(Minutes_by_use_case!$C$2:$C$9,MATCH($B23,Minutes_by_use_case!$A$2:$A$9,0)),"-")</f>
        <v>2364.2857142857142</v>
      </c>
      <c r="R23" s="105">
        <f>IFERROR(INDEX(Minutes_by_use_case!$C$2:$C$9,MATCH($B23,Minutes_by_use_case!$A$2:$A$9,0)),"-")</f>
        <v>2364.2857142857142</v>
      </c>
      <c r="S23" s="105">
        <f>IFERROR(INDEX(Minutes_by_use_case!$C$2:$C$9,MATCH($B23,Minutes_by_use_case!$A$2:$A$9,0)),"-")</f>
        <v>2364.2857142857142</v>
      </c>
      <c r="T23" s="105">
        <f>IFERROR(INDEX(Minutes_by_use_case!$C$2:$C$9,MATCH($B23,Minutes_by_use_case!$A$2:$A$9,0)),"-")</f>
        <v>2364.2857142857142</v>
      </c>
      <c r="U23" s="105">
        <f>IFERROR(INDEX(Minutes_by_use_case!$C$2:$C$9,MATCH($B23,Minutes_by_use_case!$A$2:$A$9,0)),"-")</f>
        <v>2364.2857142857142</v>
      </c>
      <c r="V23" s="105">
        <f>IFERROR(INDEX(Minutes_by_use_case!$C$2:$C$9,MATCH($B23,Minutes_by_use_case!$A$2:$A$9,0)),"-")</f>
        <v>2364.2857142857142</v>
      </c>
    </row>
    <row r="24" spans="1:22" x14ac:dyDescent="0.25">
      <c r="A24" s="29" t="s">
        <v>110</v>
      </c>
      <c r="B24" s="29" t="s">
        <v>40</v>
      </c>
      <c r="C24" s="105">
        <f>IFERROR(INDEX(Minutes_by_use_case!$C$2:$C$9,MATCH($B24,Minutes_by_use_case!$A$2:$A$9,0)),"-")</f>
        <v>2364.2857142857142</v>
      </c>
      <c r="D24" s="105">
        <f>IFERROR(INDEX(Minutes_by_use_case!$C$2:$C$9,MATCH($B24,Minutes_by_use_case!$A$2:$A$9,0)),"-")</f>
        <v>2364.2857142857142</v>
      </c>
      <c r="E24" s="105">
        <f>IFERROR(INDEX(Minutes_by_use_case!$C$2:$C$9,MATCH($B24,Minutes_by_use_case!$A$2:$A$9,0)),"-")</f>
        <v>2364.2857142857142</v>
      </c>
      <c r="F24" s="105">
        <f>IFERROR(INDEX(Minutes_by_use_case!$C$2:$C$9,MATCH($B24,Minutes_by_use_case!$A$2:$A$9,0)),"-")</f>
        <v>2364.2857142857142</v>
      </c>
      <c r="G24" s="105">
        <f>IFERROR(INDEX(Minutes_by_use_case!$C$2:$C$9,MATCH($B24,Minutes_by_use_case!$A$2:$A$9,0)),"-")</f>
        <v>2364.2857142857142</v>
      </c>
      <c r="H24" s="105">
        <f>IFERROR(INDEX(Minutes_by_use_case!$C$2:$C$9,MATCH($B24,Minutes_by_use_case!$A$2:$A$9,0)),"-")</f>
        <v>2364.2857142857142</v>
      </c>
      <c r="I24" s="105">
        <f>IFERROR(INDEX(Minutes_by_use_case!$C$2:$C$9,MATCH($B24,Minutes_by_use_case!$A$2:$A$9,0)),"-")</f>
        <v>2364.2857142857142</v>
      </c>
      <c r="J24" s="105">
        <f>IFERROR(INDEX(Minutes_by_use_case!$C$2:$C$9,MATCH($B24,Minutes_by_use_case!$A$2:$A$9,0)),"-")</f>
        <v>2364.2857142857142</v>
      </c>
      <c r="K24" s="105">
        <f>IFERROR(INDEX(Minutes_by_use_case!$C$2:$C$9,MATCH($B24,Minutes_by_use_case!$A$2:$A$9,0)),"-")</f>
        <v>2364.2857142857142</v>
      </c>
      <c r="L24" s="105">
        <f>IFERROR(INDEX(Minutes_by_use_case!$C$2:$C$9,MATCH($B24,Minutes_by_use_case!$A$2:$A$9,0)),"-")</f>
        <v>2364.2857142857142</v>
      </c>
      <c r="M24" s="105">
        <f>IFERROR(INDEX(Minutes_by_use_case!$C$2:$C$9,MATCH($B24,Minutes_by_use_case!$A$2:$A$9,0)),"-")</f>
        <v>2364.2857142857142</v>
      </c>
      <c r="N24" s="105">
        <f>IFERROR(INDEX(Minutes_by_use_case!$C$2:$C$9,MATCH($B24,Minutes_by_use_case!$A$2:$A$9,0)),"-")</f>
        <v>2364.2857142857142</v>
      </c>
      <c r="O24" s="105">
        <f>IFERROR(INDEX(Minutes_by_use_case!$C$2:$C$9,MATCH($B24,Minutes_by_use_case!$A$2:$A$9,0)),"-")</f>
        <v>2364.2857142857142</v>
      </c>
      <c r="P24" s="105">
        <f>IFERROR(INDEX(Minutes_by_use_case!$C$2:$C$9,MATCH($B24,Minutes_by_use_case!$A$2:$A$9,0)),"-")</f>
        <v>2364.2857142857142</v>
      </c>
      <c r="Q24" s="105">
        <f>IFERROR(INDEX(Minutes_by_use_case!$C$2:$C$9,MATCH($B24,Minutes_by_use_case!$A$2:$A$9,0)),"-")</f>
        <v>2364.2857142857142</v>
      </c>
      <c r="R24" s="105">
        <f>IFERROR(INDEX(Minutes_by_use_case!$C$2:$C$9,MATCH($B24,Minutes_by_use_case!$A$2:$A$9,0)),"-")</f>
        <v>2364.2857142857142</v>
      </c>
      <c r="S24" s="105">
        <f>IFERROR(INDEX(Minutes_by_use_case!$C$2:$C$9,MATCH($B24,Minutes_by_use_case!$A$2:$A$9,0)),"-")</f>
        <v>2364.2857142857142</v>
      </c>
      <c r="T24" s="105">
        <f>IFERROR(INDEX(Minutes_by_use_case!$C$2:$C$9,MATCH($B24,Minutes_by_use_case!$A$2:$A$9,0)),"-")</f>
        <v>2364.2857142857142</v>
      </c>
      <c r="U24" s="105">
        <f>IFERROR(INDEX(Minutes_by_use_case!$C$2:$C$9,MATCH($B24,Minutes_by_use_case!$A$2:$A$9,0)),"-")</f>
        <v>2364.2857142857142</v>
      </c>
      <c r="V24" s="105">
        <f>IFERROR(INDEX(Minutes_by_use_case!$C$2:$C$9,MATCH($B24,Minutes_by_use_case!$A$2:$A$9,0)),"-")</f>
        <v>2364.2857142857142</v>
      </c>
    </row>
    <row r="25" spans="1:22" x14ac:dyDescent="0.25">
      <c r="A25" s="29" t="s">
        <v>111</v>
      </c>
      <c r="B25" s="29" t="s">
        <v>40</v>
      </c>
      <c r="C25" s="105">
        <f>IFERROR(INDEX(Minutes_by_use_case!$C$2:$C$9,MATCH($B25,Minutes_by_use_case!$A$2:$A$9,0)),"-")</f>
        <v>2364.2857142857142</v>
      </c>
      <c r="D25" s="105">
        <f>IFERROR(INDEX(Minutes_by_use_case!$C$2:$C$9,MATCH($B25,Minutes_by_use_case!$A$2:$A$9,0)),"-")</f>
        <v>2364.2857142857142</v>
      </c>
      <c r="E25" s="105">
        <f>IFERROR(INDEX(Minutes_by_use_case!$C$2:$C$9,MATCH($B25,Minutes_by_use_case!$A$2:$A$9,0)),"-")</f>
        <v>2364.2857142857142</v>
      </c>
      <c r="F25" s="105">
        <f>IFERROR(INDEX(Minutes_by_use_case!$C$2:$C$9,MATCH($B25,Minutes_by_use_case!$A$2:$A$9,0)),"-")</f>
        <v>2364.2857142857142</v>
      </c>
      <c r="G25" s="105">
        <f>IFERROR(INDEX(Minutes_by_use_case!$C$2:$C$9,MATCH($B25,Minutes_by_use_case!$A$2:$A$9,0)),"-")</f>
        <v>2364.2857142857142</v>
      </c>
      <c r="H25" s="105">
        <f>IFERROR(INDEX(Minutes_by_use_case!$C$2:$C$9,MATCH($B25,Minutes_by_use_case!$A$2:$A$9,0)),"-")</f>
        <v>2364.2857142857142</v>
      </c>
      <c r="I25" s="105">
        <f>IFERROR(INDEX(Minutes_by_use_case!$C$2:$C$9,MATCH($B25,Minutes_by_use_case!$A$2:$A$9,0)),"-")</f>
        <v>2364.2857142857142</v>
      </c>
      <c r="J25" s="105">
        <f>IFERROR(INDEX(Minutes_by_use_case!$C$2:$C$9,MATCH($B25,Minutes_by_use_case!$A$2:$A$9,0)),"-")</f>
        <v>2364.2857142857142</v>
      </c>
      <c r="K25" s="105">
        <f>IFERROR(INDEX(Minutes_by_use_case!$C$2:$C$9,MATCH($B25,Minutes_by_use_case!$A$2:$A$9,0)),"-")</f>
        <v>2364.2857142857142</v>
      </c>
      <c r="L25" s="105">
        <f>IFERROR(INDEX(Minutes_by_use_case!$C$2:$C$9,MATCH($B25,Minutes_by_use_case!$A$2:$A$9,0)),"-")</f>
        <v>2364.2857142857142</v>
      </c>
      <c r="M25" s="105">
        <f>IFERROR(INDEX(Minutes_by_use_case!$C$2:$C$9,MATCH($B25,Minutes_by_use_case!$A$2:$A$9,0)),"-")</f>
        <v>2364.2857142857142</v>
      </c>
      <c r="N25" s="105">
        <f>IFERROR(INDEX(Minutes_by_use_case!$C$2:$C$9,MATCH($B25,Minutes_by_use_case!$A$2:$A$9,0)),"-")</f>
        <v>2364.2857142857142</v>
      </c>
      <c r="O25" s="105">
        <f>IFERROR(INDEX(Minutes_by_use_case!$C$2:$C$9,MATCH($B25,Minutes_by_use_case!$A$2:$A$9,0)),"-")</f>
        <v>2364.2857142857142</v>
      </c>
      <c r="P25" s="105">
        <f>IFERROR(INDEX(Minutes_by_use_case!$C$2:$C$9,MATCH($B25,Minutes_by_use_case!$A$2:$A$9,0)),"-")</f>
        <v>2364.2857142857142</v>
      </c>
      <c r="Q25" s="105">
        <f>IFERROR(INDEX(Minutes_by_use_case!$C$2:$C$9,MATCH($B25,Minutes_by_use_case!$A$2:$A$9,0)),"-")</f>
        <v>2364.2857142857142</v>
      </c>
      <c r="R25" s="105">
        <f>IFERROR(INDEX(Minutes_by_use_case!$C$2:$C$9,MATCH($B25,Minutes_by_use_case!$A$2:$A$9,0)),"-")</f>
        <v>2364.2857142857142</v>
      </c>
      <c r="S25" s="105">
        <f>IFERROR(INDEX(Minutes_by_use_case!$C$2:$C$9,MATCH($B25,Minutes_by_use_case!$A$2:$A$9,0)),"-")</f>
        <v>2364.2857142857142</v>
      </c>
      <c r="T25" s="105">
        <f>IFERROR(INDEX(Minutes_by_use_case!$C$2:$C$9,MATCH($B25,Minutes_by_use_case!$A$2:$A$9,0)),"-")</f>
        <v>2364.2857142857142</v>
      </c>
      <c r="U25" s="105">
        <f>IFERROR(INDEX(Minutes_by_use_case!$C$2:$C$9,MATCH($B25,Minutes_by_use_case!$A$2:$A$9,0)),"-")</f>
        <v>2364.2857142857142</v>
      </c>
      <c r="V25" s="105">
        <f>IFERROR(INDEX(Minutes_by_use_case!$C$2:$C$9,MATCH($B25,Minutes_by_use_case!$A$2:$A$9,0)),"-")</f>
        <v>2364.2857142857142</v>
      </c>
    </row>
    <row r="26" spans="1:22" x14ac:dyDescent="0.25">
      <c r="A26" s="29" t="s">
        <v>27</v>
      </c>
      <c r="B26" s="29" t="s">
        <v>45</v>
      </c>
      <c r="C26" s="105">
        <f>IFERROR(INDEX(Minutes_by_use_case!$C$2:$C$9,MATCH($B26,Minutes_by_use_case!$A$2:$A$9,0)),"-")</f>
        <v>33739.333333333336</v>
      </c>
      <c r="D26" s="105">
        <f>IFERROR(INDEX(Minutes_by_use_case!$C$2:$C$9,MATCH($B26,Minutes_by_use_case!$A$2:$A$9,0)),"-")</f>
        <v>33739.333333333336</v>
      </c>
      <c r="E26" s="105">
        <f>IFERROR(INDEX(Minutes_by_use_case!$C$2:$C$9,MATCH($B26,Minutes_by_use_case!$A$2:$A$9,0)),"-")</f>
        <v>33739.333333333336</v>
      </c>
      <c r="F26" s="105">
        <f>IFERROR(INDEX(Minutes_by_use_case!$C$2:$C$9,MATCH($B26,Minutes_by_use_case!$A$2:$A$9,0)),"-")</f>
        <v>33739.333333333336</v>
      </c>
      <c r="G26" s="105">
        <f>IFERROR(INDEX(Minutes_by_use_case!$C$2:$C$9,MATCH($B26,Minutes_by_use_case!$A$2:$A$9,0)),"-")</f>
        <v>33739.333333333336</v>
      </c>
      <c r="H26" s="105">
        <f>IFERROR(INDEX(Minutes_by_use_case!$C$2:$C$9,MATCH($B26,Minutes_by_use_case!$A$2:$A$9,0)),"-")</f>
        <v>33739.333333333336</v>
      </c>
      <c r="I26" s="105">
        <f>IFERROR(INDEX(Minutes_by_use_case!$C$2:$C$9,MATCH($B26,Minutes_by_use_case!$A$2:$A$9,0)),"-")</f>
        <v>33739.333333333336</v>
      </c>
      <c r="J26" s="105">
        <f>IFERROR(INDEX(Minutes_by_use_case!$C$2:$C$9,MATCH($B26,Minutes_by_use_case!$A$2:$A$9,0)),"-")</f>
        <v>33739.333333333336</v>
      </c>
      <c r="K26" s="105">
        <f>IFERROR(INDEX(Minutes_by_use_case!$C$2:$C$9,MATCH($B26,Minutes_by_use_case!$A$2:$A$9,0)),"-")</f>
        <v>33739.333333333336</v>
      </c>
      <c r="L26" s="105">
        <f>IFERROR(INDEX(Minutes_by_use_case!$C$2:$C$9,MATCH($B26,Minutes_by_use_case!$A$2:$A$9,0)),"-")</f>
        <v>33739.333333333336</v>
      </c>
      <c r="M26" s="105">
        <f>IFERROR(INDEX(Minutes_by_use_case!$C$2:$C$9,MATCH($B26,Minutes_by_use_case!$A$2:$A$9,0)),"-")</f>
        <v>33739.333333333336</v>
      </c>
      <c r="N26" s="105">
        <f>IFERROR(INDEX(Minutes_by_use_case!$C$2:$C$9,MATCH($B26,Minutes_by_use_case!$A$2:$A$9,0)),"-")</f>
        <v>33739.333333333336</v>
      </c>
      <c r="O26" s="105">
        <f>IFERROR(INDEX(Minutes_by_use_case!$C$2:$C$9,MATCH($B26,Minutes_by_use_case!$A$2:$A$9,0)),"-")</f>
        <v>33739.333333333336</v>
      </c>
      <c r="P26" s="105">
        <f>IFERROR(INDEX(Minutes_by_use_case!$C$2:$C$9,MATCH($B26,Minutes_by_use_case!$A$2:$A$9,0)),"-")</f>
        <v>33739.333333333336</v>
      </c>
      <c r="Q26" s="105">
        <f>IFERROR(INDEX(Minutes_by_use_case!$C$2:$C$9,MATCH($B26,Minutes_by_use_case!$A$2:$A$9,0)),"-")</f>
        <v>33739.333333333336</v>
      </c>
      <c r="R26" s="105">
        <f>IFERROR(INDEX(Minutes_by_use_case!$C$2:$C$9,MATCH($B26,Minutes_by_use_case!$A$2:$A$9,0)),"-")</f>
        <v>33739.333333333336</v>
      </c>
      <c r="S26" s="105">
        <f>IFERROR(INDEX(Minutes_by_use_case!$C$2:$C$9,MATCH($B26,Minutes_by_use_case!$A$2:$A$9,0)),"-")</f>
        <v>33739.333333333336</v>
      </c>
      <c r="T26" s="105">
        <f>IFERROR(INDEX(Minutes_by_use_case!$C$2:$C$9,MATCH($B26,Minutes_by_use_case!$A$2:$A$9,0)),"-")</f>
        <v>33739.333333333336</v>
      </c>
      <c r="U26" s="105">
        <f>IFERROR(INDEX(Minutes_by_use_case!$C$2:$C$9,MATCH($B26,Minutes_by_use_case!$A$2:$A$9,0)),"-")</f>
        <v>33739.333333333336</v>
      </c>
      <c r="V26" s="105">
        <f>IFERROR(INDEX(Minutes_by_use_case!$C$2:$C$9,MATCH($B26,Minutes_by_use_case!$A$2:$A$9,0)),"-")</f>
        <v>33739.333333333336</v>
      </c>
    </row>
    <row r="27" spans="1:22" x14ac:dyDescent="0.25">
      <c r="A27" s="29" t="s">
        <v>28</v>
      </c>
      <c r="B27" s="29" t="s">
        <v>41</v>
      </c>
      <c r="C27" s="105">
        <f>IFERROR(INDEX(Minutes_by_use_case!$C$2:$C$9,MATCH($B27,Minutes_by_use_case!$A$2:$A$9,0)),"-")</f>
        <v>66700.388888888891</v>
      </c>
      <c r="D27" s="105">
        <f>IFERROR(INDEX(Minutes_by_use_case!$C$2:$C$9,MATCH($B27,Minutes_by_use_case!$A$2:$A$9,0)),"-")</f>
        <v>66700.388888888891</v>
      </c>
      <c r="E27" s="105">
        <f>IFERROR(INDEX(Minutes_by_use_case!$C$2:$C$9,MATCH($B27,Minutes_by_use_case!$A$2:$A$9,0)),"-")</f>
        <v>66700.388888888891</v>
      </c>
      <c r="F27" s="105">
        <f>IFERROR(INDEX(Minutes_by_use_case!$C$2:$C$9,MATCH($B27,Minutes_by_use_case!$A$2:$A$9,0)),"-")</f>
        <v>66700.388888888891</v>
      </c>
      <c r="G27" s="105">
        <f>IFERROR(INDEX(Minutes_by_use_case!$C$2:$C$9,MATCH($B27,Minutes_by_use_case!$A$2:$A$9,0)),"-")</f>
        <v>66700.388888888891</v>
      </c>
      <c r="H27" s="105">
        <f>IFERROR(INDEX(Minutes_by_use_case!$C$2:$C$9,MATCH($B27,Minutes_by_use_case!$A$2:$A$9,0)),"-")</f>
        <v>66700.388888888891</v>
      </c>
      <c r="I27" s="105">
        <f>IFERROR(INDEX(Minutes_by_use_case!$C$2:$C$9,MATCH($B27,Minutes_by_use_case!$A$2:$A$9,0)),"-")</f>
        <v>66700.388888888891</v>
      </c>
      <c r="J27" s="105">
        <f>IFERROR(INDEX(Minutes_by_use_case!$C$2:$C$9,MATCH($B27,Minutes_by_use_case!$A$2:$A$9,0)),"-")</f>
        <v>66700.388888888891</v>
      </c>
      <c r="K27" s="105">
        <f>IFERROR(INDEX(Minutes_by_use_case!$C$2:$C$9,MATCH($B27,Minutes_by_use_case!$A$2:$A$9,0)),"-")</f>
        <v>66700.388888888891</v>
      </c>
      <c r="L27" s="105">
        <f>IFERROR(INDEX(Minutes_by_use_case!$C$2:$C$9,MATCH($B27,Minutes_by_use_case!$A$2:$A$9,0)),"-")</f>
        <v>66700.388888888891</v>
      </c>
      <c r="M27" s="105">
        <f>IFERROR(INDEX(Minutes_by_use_case!$C$2:$C$9,MATCH($B27,Minutes_by_use_case!$A$2:$A$9,0)),"-")</f>
        <v>66700.388888888891</v>
      </c>
      <c r="N27" s="105">
        <f>IFERROR(INDEX(Minutes_by_use_case!$C$2:$C$9,MATCH($B27,Minutes_by_use_case!$A$2:$A$9,0)),"-")</f>
        <v>66700.388888888891</v>
      </c>
      <c r="O27" s="105">
        <f>IFERROR(INDEX(Minutes_by_use_case!$C$2:$C$9,MATCH($B27,Minutes_by_use_case!$A$2:$A$9,0)),"-")</f>
        <v>66700.388888888891</v>
      </c>
      <c r="P27" s="105">
        <f>IFERROR(INDEX(Minutes_by_use_case!$C$2:$C$9,MATCH($B27,Minutes_by_use_case!$A$2:$A$9,0)),"-")</f>
        <v>66700.388888888891</v>
      </c>
      <c r="Q27" s="105">
        <f>IFERROR(INDEX(Minutes_by_use_case!$C$2:$C$9,MATCH($B27,Minutes_by_use_case!$A$2:$A$9,0)),"-")</f>
        <v>66700.388888888891</v>
      </c>
      <c r="R27" s="105">
        <f>IFERROR(INDEX(Minutes_by_use_case!$C$2:$C$9,MATCH($B27,Minutes_by_use_case!$A$2:$A$9,0)),"-")</f>
        <v>66700.388888888891</v>
      </c>
      <c r="S27" s="105">
        <f>IFERROR(INDEX(Minutes_by_use_case!$C$2:$C$9,MATCH($B27,Minutes_by_use_case!$A$2:$A$9,0)),"-")</f>
        <v>66700.388888888891</v>
      </c>
      <c r="T27" s="105">
        <f>IFERROR(INDEX(Minutes_by_use_case!$C$2:$C$9,MATCH($B27,Minutes_by_use_case!$A$2:$A$9,0)),"-")</f>
        <v>66700.388888888891</v>
      </c>
      <c r="U27" s="105">
        <f>IFERROR(INDEX(Minutes_by_use_case!$C$2:$C$9,MATCH($B27,Minutes_by_use_case!$A$2:$A$9,0)),"-")</f>
        <v>66700.388888888891</v>
      </c>
      <c r="V27" s="105">
        <f>IFERROR(INDEX(Minutes_by_use_case!$C$2:$C$9,MATCH($B27,Minutes_by_use_case!$A$2:$A$9,0)),"-")</f>
        <v>66700.388888888891</v>
      </c>
    </row>
    <row r="28" spans="1:22" x14ac:dyDescent="0.25">
      <c r="A28" s="29" t="s">
        <v>62</v>
      </c>
      <c r="B28" s="29" t="s">
        <v>41</v>
      </c>
      <c r="C28" s="105">
        <f>IFERROR(INDEX(Minutes_by_use_case!$C$2:$C$9,MATCH($B28,Minutes_by_use_case!$A$2:$A$9,0)),"-")</f>
        <v>66700.388888888891</v>
      </c>
      <c r="D28" s="105">
        <f>IFERROR(INDEX(Minutes_by_use_case!$C$2:$C$9,MATCH($B28,Minutes_by_use_case!$A$2:$A$9,0)),"-")</f>
        <v>66700.388888888891</v>
      </c>
      <c r="E28" s="105">
        <f>IFERROR(INDEX(Minutes_by_use_case!$C$2:$C$9,MATCH($B28,Minutes_by_use_case!$A$2:$A$9,0)),"-")</f>
        <v>66700.388888888891</v>
      </c>
      <c r="F28" s="105">
        <f>IFERROR(INDEX(Minutes_by_use_case!$C$2:$C$9,MATCH($B28,Minutes_by_use_case!$A$2:$A$9,0)),"-")</f>
        <v>66700.388888888891</v>
      </c>
      <c r="G28" s="105">
        <f>IFERROR(INDEX(Minutes_by_use_case!$C$2:$C$9,MATCH($B28,Minutes_by_use_case!$A$2:$A$9,0)),"-")</f>
        <v>66700.388888888891</v>
      </c>
      <c r="H28" s="105">
        <f>IFERROR(INDEX(Minutes_by_use_case!$C$2:$C$9,MATCH($B28,Minutes_by_use_case!$A$2:$A$9,0)),"-")</f>
        <v>66700.388888888891</v>
      </c>
      <c r="I28" s="105">
        <f>IFERROR(INDEX(Minutes_by_use_case!$C$2:$C$9,MATCH($B28,Minutes_by_use_case!$A$2:$A$9,0)),"-")</f>
        <v>66700.388888888891</v>
      </c>
      <c r="J28" s="105">
        <f>IFERROR(INDEX(Minutes_by_use_case!$C$2:$C$9,MATCH($B28,Minutes_by_use_case!$A$2:$A$9,0)),"-")</f>
        <v>66700.388888888891</v>
      </c>
      <c r="K28" s="105">
        <f>IFERROR(INDEX(Minutes_by_use_case!$C$2:$C$9,MATCH($B28,Minutes_by_use_case!$A$2:$A$9,0)),"-")</f>
        <v>66700.388888888891</v>
      </c>
      <c r="L28" s="105">
        <f>IFERROR(INDEX(Minutes_by_use_case!$C$2:$C$9,MATCH($B28,Minutes_by_use_case!$A$2:$A$9,0)),"-")</f>
        <v>66700.388888888891</v>
      </c>
      <c r="M28" s="105">
        <f>IFERROR(INDEX(Minutes_by_use_case!$C$2:$C$9,MATCH($B28,Minutes_by_use_case!$A$2:$A$9,0)),"-")</f>
        <v>66700.388888888891</v>
      </c>
      <c r="N28" s="105">
        <f>IFERROR(INDEX(Minutes_by_use_case!$C$2:$C$9,MATCH($B28,Minutes_by_use_case!$A$2:$A$9,0)),"-")</f>
        <v>66700.388888888891</v>
      </c>
      <c r="O28" s="105">
        <f>IFERROR(INDEX(Minutes_by_use_case!$C$2:$C$9,MATCH($B28,Minutes_by_use_case!$A$2:$A$9,0)),"-")</f>
        <v>66700.388888888891</v>
      </c>
      <c r="P28" s="105">
        <f>IFERROR(INDEX(Minutes_by_use_case!$C$2:$C$9,MATCH($B28,Minutes_by_use_case!$A$2:$A$9,0)),"-")</f>
        <v>66700.388888888891</v>
      </c>
      <c r="Q28" s="105">
        <f>IFERROR(INDEX(Minutes_by_use_case!$C$2:$C$9,MATCH($B28,Minutes_by_use_case!$A$2:$A$9,0)),"-")</f>
        <v>66700.388888888891</v>
      </c>
      <c r="R28" s="105">
        <f>IFERROR(INDEX(Minutes_by_use_case!$C$2:$C$9,MATCH($B28,Minutes_by_use_case!$A$2:$A$9,0)),"-")</f>
        <v>66700.388888888891</v>
      </c>
      <c r="S28" s="105">
        <f>IFERROR(INDEX(Minutes_by_use_case!$C$2:$C$9,MATCH($B28,Minutes_by_use_case!$A$2:$A$9,0)),"-")</f>
        <v>66700.388888888891</v>
      </c>
      <c r="T28" s="105">
        <f>IFERROR(INDEX(Minutes_by_use_case!$C$2:$C$9,MATCH($B28,Minutes_by_use_case!$A$2:$A$9,0)),"-")</f>
        <v>66700.388888888891</v>
      </c>
      <c r="U28" s="105">
        <f>IFERROR(INDEX(Minutes_by_use_case!$C$2:$C$9,MATCH($B28,Minutes_by_use_case!$A$2:$A$9,0)),"-")</f>
        <v>66700.388888888891</v>
      </c>
      <c r="V28" s="105">
        <f>IFERROR(INDEX(Minutes_by_use_case!$C$2:$C$9,MATCH($B28,Minutes_by_use_case!$A$2:$A$9,0)),"-")</f>
        <v>66700.388888888891</v>
      </c>
    </row>
    <row r="29" spans="1:22" x14ac:dyDescent="0.25">
      <c r="A29" s="29" t="s">
        <v>29</v>
      </c>
      <c r="B29" s="29" t="s">
        <v>41</v>
      </c>
      <c r="C29" s="105">
        <f>IFERROR(INDEX(Minutes_by_use_case!$C$2:$C$9,MATCH($B29,Minutes_by_use_case!$A$2:$A$9,0)),"-")</f>
        <v>66700.388888888891</v>
      </c>
      <c r="D29" s="105">
        <f>IFERROR(INDEX(Minutes_by_use_case!$C$2:$C$9,MATCH($B29,Minutes_by_use_case!$A$2:$A$9,0)),"-")</f>
        <v>66700.388888888891</v>
      </c>
      <c r="E29" s="105">
        <f>IFERROR(INDEX(Minutes_by_use_case!$C$2:$C$9,MATCH($B29,Minutes_by_use_case!$A$2:$A$9,0)),"-")</f>
        <v>66700.388888888891</v>
      </c>
      <c r="F29" s="105">
        <f>IFERROR(INDEX(Minutes_by_use_case!$C$2:$C$9,MATCH($B29,Minutes_by_use_case!$A$2:$A$9,0)),"-")</f>
        <v>66700.388888888891</v>
      </c>
      <c r="G29" s="105">
        <f>IFERROR(INDEX(Minutes_by_use_case!$C$2:$C$9,MATCH($B29,Minutes_by_use_case!$A$2:$A$9,0)),"-")</f>
        <v>66700.388888888891</v>
      </c>
      <c r="H29" s="105">
        <f>IFERROR(INDEX(Minutes_by_use_case!$C$2:$C$9,MATCH($B29,Minutes_by_use_case!$A$2:$A$9,0)),"-")</f>
        <v>66700.388888888891</v>
      </c>
      <c r="I29" s="105">
        <f>IFERROR(INDEX(Minutes_by_use_case!$C$2:$C$9,MATCH($B29,Minutes_by_use_case!$A$2:$A$9,0)),"-")</f>
        <v>66700.388888888891</v>
      </c>
      <c r="J29" s="105">
        <f>IFERROR(INDEX(Minutes_by_use_case!$C$2:$C$9,MATCH($B29,Minutes_by_use_case!$A$2:$A$9,0)),"-")</f>
        <v>66700.388888888891</v>
      </c>
      <c r="K29" s="105">
        <f>IFERROR(INDEX(Minutes_by_use_case!$C$2:$C$9,MATCH($B29,Minutes_by_use_case!$A$2:$A$9,0)),"-")</f>
        <v>66700.388888888891</v>
      </c>
      <c r="L29" s="105">
        <f>IFERROR(INDEX(Minutes_by_use_case!$C$2:$C$9,MATCH($B29,Minutes_by_use_case!$A$2:$A$9,0)),"-")</f>
        <v>66700.388888888891</v>
      </c>
      <c r="M29" s="105">
        <f>IFERROR(INDEX(Minutes_by_use_case!$C$2:$C$9,MATCH($B29,Minutes_by_use_case!$A$2:$A$9,0)),"-")</f>
        <v>66700.388888888891</v>
      </c>
      <c r="N29" s="105">
        <f>IFERROR(INDEX(Minutes_by_use_case!$C$2:$C$9,MATCH($B29,Minutes_by_use_case!$A$2:$A$9,0)),"-")</f>
        <v>66700.388888888891</v>
      </c>
      <c r="O29" s="105">
        <f>IFERROR(INDEX(Minutes_by_use_case!$C$2:$C$9,MATCH($B29,Minutes_by_use_case!$A$2:$A$9,0)),"-")</f>
        <v>66700.388888888891</v>
      </c>
      <c r="P29" s="105">
        <f>IFERROR(INDEX(Minutes_by_use_case!$C$2:$C$9,MATCH($B29,Minutes_by_use_case!$A$2:$A$9,0)),"-")</f>
        <v>66700.388888888891</v>
      </c>
      <c r="Q29" s="105">
        <f>IFERROR(INDEX(Minutes_by_use_case!$C$2:$C$9,MATCH($B29,Minutes_by_use_case!$A$2:$A$9,0)),"-")</f>
        <v>66700.388888888891</v>
      </c>
      <c r="R29" s="105">
        <f>IFERROR(INDEX(Minutes_by_use_case!$C$2:$C$9,MATCH($B29,Minutes_by_use_case!$A$2:$A$9,0)),"-")</f>
        <v>66700.388888888891</v>
      </c>
      <c r="S29" s="105">
        <f>IFERROR(INDEX(Minutes_by_use_case!$C$2:$C$9,MATCH($B29,Minutes_by_use_case!$A$2:$A$9,0)),"-")</f>
        <v>66700.388888888891</v>
      </c>
      <c r="T29" s="105">
        <f>IFERROR(INDEX(Minutes_by_use_case!$C$2:$C$9,MATCH($B29,Minutes_by_use_case!$A$2:$A$9,0)),"-")</f>
        <v>66700.388888888891</v>
      </c>
      <c r="U29" s="105">
        <f>IFERROR(INDEX(Minutes_by_use_case!$C$2:$C$9,MATCH($B29,Minutes_by_use_case!$A$2:$A$9,0)),"-")</f>
        <v>66700.388888888891</v>
      </c>
      <c r="V29" s="105">
        <f>IFERROR(INDEX(Minutes_by_use_case!$C$2:$C$9,MATCH($B29,Minutes_by_use_case!$A$2:$A$9,0)),"-")</f>
        <v>66700.388888888891</v>
      </c>
    </row>
    <row r="30" spans="1:22" x14ac:dyDescent="0.25">
      <c r="A30" s="29" t="s">
        <v>30</v>
      </c>
      <c r="B30" s="29" t="s">
        <v>43</v>
      </c>
      <c r="C30" s="105">
        <f>IFERROR(INDEX(Minutes_by_use_case!$C$2:$C$9,MATCH($B30,Minutes_by_use_case!$A$2:$A$9,0)),"-")</f>
        <v>114879</v>
      </c>
      <c r="D30" s="105">
        <f>IFERROR(INDEX(Minutes_by_use_case!$C$2:$C$9,MATCH($B30,Minutes_by_use_case!$A$2:$A$9,0)),"-")</f>
        <v>114879</v>
      </c>
      <c r="E30" s="105">
        <f>IFERROR(INDEX(Minutes_by_use_case!$C$2:$C$9,MATCH($B30,Minutes_by_use_case!$A$2:$A$9,0)),"-")</f>
        <v>114879</v>
      </c>
      <c r="F30" s="105">
        <f>IFERROR(INDEX(Minutes_by_use_case!$C$2:$C$9,MATCH($B30,Minutes_by_use_case!$A$2:$A$9,0)),"-")</f>
        <v>114879</v>
      </c>
      <c r="G30" s="105">
        <f>IFERROR(INDEX(Minutes_by_use_case!$C$2:$C$9,MATCH($B30,Minutes_by_use_case!$A$2:$A$9,0)),"-")</f>
        <v>114879</v>
      </c>
      <c r="H30" s="105">
        <f>IFERROR(INDEX(Minutes_by_use_case!$C$2:$C$9,MATCH($B30,Minutes_by_use_case!$A$2:$A$9,0)),"-")</f>
        <v>114879</v>
      </c>
      <c r="I30" s="105">
        <f>IFERROR(INDEX(Minutes_by_use_case!$C$2:$C$9,MATCH($B30,Minutes_by_use_case!$A$2:$A$9,0)),"-")</f>
        <v>114879</v>
      </c>
      <c r="J30" s="105">
        <f>IFERROR(INDEX(Minutes_by_use_case!$C$2:$C$9,MATCH($B30,Minutes_by_use_case!$A$2:$A$9,0)),"-")</f>
        <v>114879</v>
      </c>
      <c r="K30" s="105">
        <f>IFERROR(INDEX(Minutes_by_use_case!$C$2:$C$9,MATCH($B30,Minutes_by_use_case!$A$2:$A$9,0)),"-")</f>
        <v>114879</v>
      </c>
      <c r="L30" s="105">
        <f>IFERROR(INDEX(Minutes_by_use_case!$C$2:$C$9,MATCH($B30,Minutes_by_use_case!$A$2:$A$9,0)),"-")</f>
        <v>114879</v>
      </c>
      <c r="M30" s="105">
        <f>IFERROR(INDEX(Minutes_by_use_case!$C$2:$C$9,MATCH($B30,Minutes_by_use_case!$A$2:$A$9,0)),"-")</f>
        <v>114879</v>
      </c>
      <c r="N30" s="105">
        <f>IFERROR(INDEX(Minutes_by_use_case!$C$2:$C$9,MATCH($B30,Minutes_by_use_case!$A$2:$A$9,0)),"-")</f>
        <v>114879</v>
      </c>
      <c r="O30" s="105">
        <f>IFERROR(INDEX(Minutes_by_use_case!$C$2:$C$9,MATCH($B30,Minutes_by_use_case!$A$2:$A$9,0)),"-")</f>
        <v>114879</v>
      </c>
      <c r="P30" s="105">
        <f>IFERROR(INDEX(Minutes_by_use_case!$C$2:$C$9,MATCH($B30,Minutes_by_use_case!$A$2:$A$9,0)),"-")</f>
        <v>114879</v>
      </c>
      <c r="Q30" s="105">
        <f>IFERROR(INDEX(Minutes_by_use_case!$C$2:$C$9,MATCH($B30,Minutes_by_use_case!$A$2:$A$9,0)),"-")</f>
        <v>114879</v>
      </c>
      <c r="R30" s="105">
        <f>IFERROR(INDEX(Minutes_by_use_case!$C$2:$C$9,MATCH($B30,Minutes_by_use_case!$A$2:$A$9,0)),"-")</f>
        <v>114879</v>
      </c>
      <c r="S30" s="105">
        <f>IFERROR(INDEX(Minutes_by_use_case!$C$2:$C$9,MATCH($B30,Minutes_by_use_case!$A$2:$A$9,0)),"-")</f>
        <v>114879</v>
      </c>
      <c r="T30" s="105">
        <f>IFERROR(INDEX(Minutes_by_use_case!$C$2:$C$9,MATCH($B30,Minutes_by_use_case!$A$2:$A$9,0)),"-")</f>
        <v>114879</v>
      </c>
      <c r="U30" s="105">
        <f>IFERROR(INDEX(Minutes_by_use_case!$C$2:$C$9,MATCH($B30,Minutes_by_use_case!$A$2:$A$9,0)),"-")</f>
        <v>114879</v>
      </c>
      <c r="V30" s="105">
        <f>IFERROR(INDEX(Minutes_by_use_case!$C$2:$C$9,MATCH($B30,Minutes_by_use_case!$A$2:$A$9,0)),"-")</f>
        <v>114879</v>
      </c>
    </row>
    <row r="31" spans="1:22" x14ac:dyDescent="0.25">
      <c r="A31" s="29" t="s">
        <v>54</v>
      </c>
      <c r="B31" s="29" t="s">
        <v>43</v>
      </c>
      <c r="C31" s="105">
        <f>IFERROR(INDEX(Minutes_by_use_case!$C$2:$C$9,MATCH($B31,Minutes_by_use_case!$A$2:$A$9,0)),"-")</f>
        <v>114879</v>
      </c>
      <c r="D31" s="105">
        <f>IFERROR(INDEX(Minutes_by_use_case!$C$2:$C$9,MATCH($B31,Minutes_by_use_case!$A$2:$A$9,0)),"-")</f>
        <v>114879</v>
      </c>
      <c r="E31" s="105">
        <f>IFERROR(INDEX(Minutes_by_use_case!$C$2:$C$9,MATCH($B31,Minutes_by_use_case!$A$2:$A$9,0)),"-")</f>
        <v>114879</v>
      </c>
      <c r="F31" s="105">
        <f>IFERROR(INDEX(Minutes_by_use_case!$C$2:$C$9,MATCH($B31,Minutes_by_use_case!$A$2:$A$9,0)),"-")</f>
        <v>114879</v>
      </c>
      <c r="G31" s="105">
        <f>IFERROR(INDEX(Minutes_by_use_case!$C$2:$C$9,MATCH($B31,Minutes_by_use_case!$A$2:$A$9,0)),"-")</f>
        <v>114879</v>
      </c>
      <c r="H31" s="105">
        <f>IFERROR(INDEX(Minutes_by_use_case!$C$2:$C$9,MATCH($B31,Minutes_by_use_case!$A$2:$A$9,0)),"-")</f>
        <v>114879</v>
      </c>
      <c r="I31" s="105">
        <f>IFERROR(INDEX(Minutes_by_use_case!$C$2:$C$9,MATCH($B31,Minutes_by_use_case!$A$2:$A$9,0)),"-")</f>
        <v>114879</v>
      </c>
      <c r="J31" s="105">
        <f>IFERROR(INDEX(Minutes_by_use_case!$C$2:$C$9,MATCH($B31,Minutes_by_use_case!$A$2:$A$9,0)),"-")</f>
        <v>114879</v>
      </c>
      <c r="K31" s="105">
        <f>IFERROR(INDEX(Minutes_by_use_case!$C$2:$C$9,MATCH($B31,Minutes_by_use_case!$A$2:$A$9,0)),"-")</f>
        <v>114879</v>
      </c>
      <c r="L31" s="105">
        <f>IFERROR(INDEX(Minutes_by_use_case!$C$2:$C$9,MATCH($B31,Minutes_by_use_case!$A$2:$A$9,0)),"-")</f>
        <v>114879</v>
      </c>
      <c r="M31" s="105">
        <f>IFERROR(INDEX(Minutes_by_use_case!$C$2:$C$9,MATCH($B31,Minutes_by_use_case!$A$2:$A$9,0)),"-")</f>
        <v>114879</v>
      </c>
      <c r="N31" s="105">
        <f>IFERROR(INDEX(Minutes_by_use_case!$C$2:$C$9,MATCH($B31,Minutes_by_use_case!$A$2:$A$9,0)),"-")</f>
        <v>114879</v>
      </c>
      <c r="O31" s="105">
        <f>IFERROR(INDEX(Minutes_by_use_case!$C$2:$C$9,MATCH($B31,Minutes_by_use_case!$A$2:$A$9,0)),"-")</f>
        <v>114879</v>
      </c>
      <c r="P31" s="105">
        <f>IFERROR(INDEX(Minutes_by_use_case!$C$2:$C$9,MATCH($B31,Minutes_by_use_case!$A$2:$A$9,0)),"-")</f>
        <v>114879</v>
      </c>
      <c r="Q31" s="105">
        <f>IFERROR(INDEX(Minutes_by_use_case!$C$2:$C$9,MATCH($B31,Minutes_by_use_case!$A$2:$A$9,0)),"-")</f>
        <v>114879</v>
      </c>
      <c r="R31" s="105">
        <f>IFERROR(INDEX(Minutes_by_use_case!$C$2:$C$9,MATCH($B31,Minutes_by_use_case!$A$2:$A$9,0)),"-")</f>
        <v>114879</v>
      </c>
      <c r="S31" s="105">
        <f>IFERROR(INDEX(Minutes_by_use_case!$C$2:$C$9,MATCH($B31,Minutes_by_use_case!$A$2:$A$9,0)),"-")</f>
        <v>114879</v>
      </c>
      <c r="T31" s="105">
        <f>IFERROR(INDEX(Minutes_by_use_case!$C$2:$C$9,MATCH($B31,Minutes_by_use_case!$A$2:$A$9,0)),"-")</f>
        <v>114879</v>
      </c>
      <c r="U31" s="105">
        <f>IFERROR(INDEX(Minutes_by_use_case!$C$2:$C$9,MATCH($B31,Minutes_by_use_case!$A$2:$A$9,0)),"-")</f>
        <v>114879</v>
      </c>
      <c r="V31" s="105">
        <f>IFERROR(INDEX(Minutes_by_use_case!$C$2:$C$9,MATCH($B31,Minutes_by_use_case!$A$2:$A$9,0)),"-")</f>
        <v>114879</v>
      </c>
    </row>
    <row r="32" spans="1:22" x14ac:dyDescent="0.25">
      <c r="A32" s="29" t="s">
        <v>31</v>
      </c>
      <c r="B32" s="29" t="s">
        <v>48</v>
      </c>
      <c r="C32" s="105" t="str">
        <f>IFERROR(INDEX(Minutes_by_use_case!$C$2:$C$9,MATCH($B32,Minutes_by_use_case!$A$2:$A$9,0)),"-")</f>
        <v>-</v>
      </c>
      <c r="D32" s="105" t="str">
        <f>IFERROR(INDEX(Minutes_by_use_case!$C$2:$C$9,MATCH($B32,Minutes_by_use_case!$A$2:$A$9,0)),"-")</f>
        <v>-</v>
      </c>
      <c r="E32" s="105" t="str">
        <f>IFERROR(INDEX(Minutes_by_use_case!$C$2:$C$9,MATCH($B32,Minutes_by_use_case!$A$2:$A$9,0)),"-")</f>
        <v>-</v>
      </c>
      <c r="F32" s="105" t="str">
        <f>IFERROR(INDEX(Minutes_by_use_case!$C$2:$C$9,MATCH($B32,Minutes_by_use_case!$A$2:$A$9,0)),"-")</f>
        <v>-</v>
      </c>
      <c r="G32" s="105" t="str">
        <f>IFERROR(INDEX(Minutes_by_use_case!$C$2:$C$9,MATCH($B32,Minutes_by_use_case!$A$2:$A$9,0)),"-")</f>
        <v>-</v>
      </c>
      <c r="H32" s="105" t="str">
        <f>IFERROR(INDEX(Minutes_by_use_case!$C$2:$C$9,MATCH($B32,Minutes_by_use_case!$A$2:$A$9,0)),"-")</f>
        <v>-</v>
      </c>
      <c r="I32" s="105" t="str">
        <f>IFERROR(INDEX(Minutes_by_use_case!$C$2:$C$9,MATCH($B32,Minutes_by_use_case!$A$2:$A$9,0)),"-")</f>
        <v>-</v>
      </c>
      <c r="J32" s="105" t="str">
        <f>IFERROR(INDEX(Minutes_by_use_case!$C$2:$C$9,MATCH($B32,Minutes_by_use_case!$A$2:$A$9,0)),"-")</f>
        <v>-</v>
      </c>
      <c r="K32" s="105" t="str">
        <f>IFERROR(INDEX(Minutes_by_use_case!$C$2:$C$9,MATCH($B32,Minutes_by_use_case!$A$2:$A$9,0)),"-")</f>
        <v>-</v>
      </c>
      <c r="L32" s="105" t="str">
        <f>IFERROR(INDEX(Minutes_by_use_case!$C$2:$C$9,MATCH($B32,Minutes_by_use_case!$A$2:$A$9,0)),"-")</f>
        <v>-</v>
      </c>
      <c r="M32" s="105" t="str">
        <f>IFERROR(INDEX(Minutes_by_use_case!$C$2:$C$9,MATCH($B32,Minutes_by_use_case!$A$2:$A$9,0)),"-")</f>
        <v>-</v>
      </c>
      <c r="N32" s="105" t="str">
        <f>IFERROR(INDEX(Minutes_by_use_case!$C$2:$C$9,MATCH($B32,Minutes_by_use_case!$A$2:$A$9,0)),"-")</f>
        <v>-</v>
      </c>
      <c r="O32" s="105" t="str">
        <f>IFERROR(INDEX(Minutes_by_use_case!$C$2:$C$9,MATCH($B32,Minutes_by_use_case!$A$2:$A$9,0)),"-")</f>
        <v>-</v>
      </c>
      <c r="P32" s="105" t="str">
        <f>IFERROR(INDEX(Minutes_by_use_case!$C$2:$C$9,MATCH($B32,Minutes_by_use_case!$A$2:$A$9,0)),"-")</f>
        <v>-</v>
      </c>
      <c r="Q32" s="105" t="str">
        <f>IFERROR(INDEX(Minutes_by_use_case!$C$2:$C$9,MATCH($B32,Minutes_by_use_case!$A$2:$A$9,0)),"-")</f>
        <v>-</v>
      </c>
      <c r="R32" s="105" t="str">
        <f>IFERROR(INDEX(Minutes_by_use_case!$C$2:$C$9,MATCH($B32,Minutes_by_use_case!$A$2:$A$9,0)),"-")</f>
        <v>-</v>
      </c>
      <c r="S32" s="105" t="str">
        <f>IFERROR(INDEX(Minutes_by_use_case!$C$2:$C$9,MATCH($B32,Minutes_by_use_case!$A$2:$A$9,0)),"-")</f>
        <v>-</v>
      </c>
      <c r="T32" s="105" t="str">
        <f>IFERROR(INDEX(Minutes_by_use_case!$C$2:$C$9,MATCH($B32,Minutes_by_use_case!$A$2:$A$9,0)),"-")</f>
        <v>-</v>
      </c>
      <c r="U32" s="105" t="str">
        <f>IFERROR(INDEX(Minutes_by_use_case!$C$2:$C$9,MATCH($B32,Minutes_by_use_case!$A$2:$A$9,0)),"-")</f>
        <v>-</v>
      </c>
      <c r="V32" s="105" t="str">
        <f>IFERROR(INDEX(Minutes_by_use_case!$C$2:$C$9,MATCH($B32,Minutes_by_use_case!$A$2:$A$9,0)),"-")</f>
        <v>-</v>
      </c>
    </row>
    <row r="33" spans="1:22" x14ac:dyDescent="0.25">
      <c r="A33" s="29" t="s">
        <v>32</v>
      </c>
      <c r="B33" s="29" t="s">
        <v>48</v>
      </c>
      <c r="C33" s="105" t="str">
        <f>IFERROR(INDEX(Minutes_by_use_case!$C$2:$C$9,MATCH($B33,Minutes_by_use_case!$A$2:$A$9,0)),"-")</f>
        <v>-</v>
      </c>
      <c r="D33" s="105" t="str">
        <f>IFERROR(INDEX(Minutes_by_use_case!$C$2:$C$9,MATCH($B33,Minutes_by_use_case!$A$2:$A$9,0)),"-")</f>
        <v>-</v>
      </c>
      <c r="E33" s="105" t="str">
        <f>IFERROR(INDEX(Minutes_by_use_case!$C$2:$C$9,MATCH($B33,Minutes_by_use_case!$A$2:$A$9,0)),"-")</f>
        <v>-</v>
      </c>
      <c r="F33" s="105" t="str">
        <f>IFERROR(INDEX(Minutes_by_use_case!$C$2:$C$9,MATCH($B33,Minutes_by_use_case!$A$2:$A$9,0)),"-")</f>
        <v>-</v>
      </c>
      <c r="G33" s="105" t="str">
        <f>IFERROR(INDEX(Minutes_by_use_case!$C$2:$C$9,MATCH($B33,Minutes_by_use_case!$A$2:$A$9,0)),"-")</f>
        <v>-</v>
      </c>
      <c r="H33" s="105" t="str">
        <f>IFERROR(INDEX(Minutes_by_use_case!$C$2:$C$9,MATCH($B33,Minutes_by_use_case!$A$2:$A$9,0)),"-")</f>
        <v>-</v>
      </c>
      <c r="I33" s="105" t="str">
        <f>IFERROR(INDEX(Minutes_by_use_case!$C$2:$C$9,MATCH($B33,Minutes_by_use_case!$A$2:$A$9,0)),"-")</f>
        <v>-</v>
      </c>
      <c r="J33" s="105" t="str">
        <f>IFERROR(INDEX(Minutes_by_use_case!$C$2:$C$9,MATCH($B33,Minutes_by_use_case!$A$2:$A$9,0)),"-")</f>
        <v>-</v>
      </c>
      <c r="K33" s="105" t="str">
        <f>IFERROR(INDEX(Minutes_by_use_case!$C$2:$C$9,MATCH($B33,Minutes_by_use_case!$A$2:$A$9,0)),"-")</f>
        <v>-</v>
      </c>
      <c r="L33" s="105" t="str">
        <f>IFERROR(INDEX(Minutes_by_use_case!$C$2:$C$9,MATCH($B33,Minutes_by_use_case!$A$2:$A$9,0)),"-")</f>
        <v>-</v>
      </c>
      <c r="M33" s="105" t="str">
        <f>IFERROR(INDEX(Minutes_by_use_case!$C$2:$C$9,MATCH($B33,Minutes_by_use_case!$A$2:$A$9,0)),"-")</f>
        <v>-</v>
      </c>
      <c r="N33" s="105" t="str">
        <f>IFERROR(INDEX(Minutes_by_use_case!$C$2:$C$9,MATCH($B33,Minutes_by_use_case!$A$2:$A$9,0)),"-")</f>
        <v>-</v>
      </c>
      <c r="O33" s="105" t="str">
        <f>IFERROR(INDEX(Minutes_by_use_case!$C$2:$C$9,MATCH($B33,Minutes_by_use_case!$A$2:$A$9,0)),"-")</f>
        <v>-</v>
      </c>
      <c r="P33" s="105" t="str">
        <f>IFERROR(INDEX(Minutes_by_use_case!$C$2:$C$9,MATCH($B33,Minutes_by_use_case!$A$2:$A$9,0)),"-")</f>
        <v>-</v>
      </c>
      <c r="Q33" s="105" t="str">
        <f>IFERROR(INDEX(Minutes_by_use_case!$C$2:$C$9,MATCH($B33,Minutes_by_use_case!$A$2:$A$9,0)),"-")</f>
        <v>-</v>
      </c>
      <c r="R33" s="105" t="str">
        <f>IFERROR(INDEX(Minutes_by_use_case!$C$2:$C$9,MATCH($B33,Minutes_by_use_case!$A$2:$A$9,0)),"-")</f>
        <v>-</v>
      </c>
      <c r="S33" s="105" t="str">
        <f>IFERROR(INDEX(Minutes_by_use_case!$C$2:$C$9,MATCH($B33,Minutes_by_use_case!$A$2:$A$9,0)),"-")</f>
        <v>-</v>
      </c>
      <c r="T33" s="105" t="str">
        <f>IFERROR(INDEX(Minutes_by_use_case!$C$2:$C$9,MATCH($B33,Minutes_by_use_case!$A$2:$A$9,0)),"-")</f>
        <v>-</v>
      </c>
      <c r="U33" s="105" t="str">
        <f>IFERROR(INDEX(Minutes_by_use_case!$C$2:$C$9,MATCH($B33,Minutes_by_use_case!$A$2:$A$9,0)),"-")</f>
        <v>-</v>
      </c>
      <c r="V33" s="105" t="str">
        <f>IFERROR(INDEX(Minutes_by_use_case!$C$2:$C$9,MATCH($B33,Minutes_by_use_case!$A$2:$A$9,0)),"-")</f>
        <v>-</v>
      </c>
    </row>
    <row r="34" spans="1:22" x14ac:dyDescent="0.25">
      <c r="A34" s="29" t="s">
        <v>33</v>
      </c>
      <c r="B34" s="29" t="s">
        <v>41</v>
      </c>
      <c r="C34" s="105">
        <f>IFERROR(INDEX(Minutes_by_use_case!$C$2:$C$9,MATCH($B34,Minutes_by_use_case!$A$2:$A$9,0)),"-")</f>
        <v>66700.388888888891</v>
      </c>
      <c r="D34" s="105">
        <f>IFERROR(INDEX(Minutes_by_use_case!$C$2:$C$9,MATCH($B34,Minutes_by_use_case!$A$2:$A$9,0)),"-")</f>
        <v>66700.388888888891</v>
      </c>
      <c r="E34" s="105">
        <f>IFERROR(INDEX(Minutes_by_use_case!$C$2:$C$9,MATCH($B34,Minutes_by_use_case!$A$2:$A$9,0)),"-")</f>
        <v>66700.388888888891</v>
      </c>
      <c r="F34" s="105">
        <f>IFERROR(INDEX(Minutes_by_use_case!$C$2:$C$9,MATCH($B34,Minutes_by_use_case!$A$2:$A$9,0)),"-")</f>
        <v>66700.388888888891</v>
      </c>
      <c r="G34" s="105">
        <f>IFERROR(INDEX(Minutes_by_use_case!$C$2:$C$9,MATCH($B34,Minutes_by_use_case!$A$2:$A$9,0)),"-")</f>
        <v>66700.388888888891</v>
      </c>
      <c r="H34" s="105">
        <f>IFERROR(INDEX(Minutes_by_use_case!$C$2:$C$9,MATCH($B34,Minutes_by_use_case!$A$2:$A$9,0)),"-")</f>
        <v>66700.388888888891</v>
      </c>
      <c r="I34" s="105">
        <f>IFERROR(INDEX(Minutes_by_use_case!$C$2:$C$9,MATCH($B34,Minutes_by_use_case!$A$2:$A$9,0)),"-")</f>
        <v>66700.388888888891</v>
      </c>
      <c r="J34" s="105">
        <f>IFERROR(INDEX(Minutes_by_use_case!$C$2:$C$9,MATCH($B34,Minutes_by_use_case!$A$2:$A$9,0)),"-")</f>
        <v>66700.388888888891</v>
      </c>
      <c r="K34" s="105">
        <f>IFERROR(INDEX(Minutes_by_use_case!$C$2:$C$9,MATCH($B34,Minutes_by_use_case!$A$2:$A$9,0)),"-")</f>
        <v>66700.388888888891</v>
      </c>
      <c r="L34" s="105">
        <f>IFERROR(INDEX(Minutes_by_use_case!$C$2:$C$9,MATCH($B34,Minutes_by_use_case!$A$2:$A$9,0)),"-")</f>
        <v>66700.388888888891</v>
      </c>
      <c r="M34" s="105">
        <f>IFERROR(INDEX(Minutes_by_use_case!$C$2:$C$9,MATCH($B34,Minutes_by_use_case!$A$2:$A$9,0)),"-")</f>
        <v>66700.388888888891</v>
      </c>
      <c r="N34" s="105">
        <f>IFERROR(INDEX(Minutes_by_use_case!$C$2:$C$9,MATCH($B34,Minutes_by_use_case!$A$2:$A$9,0)),"-")</f>
        <v>66700.388888888891</v>
      </c>
      <c r="O34" s="105">
        <f>IFERROR(INDEX(Minutes_by_use_case!$C$2:$C$9,MATCH($B34,Minutes_by_use_case!$A$2:$A$9,0)),"-")</f>
        <v>66700.388888888891</v>
      </c>
      <c r="P34" s="105">
        <f>IFERROR(INDEX(Minutes_by_use_case!$C$2:$C$9,MATCH($B34,Minutes_by_use_case!$A$2:$A$9,0)),"-")</f>
        <v>66700.388888888891</v>
      </c>
      <c r="Q34" s="105">
        <f>IFERROR(INDEX(Minutes_by_use_case!$C$2:$C$9,MATCH($B34,Minutes_by_use_case!$A$2:$A$9,0)),"-")</f>
        <v>66700.388888888891</v>
      </c>
      <c r="R34" s="105">
        <f>IFERROR(INDEX(Minutes_by_use_case!$C$2:$C$9,MATCH($B34,Minutes_by_use_case!$A$2:$A$9,0)),"-")</f>
        <v>66700.388888888891</v>
      </c>
      <c r="S34" s="105">
        <f>IFERROR(INDEX(Minutes_by_use_case!$C$2:$C$9,MATCH($B34,Minutes_by_use_case!$A$2:$A$9,0)),"-")</f>
        <v>66700.388888888891</v>
      </c>
      <c r="T34" s="105">
        <f>IFERROR(INDEX(Minutes_by_use_case!$C$2:$C$9,MATCH($B34,Minutes_by_use_case!$A$2:$A$9,0)),"-")</f>
        <v>66700.388888888891</v>
      </c>
      <c r="U34" s="105">
        <f>IFERROR(INDEX(Minutes_by_use_case!$C$2:$C$9,MATCH($B34,Minutes_by_use_case!$A$2:$A$9,0)),"-")</f>
        <v>66700.388888888891</v>
      </c>
      <c r="V34" s="105">
        <f>IFERROR(INDEX(Minutes_by_use_case!$C$2:$C$9,MATCH($B34,Minutes_by_use_case!$A$2:$A$9,0)),"-")</f>
        <v>66700.388888888891</v>
      </c>
    </row>
    <row r="35" spans="1:22" x14ac:dyDescent="0.25">
      <c r="A35" s="29" t="s">
        <v>34</v>
      </c>
      <c r="B35" s="29" t="s">
        <v>45</v>
      </c>
      <c r="C35" s="105">
        <f>IFERROR(INDEX(Minutes_by_use_case!$C$2:$C$9,MATCH($B35,Minutes_by_use_case!$A$2:$A$9,0)),"-")</f>
        <v>33739.333333333336</v>
      </c>
      <c r="D35" s="105">
        <f>IFERROR(INDEX(Minutes_by_use_case!$C$2:$C$9,MATCH($B35,Minutes_by_use_case!$A$2:$A$9,0)),"-")</f>
        <v>33739.333333333336</v>
      </c>
      <c r="E35" s="105">
        <f>IFERROR(INDEX(Minutes_by_use_case!$C$2:$C$9,MATCH($B35,Minutes_by_use_case!$A$2:$A$9,0)),"-")</f>
        <v>33739.333333333336</v>
      </c>
      <c r="F35" s="105">
        <f>IFERROR(INDEX(Minutes_by_use_case!$C$2:$C$9,MATCH($B35,Minutes_by_use_case!$A$2:$A$9,0)),"-")</f>
        <v>33739.333333333336</v>
      </c>
      <c r="G35" s="105">
        <f>IFERROR(INDEX(Minutes_by_use_case!$C$2:$C$9,MATCH($B35,Minutes_by_use_case!$A$2:$A$9,0)),"-")</f>
        <v>33739.333333333336</v>
      </c>
      <c r="H35" s="105">
        <f>IFERROR(INDEX(Minutes_by_use_case!$C$2:$C$9,MATCH($B35,Minutes_by_use_case!$A$2:$A$9,0)),"-")</f>
        <v>33739.333333333336</v>
      </c>
      <c r="I35" s="105">
        <f>IFERROR(INDEX(Minutes_by_use_case!$C$2:$C$9,MATCH($B35,Minutes_by_use_case!$A$2:$A$9,0)),"-")</f>
        <v>33739.333333333336</v>
      </c>
      <c r="J35" s="105">
        <f>IFERROR(INDEX(Minutes_by_use_case!$C$2:$C$9,MATCH($B35,Minutes_by_use_case!$A$2:$A$9,0)),"-")</f>
        <v>33739.333333333336</v>
      </c>
      <c r="K35" s="105">
        <f>IFERROR(INDEX(Minutes_by_use_case!$C$2:$C$9,MATCH($B35,Minutes_by_use_case!$A$2:$A$9,0)),"-")</f>
        <v>33739.333333333336</v>
      </c>
      <c r="L35" s="105">
        <f>IFERROR(INDEX(Minutes_by_use_case!$C$2:$C$9,MATCH($B35,Minutes_by_use_case!$A$2:$A$9,0)),"-")</f>
        <v>33739.333333333336</v>
      </c>
      <c r="M35" s="105">
        <f>IFERROR(INDEX(Minutes_by_use_case!$C$2:$C$9,MATCH($B35,Minutes_by_use_case!$A$2:$A$9,0)),"-")</f>
        <v>33739.333333333336</v>
      </c>
      <c r="N35" s="105">
        <f>IFERROR(INDEX(Minutes_by_use_case!$C$2:$C$9,MATCH($B35,Minutes_by_use_case!$A$2:$A$9,0)),"-")</f>
        <v>33739.333333333336</v>
      </c>
      <c r="O35" s="105">
        <f>IFERROR(INDEX(Minutes_by_use_case!$C$2:$C$9,MATCH($B35,Minutes_by_use_case!$A$2:$A$9,0)),"-")</f>
        <v>33739.333333333336</v>
      </c>
      <c r="P35" s="105">
        <f>IFERROR(INDEX(Minutes_by_use_case!$C$2:$C$9,MATCH($B35,Minutes_by_use_case!$A$2:$A$9,0)),"-")</f>
        <v>33739.333333333336</v>
      </c>
      <c r="Q35" s="105">
        <f>IFERROR(INDEX(Minutes_by_use_case!$C$2:$C$9,MATCH($B35,Minutes_by_use_case!$A$2:$A$9,0)),"-")</f>
        <v>33739.333333333336</v>
      </c>
      <c r="R35" s="105">
        <f>IFERROR(INDEX(Minutes_by_use_case!$C$2:$C$9,MATCH($B35,Minutes_by_use_case!$A$2:$A$9,0)),"-")</f>
        <v>33739.333333333336</v>
      </c>
      <c r="S35" s="105">
        <f>IFERROR(INDEX(Minutes_by_use_case!$C$2:$C$9,MATCH($B35,Minutes_by_use_case!$A$2:$A$9,0)),"-")</f>
        <v>33739.333333333336</v>
      </c>
      <c r="T35" s="105">
        <f>IFERROR(INDEX(Minutes_by_use_case!$C$2:$C$9,MATCH($B35,Minutes_by_use_case!$A$2:$A$9,0)),"-")</f>
        <v>33739.333333333336</v>
      </c>
      <c r="U35" s="105">
        <f>IFERROR(INDEX(Minutes_by_use_case!$C$2:$C$9,MATCH($B35,Minutes_by_use_case!$A$2:$A$9,0)),"-")</f>
        <v>33739.333333333336</v>
      </c>
      <c r="V35" s="105">
        <f>IFERROR(INDEX(Minutes_by_use_case!$C$2:$C$9,MATCH($B35,Minutes_by_use_case!$A$2:$A$9,0)),"-")</f>
        <v>33739.333333333336</v>
      </c>
    </row>
    <row r="36" spans="1:22" x14ac:dyDescent="0.25">
      <c r="A36" s="29" t="s">
        <v>63</v>
      </c>
      <c r="B36" s="29" t="s">
        <v>43</v>
      </c>
      <c r="C36" s="105">
        <f>IFERROR(INDEX(Minutes_by_use_case!$C$2:$C$9,MATCH($B36,Minutes_by_use_case!$A$2:$A$9,0)),"-")</f>
        <v>114879</v>
      </c>
      <c r="D36" s="105">
        <f>IFERROR(INDEX(Minutes_by_use_case!$C$2:$C$9,MATCH($B36,Minutes_by_use_case!$A$2:$A$9,0)),"-")</f>
        <v>114879</v>
      </c>
      <c r="E36" s="105">
        <f>IFERROR(INDEX(Minutes_by_use_case!$C$2:$C$9,MATCH($B36,Minutes_by_use_case!$A$2:$A$9,0)),"-")</f>
        <v>114879</v>
      </c>
      <c r="F36" s="105">
        <f>IFERROR(INDEX(Minutes_by_use_case!$C$2:$C$9,MATCH($B36,Minutes_by_use_case!$A$2:$A$9,0)),"-")</f>
        <v>114879</v>
      </c>
      <c r="G36" s="105">
        <f>IFERROR(INDEX(Minutes_by_use_case!$C$2:$C$9,MATCH($B36,Minutes_by_use_case!$A$2:$A$9,0)),"-")</f>
        <v>114879</v>
      </c>
      <c r="H36" s="105">
        <f>IFERROR(INDEX(Minutes_by_use_case!$C$2:$C$9,MATCH($B36,Minutes_by_use_case!$A$2:$A$9,0)),"-")</f>
        <v>114879</v>
      </c>
      <c r="I36" s="105">
        <f>IFERROR(INDEX(Minutes_by_use_case!$C$2:$C$9,MATCH($B36,Minutes_by_use_case!$A$2:$A$9,0)),"-")</f>
        <v>114879</v>
      </c>
      <c r="J36" s="105">
        <f>IFERROR(INDEX(Minutes_by_use_case!$C$2:$C$9,MATCH($B36,Minutes_by_use_case!$A$2:$A$9,0)),"-")</f>
        <v>114879</v>
      </c>
      <c r="K36" s="105">
        <f>IFERROR(INDEX(Minutes_by_use_case!$C$2:$C$9,MATCH($B36,Minutes_by_use_case!$A$2:$A$9,0)),"-")</f>
        <v>114879</v>
      </c>
      <c r="L36" s="105">
        <f>IFERROR(INDEX(Minutes_by_use_case!$C$2:$C$9,MATCH($B36,Minutes_by_use_case!$A$2:$A$9,0)),"-")</f>
        <v>114879</v>
      </c>
      <c r="M36" s="105">
        <f>IFERROR(INDEX(Minutes_by_use_case!$C$2:$C$9,MATCH($B36,Minutes_by_use_case!$A$2:$A$9,0)),"-")</f>
        <v>114879</v>
      </c>
      <c r="N36" s="105">
        <f>IFERROR(INDEX(Minutes_by_use_case!$C$2:$C$9,MATCH($B36,Minutes_by_use_case!$A$2:$A$9,0)),"-")</f>
        <v>114879</v>
      </c>
      <c r="O36" s="105">
        <f>IFERROR(INDEX(Minutes_by_use_case!$C$2:$C$9,MATCH($B36,Minutes_by_use_case!$A$2:$A$9,0)),"-")</f>
        <v>114879</v>
      </c>
      <c r="P36" s="105">
        <f>IFERROR(INDEX(Minutes_by_use_case!$C$2:$C$9,MATCH($B36,Minutes_by_use_case!$A$2:$A$9,0)),"-")</f>
        <v>114879</v>
      </c>
      <c r="Q36" s="105">
        <f>IFERROR(INDEX(Minutes_by_use_case!$C$2:$C$9,MATCH($B36,Minutes_by_use_case!$A$2:$A$9,0)),"-")</f>
        <v>114879</v>
      </c>
      <c r="R36" s="105">
        <f>IFERROR(INDEX(Minutes_by_use_case!$C$2:$C$9,MATCH($B36,Minutes_by_use_case!$A$2:$A$9,0)),"-")</f>
        <v>114879</v>
      </c>
      <c r="S36" s="105">
        <f>IFERROR(INDEX(Minutes_by_use_case!$C$2:$C$9,MATCH($B36,Minutes_by_use_case!$A$2:$A$9,0)),"-")</f>
        <v>114879</v>
      </c>
      <c r="T36" s="105">
        <f>IFERROR(INDEX(Minutes_by_use_case!$C$2:$C$9,MATCH($B36,Minutes_by_use_case!$A$2:$A$9,0)),"-")</f>
        <v>114879</v>
      </c>
      <c r="U36" s="105">
        <f>IFERROR(INDEX(Minutes_by_use_case!$C$2:$C$9,MATCH($B36,Minutes_by_use_case!$A$2:$A$9,0)),"-")</f>
        <v>114879</v>
      </c>
      <c r="V36" s="105">
        <f>IFERROR(INDEX(Minutes_by_use_case!$C$2:$C$9,MATCH($B36,Minutes_by_use_case!$A$2:$A$9,0)),"-")</f>
        <v>114879</v>
      </c>
    </row>
    <row r="37" spans="1:22" x14ac:dyDescent="0.25">
      <c r="A37" s="29" t="s">
        <v>64</v>
      </c>
      <c r="B37" s="29" t="s">
        <v>46</v>
      </c>
      <c r="C37" s="105" t="str">
        <f>IFERROR(INDEX(Minutes_by_use_case!$C$2:$C$9,MATCH($B37,Minutes_by_use_case!$A$2:$A$9,0)),"-")</f>
        <v>-</v>
      </c>
      <c r="D37" s="105" t="str">
        <f>IFERROR(INDEX(Minutes_by_use_case!$C$2:$C$9,MATCH($B37,Minutes_by_use_case!$A$2:$A$9,0)),"-")</f>
        <v>-</v>
      </c>
      <c r="E37" s="105" t="str">
        <f>IFERROR(INDEX(Minutes_by_use_case!$C$2:$C$9,MATCH($B37,Minutes_by_use_case!$A$2:$A$9,0)),"-")</f>
        <v>-</v>
      </c>
      <c r="F37" s="105" t="str">
        <f>IFERROR(INDEX(Minutes_by_use_case!$C$2:$C$9,MATCH($B37,Minutes_by_use_case!$A$2:$A$9,0)),"-")</f>
        <v>-</v>
      </c>
      <c r="G37" s="105" t="str">
        <f>IFERROR(INDEX(Minutes_by_use_case!$C$2:$C$9,MATCH($B37,Minutes_by_use_case!$A$2:$A$9,0)),"-")</f>
        <v>-</v>
      </c>
      <c r="H37" s="105" t="str">
        <f>IFERROR(INDEX(Minutes_by_use_case!$C$2:$C$9,MATCH($B37,Minutes_by_use_case!$A$2:$A$9,0)),"-")</f>
        <v>-</v>
      </c>
      <c r="I37" s="105" t="str">
        <f>IFERROR(INDEX(Minutes_by_use_case!$C$2:$C$9,MATCH($B37,Minutes_by_use_case!$A$2:$A$9,0)),"-")</f>
        <v>-</v>
      </c>
      <c r="J37" s="105" t="str">
        <f>IFERROR(INDEX(Minutes_by_use_case!$C$2:$C$9,MATCH($B37,Minutes_by_use_case!$A$2:$A$9,0)),"-")</f>
        <v>-</v>
      </c>
      <c r="K37" s="105" t="str">
        <f>IFERROR(INDEX(Minutes_by_use_case!$C$2:$C$9,MATCH($B37,Minutes_by_use_case!$A$2:$A$9,0)),"-")</f>
        <v>-</v>
      </c>
      <c r="L37" s="105" t="str">
        <f>IFERROR(INDEX(Minutes_by_use_case!$C$2:$C$9,MATCH($B37,Minutes_by_use_case!$A$2:$A$9,0)),"-")</f>
        <v>-</v>
      </c>
      <c r="M37" s="105" t="str">
        <f>IFERROR(INDEX(Minutes_by_use_case!$C$2:$C$9,MATCH($B37,Minutes_by_use_case!$A$2:$A$9,0)),"-")</f>
        <v>-</v>
      </c>
      <c r="N37" s="105" t="str">
        <f>IFERROR(INDEX(Minutes_by_use_case!$C$2:$C$9,MATCH($B37,Minutes_by_use_case!$A$2:$A$9,0)),"-")</f>
        <v>-</v>
      </c>
      <c r="O37" s="105" t="str">
        <f>IFERROR(INDEX(Minutes_by_use_case!$C$2:$C$9,MATCH($B37,Minutes_by_use_case!$A$2:$A$9,0)),"-")</f>
        <v>-</v>
      </c>
      <c r="P37" s="105" t="str">
        <f>IFERROR(INDEX(Minutes_by_use_case!$C$2:$C$9,MATCH($B37,Minutes_by_use_case!$A$2:$A$9,0)),"-")</f>
        <v>-</v>
      </c>
      <c r="Q37" s="105" t="str">
        <f>IFERROR(INDEX(Minutes_by_use_case!$C$2:$C$9,MATCH($B37,Minutes_by_use_case!$A$2:$A$9,0)),"-")</f>
        <v>-</v>
      </c>
      <c r="R37" s="105" t="str">
        <f>IFERROR(INDEX(Minutes_by_use_case!$C$2:$C$9,MATCH($B37,Minutes_by_use_case!$A$2:$A$9,0)),"-")</f>
        <v>-</v>
      </c>
      <c r="S37" s="105" t="str">
        <f>IFERROR(INDEX(Minutes_by_use_case!$C$2:$C$9,MATCH($B37,Minutes_by_use_case!$A$2:$A$9,0)),"-")</f>
        <v>-</v>
      </c>
      <c r="T37" s="105" t="str">
        <f>IFERROR(INDEX(Minutes_by_use_case!$C$2:$C$9,MATCH($B37,Minutes_by_use_case!$A$2:$A$9,0)),"-")</f>
        <v>-</v>
      </c>
      <c r="U37" s="105" t="str">
        <f>IFERROR(INDEX(Minutes_by_use_case!$C$2:$C$9,MATCH($B37,Minutes_by_use_case!$A$2:$A$9,0)),"-")</f>
        <v>-</v>
      </c>
      <c r="V37" s="105" t="str">
        <f>IFERROR(INDEX(Minutes_by_use_case!$C$2:$C$9,MATCH($B37,Minutes_by_use_case!$A$2:$A$9,0)),"-")</f>
        <v>-</v>
      </c>
    </row>
    <row r="38" spans="1:22" x14ac:dyDescent="0.25">
      <c r="A38" s="29" t="s">
        <v>65</v>
      </c>
      <c r="B38" s="29" t="s">
        <v>41</v>
      </c>
      <c r="C38" s="105">
        <f>IFERROR(INDEX(Minutes_by_use_case!$C$2:$C$9,MATCH($B38,Minutes_by_use_case!$A$2:$A$9,0)),"-")</f>
        <v>66700.388888888891</v>
      </c>
      <c r="D38" s="105">
        <f>IFERROR(INDEX(Minutes_by_use_case!$C$2:$C$9,MATCH($B38,Minutes_by_use_case!$A$2:$A$9,0)),"-")</f>
        <v>66700.388888888891</v>
      </c>
      <c r="E38" s="105">
        <f>IFERROR(INDEX(Minutes_by_use_case!$C$2:$C$9,MATCH($B38,Minutes_by_use_case!$A$2:$A$9,0)),"-")</f>
        <v>66700.388888888891</v>
      </c>
      <c r="F38" s="105">
        <f>IFERROR(INDEX(Minutes_by_use_case!$C$2:$C$9,MATCH($B38,Minutes_by_use_case!$A$2:$A$9,0)),"-")</f>
        <v>66700.388888888891</v>
      </c>
      <c r="G38" s="105">
        <f>IFERROR(INDEX(Minutes_by_use_case!$C$2:$C$9,MATCH($B38,Minutes_by_use_case!$A$2:$A$9,0)),"-")</f>
        <v>66700.388888888891</v>
      </c>
      <c r="H38" s="105">
        <f>IFERROR(INDEX(Minutes_by_use_case!$C$2:$C$9,MATCH($B38,Minutes_by_use_case!$A$2:$A$9,0)),"-")</f>
        <v>66700.388888888891</v>
      </c>
      <c r="I38" s="105">
        <f>IFERROR(INDEX(Minutes_by_use_case!$C$2:$C$9,MATCH($B38,Minutes_by_use_case!$A$2:$A$9,0)),"-")</f>
        <v>66700.388888888891</v>
      </c>
      <c r="J38" s="105">
        <f>IFERROR(INDEX(Minutes_by_use_case!$C$2:$C$9,MATCH($B38,Minutes_by_use_case!$A$2:$A$9,0)),"-")</f>
        <v>66700.388888888891</v>
      </c>
      <c r="K38" s="105">
        <f>IFERROR(INDEX(Minutes_by_use_case!$C$2:$C$9,MATCH($B38,Minutes_by_use_case!$A$2:$A$9,0)),"-")</f>
        <v>66700.388888888891</v>
      </c>
      <c r="L38" s="105">
        <f>IFERROR(INDEX(Minutes_by_use_case!$C$2:$C$9,MATCH($B38,Minutes_by_use_case!$A$2:$A$9,0)),"-")</f>
        <v>66700.388888888891</v>
      </c>
      <c r="M38" s="105">
        <f>IFERROR(INDEX(Minutes_by_use_case!$C$2:$C$9,MATCH($B38,Minutes_by_use_case!$A$2:$A$9,0)),"-")</f>
        <v>66700.388888888891</v>
      </c>
      <c r="N38" s="105">
        <f>IFERROR(INDEX(Minutes_by_use_case!$C$2:$C$9,MATCH($B38,Minutes_by_use_case!$A$2:$A$9,0)),"-")</f>
        <v>66700.388888888891</v>
      </c>
      <c r="O38" s="105">
        <f>IFERROR(INDEX(Minutes_by_use_case!$C$2:$C$9,MATCH($B38,Minutes_by_use_case!$A$2:$A$9,0)),"-")</f>
        <v>66700.388888888891</v>
      </c>
      <c r="P38" s="105">
        <f>IFERROR(INDEX(Minutes_by_use_case!$C$2:$C$9,MATCH($B38,Minutes_by_use_case!$A$2:$A$9,0)),"-")</f>
        <v>66700.388888888891</v>
      </c>
      <c r="Q38" s="105">
        <f>IFERROR(INDEX(Minutes_by_use_case!$C$2:$C$9,MATCH($B38,Minutes_by_use_case!$A$2:$A$9,0)),"-")</f>
        <v>66700.388888888891</v>
      </c>
      <c r="R38" s="105">
        <f>IFERROR(INDEX(Minutes_by_use_case!$C$2:$C$9,MATCH($B38,Minutes_by_use_case!$A$2:$A$9,0)),"-")</f>
        <v>66700.388888888891</v>
      </c>
      <c r="S38" s="105">
        <f>IFERROR(INDEX(Minutes_by_use_case!$C$2:$C$9,MATCH($B38,Minutes_by_use_case!$A$2:$A$9,0)),"-")</f>
        <v>66700.388888888891</v>
      </c>
      <c r="T38" s="105">
        <f>IFERROR(INDEX(Minutes_by_use_case!$C$2:$C$9,MATCH($B38,Minutes_by_use_case!$A$2:$A$9,0)),"-")</f>
        <v>66700.388888888891</v>
      </c>
      <c r="U38" s="105">
        <f>IFERROR(INDEX(Minutes_by_use_case!$C$2:$C$9,MATCH($B38,Minutes_by_use_case!$A$2:$A$9,0)),"-")</f>
        <v>66700.388888888891</v>
      </c>
      <c r="V38" s="105">
        <f>IFERROR(INDEX(Minutes_by_use_case!$C$2:$C$9,MATCH($B38,Minutes_by_use_case!$A$2:$A$9,0)),"-")</f>
        <v>66700.388888888891</v>
      </c>
    </row>
    <row r="39" spans="1:22" x14ac:dyDescent="0.25">
      <c r="A39" s="29" t="s">
        <v>35</v>
      </c>
      <c r="B39" s="29" t="s">
        <v>40</v>
      </c>
      <c r="C39" s="105">
        <f>IFERROR(INDEX(Minutes_by_use_case!$C$2:$C$9,MATCH($B39,Minutes_by_use_case!$A$2:$A$9,0)),"-")</f>
        <v>2364.2857142857142</v>
      </c>
      <c r="D39" s="105">
        <f>IFERROR(INDEX(Minutes_by_use_case!$C$2:$C$9,MATCH($B39,Minutes_by_use_case!$A$2:$A$9,0)),"-")</f>
        <v>2364.2857142857142</v>
      </c>
      <c r="E39" s="105">
        <f>IFERROR(INDEX(Minutes_by_use_case!$C$2:$C$9,MATCH($B39,Minutes_by_use_case!$A$2:$A$9,0)),"-")</f>
        <v>2364.2857142857142</v>
      </c>
      <c r="F39" s="105">
        <f>IFERROR(INDEX(Minutes_by_use_case!$C$2:$C$9,MATCH($B39,Minutes_by_use_case!$A$2:$A$9,0)),"-")</f>
        <v>2364.2857142857142</v>
      </c>
      <c r="G39" s="105">
        <f>IFERROR(INDEX(Minutes_by_use_case!$C$2:$C$9,MATCH($B39,Minutes_by_use_case!$A$2:$A$9,0)),"-")</f>
        <v>2364.2857142857142</v>
      </c>
      <c r="H39" s="105">
        <f>IFERROR(INDEX(Minutes_by_use_case!$C$2:$C$9,MATCH($B39,Minutes_by_use_case!$A$2:$A$9,0)),"-")</f>
        <v>2364.2857142857142</v>
      </c>
      <c r="I39" s="105">
        <f>IFERROR(INDEX(Minutes_by_use_case!$C$2:$C$9,MATCH($B39,Minutes_by_use_case!$A$2:$A$9,0)),"-")</f>
        <v>2364.2857142857142</v>
      </c>
      <c r="J39" s="105">
        <f>IFERROR(INDEX(Minutes_by_use_case!$C$2:$C$9,MATCH($B39,Minutes_by_use_case!$A$2:$A$9,0)),"-")</f>
        <v>2364.2857142857142</v>
      </c>
      <c r="K39" s="105">
        <f>IFERROR(INDEX(Minutes_by_use_case!$C$2:$C$9,MATCH($B39,Minutes_by_use_case!$A$2:$A$9,0)),"-")</f>
        <v>2364.2857142857142</v>
      </c>
      <c r="L39" s="105">
        <f>IFERROR(INDEX(Minutes_by_use_case!$C$2:$C$9,MATCH($B39,Minutes_by_use_case!$A$2:$A$9,0)),"-")</f>
        <v>2364.2857142857142</v>
      </c>
      <c r="M39" s="105">
        <f>IFERROR(INDEX(Minutes_by_use_case!$C$2:$C$9,MATCH($B39,Minutes_by_use_case!$A$2:$A$9,0)),"-")</f>
        <v>2364.2857142857142</v>
      </c>
      <c r="N39" s="105">
        <f>IFERROR(INDEX(Minutes_by_use_case!$C$2:$C$9,MATCH($B39,Minutes_by_use_case!$A$2:$A$9,0)),"-")</f>
        <v>2364.2857142857142</v>
      </c>
      <c r="O39" s="105">
        <f>IFERROR(INDEX(Minutes_by_use_case!$C$2:$C$9,MATCH($B39,Minutes_by_use_case!$A$2:$A$9,0)),"-")</f>
        <v>2364.2857142857142</v>
      </c>
      <c r="P39" s="105">
        <f>IFERROR(INDEX(Minutes_by_use_case!$C$2:$C$9,MATCH($B39,Minutes_by_use_case!$A$2:$A$9,0)),"-")</f>
        <v>2364.2857142857142</v>
      </c>
      <c r="Q39" s="105">
        <f>IFERROR(INDEX(Minutes_by_use_case!$C$2:$C$9,MATCH($B39,Minutes_by_use_case!$A$2:$A$9,0)),"-")</f>
        <v>2364.2857142857142</v>
      </c>
      <c r="R39" s="105">
        <f>IFERROR(INDEX(Minutes_by_use_case!$C$2:$C$9,MATCH($B39,Minutes_by_use_case!$A$2:$A$9,0)),"-")</f>
        <v>2364.2857142857142</v>
      </c>
      <c r="S39" s="105">
        <f>IFERROR(INDEX(Minutes_by_use_case!$C$2:$C$9,MATCH($B39,Minutes_by_use_case!$A$2:$A$9,0)),"-")</f>
        <v>2364.2857142857142</v>
      </c>
      <c r="T39" s="105">
        <f>IFERROR(INDEX(Minutes_by_use_case!$C$2:$C$9,MATCH($B39,Minutes_by_use_case!$A$2:$A$9,0)),"-")</f>
        <v>2364.2857142857142</v>
      </c>
      <c r="U39" s="105">
        <f>IFERROR(INDEX(Minutes_by_use_case!$C$2:$C$9,MATCH($B39,Minutes_by_use_case!$A$2:$A$9,0)),"-")</f>
        <v>2364.2857142857142</v>
      </c>
      <c r="V39" s="105">
        <f>IFERROR(INDEX(Minutes_by_use_case!$C$2:$C$9,MATCH($B39,Minutes_by_use_case!$A$2:$A$9,0)),"-")</f>
        <v>2364.2857142857142</v>
      </c>
    </row>
    <row r="40" spans="1:22" x14ac:dyDescent="0.25">
      <c r="A40" s="29" t="s">
        <v>36</v>
      </c>
      <c r="B40" s="29" t="s">
        <v>40</v>
      </c>
      <c r="C40" s="105">
        <f>IFERROR(INDEX(Minutes_by_use_case!$C$2:$C$9,MATCH($B40,Minutes_by_use_case!$A$2:$A$9,0)),"-")</f>
        <v>2364.2857142857142</v>
      </c>
      <c r="D40" s="105">
        <f>IFERROR(INDEX(Minutes_by_use_case!$C$2:$C$9,MATCH($B40,Minutes_by_use_case!$A$2:$A$9,0)),"-")</f>
        <v>2364.2857142857142</v>
      </c>
      <c r="E40" s="105">
        <f>IFERROR(INDEX(Minutes_by_use_case!$C$2:$C$9,MATCH($B40,Minutes_by_use_case!$A$2:$A$9,0)),"-")</f>
        <v>2364.2857142857142</v>
      </c>
      <c r="F40" s="105">
        <f>IFERROR(INDEX(Minutes_by_use_case!$C$2:$C$9,MATCH($B40,Minutes_by_use_case!$A$2:$A$9,0)),"-")</f>
        <v>2364.2857142857142</v>
      </c>
      <c r="G40" s="105">
        <f>IFERROR(INDEX(Minutes_by_use_case!$C$2:$C$9,MATCH($B40,Minutes_by_use_case!$A$2:$A$9,0)),"-")</f>
        <v>2364.2857142857142</v>
      </c>
      <c r="H40" s="105">
        <f>IFERROR(INDEX(Minutes_by_use_case!$C$2:$C$9,MATCH($B40,Minutes_by_use_case!$A$2:$A$9,0)),"-")</f>
        <v>2364.2857142857142</v>
      </c>
      <c r="I40" s="105">
        <f>IFERROR(INDEX(Minutes_by_use_case!$C$2:$C$9,MATCH($B40,Minutes_by_use_case!$A$2:$A$9,0)),"-")</f>
        <v>2364.2857142857142</v>
      </c>
      <c r="J40" s="105">
        <f>IFERROR(INDEX(Minutes_by_use_case!$C$2:$C$9,MATCH($B40,Minutes_by_use_case!$A$2:$A$9,0)),"-")</f>
        <v>2364.2857142857142</v>
      </c>
      <c r="K40" s="105">
        <f>IFERROR(INDEX(Minutes_by_use_case!$C$2:$C$9,MATCH($B40,Minutes_by_use_case!$A$2:$A$9,0)),"-")</f>
        <v>2364.2857142857142</v>
      </c>
      <c r="L40" s="105">
        <f>IFERROR(INDEX(Minutes_by_use_case!$C$2:$C$9,MATCH($B40,Minutes_by_use_case!$A$2:$A$9,0)),"-")</f>
        <v>2364.2857142857142</v>
      </c>
      <c r="M40" s="105">
        <f>IFERROR(INDEX(Minutes_by_use_case!$C$2:$C$9,MATCH($B40,Minutes_by_use_case!$A$2:$A$9,0)),"-")</f>
        <v>2364.2857142857142</v>
      </c>
      <c r="N40" s="105">
        <f>IFERROR(INDEX(Minutes_by_use_case!$C$2:$C$9,MATCH($B40,Minutes_by_use_case!$A$2:$A$9,0)),"-")</f>
        <v>2364.2857142857142</v>
      </c>
      <c r="O40" s="105">
        <f>IFERROR(INDEX(Minutes_by_use_case!$C$2:$C$9,MATCH($B40,Minutes_by_use_case!$A$2:$A$9,0)),"-")</f>
        <v>2364.2857142857142</v>
      </c>
      <c r="P40" s="105">
        <f>IFERROR(INDEX(Minutes_by_use_case!$C$2:$C$9,MATCH($B40,Minutes_by_use_case!$A$2:$A$9,0)),"-")</f>
        <v>2364.2857142857142</v>
      </c>
      <c r="Q40" s="105">
        <f>IFERROR(INDEX(Minutes_by_use_case!$C$2:$C$9,MATCH($B40,Minutes_by_use_case!$A$2:$A$9,0)),"-")</f>
        <v>2364.2857142857142</v>
      </c>
      <c r="R40" s="105">
        <f>IFERROR(INDEX(Minutes_by_use_case!$C$2:$C$9,MATCH($B40,Minutes_by_use_case!$A$2:$A$9,0)),"-")</f>
        <v>2364.2857142857142</v>
      </c>
      <c r="S40" s="105">
        <f>IFERROR(INDEX(Minutes_by_use_case!$C$2:$C$9,MATCH($B40,Minutes_by_use_case!$A$2:$A$9,0)),"-")</f>
        <v>2364.2857142857142</v>
      </c>
      <c r="T40" s="105">
        <f>IFERROR(INDEX(Minutes_by_use_case!$C$2:$C$9,MATCH($B40,Minutes_by_use_case!$A$2:$A$9,0)),"-")</f>
        <v>2364.2857142857142</v>
      </c>
      <c r="U40" s="105">
        <f>IFERROR(INDEX(Minutes_by_use_case!$C$2:$C$9,MATCH($B40,Minutes_by_use_case!$A$2:$A$9,0)),"-")</f>
        <v>2364.2857142857142</v>
      </c>
      <c r="V40" s="105">
        <f>IFERROR(INDEX(Minutes_by_use_case!$C$2:$C$9,MATCH($B40,Minutes_by_use_case!$A$2:$A$9,0)),"-")</f>
        <v>2364.2857142857142</v>
      </c>
    </row>
    <row r="41" spans="1:22" x14ac:dyDescent="0.25">
      <c r="A41" s="29" t="s">
        <v>37</v>
      </c>
      <c r="B41" s="29" t="s">
        <v>40</v>
      </c>
      <c r="C41" s="105">
        <f>IFERROR(INDEX(Minutes_by_use_case!$C$2:$C$9,MATCH($B41,Minutes_by_use_case!$A$2:$A$9,0)),"-")</f>
        <v>2364.2857142857142</v>
      </c>
      <c r="D41" s="105">
        <f>IFERROR(INDEX(Minutes_by_use_case!$C$2:$C$9,MATCH($B41,Minutes_by_use_case!$A$2:$A$9,0)),"-")</f>
        <v>2364.2857142857142</v>
      </c>
      <c r="E41" s="105">
        <f>IFERROR(INDEX(Minutes_by_use_case!$C$2:$C$9,MATCH($B41,Minutes_by_use_case!$A$2:$A$9,0)),"-")</f>
        <v>2364.2857142857142</v>
      </c>
      <c r="F41" s="105">
        <f>IFERROR(INDEX(Minutes_by_use_case!$C$2:$C$9,MATCH($B41,Minutes_by_use_case!$A$2:$A$9,0)),"-")</f>
        <v>2364.2857142857142</v>
      </c>
      <c r="G41" s="105">
        <f>IFERROR(INDEX(Minutes_by_use_case!$C$2:$C$9,MATCH($B41,Minutes_by_use_case!$A$2:$A$9,0)),"-")</f>
        <v>2364.2857142857142</v>
      </c>
      <c r="H41" s="105">
        <f>IFERROR(INDEX(Minutes_by_use_case!$C$2:$C$9,MATCH($B41,Minutes_by_use_case!$A$2:$A$9,0)),"-")</f>
        <v>2364.2857142857142</v>
      </c>
      <c r="I41" s="105">
        <f>IFERROR(INDEX(Minutes_by_use_case!$C$2:$C$9,MATCH($B41,Minutes_by_use_case!$A$2:$A$9,0)),"-")</f>
        <v>2364.2857142857142</v>
      </c>
      <c r="J41" s="105">
        <f>IFERROR(INDEX(Minutes_by_use_case!$C$2:$C$9,MATCH($B41,Minutes_by_use_case!$A$2:$A$9,0)),"-")</f>
        <v>2364.2857142857142</v>
      </c>
      <c r="K41" s="105">
        <f>IFERROR(INDEX(Minutes_by_use_case!$C$2:$C$9,MATCH($B41,Minutes_by_use_case!$A$2:$A$9,0)),"-")</f>
        <v>2364.2857142857142</v>
      </c>
      <c r="L41" s="105">
        <f>IFERROR(INDEX(Minutes_by_use_case!$C$2:$C$9,MATCH($B41,Minutes_by_use_case!$A$2:$A$9,0)),"-")</f>
        <v>2364.2857142857142</v>
      </c>
      <c r="M41" s="105">
        <f>IFERROR(INDEX(Minutes_by_use_case!$C$2:$C$9,MATCH($B41,Minutes_by_use_case!$A$2:$A$9,0)),"-")</f>
        <v>2364.2857142857142</v>
      </c>
      <c r="N41" s="105">
        <f>IFERROR(INDEX(Minutes_by_use_case!$C$2:$C$9,MATCH($B41,Minutes_by_use_case!$A$2:$A$9,0)),"-")</f>
        <v>2364.2857142857142</v>
      </c>
      <c r="O41" s="105">
        <f>IFERROR(INDEX(Minutes_by_use_case!$C$2:$C$9,MATCH($B41,Minutes_by_use_case!$A$2:$A$9,0)),"-")</f>
        <v>2364.2857142857142</v>
      </c>
      <c r="P41" s="105">
        <f>IFERROR(INDEX(Minutes_by_use_case!$C$2:$C$9,MATCH($B41,Minutes_by_use_case!$A$2:$A$9,0)),"-")</f>
        <v>2364.2857142857142</v>
      </c>
      <c r="Q41" s="105">
        <f>IFERROR(INDEX(Minutes_by_use_case!$C$2:$C$9,MATCH($B41,Minutes_by_use_case!$A$2:$A$9,0)),"-")</f>
        <v>2364.2857142857142</v>
      </c>
      <c r="R41" s="105">
        <f>IFERROR(INDEX(Minutes_by_use_case!$C$2:$C$9,MATCH($B41,Minutes_by_use_case!$A$2:$A$9,0)),"-")</f>
        <v>2364.2857142857142</v>
      </c>
      <c r="S41" s="105">
        <f>IFERROR(INDEX(Minutes_by_use_case!$C$2:$C$9,MATCH($B41,Minutes_by_use_case!$A$2:$A$9,0)),"-")</f>
        <v>2364.2857142857142</v>
      </c>
      <c r="T41" s="105">
        <f>IFERROR(INDEX(Minutes_by_use_case!$C$2:$C$9,MATCH($B41,Minutes_by_use_case!$A$2:$A$9,0)),"-")</f>
        <v>2364.2857142857142</v>
      </c>
      <c r="U41" s="105">
        <f>IFERROR(INDEX(Minutes_by_use_case!$C$2:$C$9,MATCH($B41,Minutes_by_use_case!$A$2:$A$9,0)),"-")</f>
        <v>2364.2857142857142</v>
      </c>
      <c r="V41" s="105">
        <f>IFERROR(INDEX(Minutes_by_use_case!$C$2:$C$9,MATCH($B41,Minutes_by_use_case!$A$2:$A$9,0)),"-")</f>
        <v>2364.2857142857142</v>
      </c>
    </row>
    <row r="42" spans="1:22" x14ac:dyDescent="0.25">
      <c r="A42" s="29" t="s">
        <v>38</v>
      </c>
      <c r="B42" s="29" t="s">
        <v>41</v>
      </c>
      <c r="C42" s="105">
        <f>IFERROR(INDEX(Minutes_by_use_case!$C$2:$C$9,MATCH($B42,Minutes_by_use_case!$A$2:$A$9,0)),"-")</f>
        <v>66700.388888888891</v>
      </c>
      <c r="D42" s="105">
        <f>IFERROR(INDEX(Minutes_by_use_case!$C$2:$C$9,MATCH($B42,Minutes_by_use_case!$A$2:$A$9,0)),"-")</f>
        <v>66700.388888888891</v>
      </c>
      <c r="E42" s="105">
        <f>IFERROR(INDEX(Minutes_by_use_case!$C$2:$C$9,MATCH($B42,Minutes_by_use_case!$A$2:$A$9,0)),"-")</f>
        <v>66700.388888888891</v>
      </c>
      <c r="F42" s="105">
        <f>IFERROR(INDEX(Minutes_by_use_case!$C$2:$C$9,MATCH($B42,Minutes_by_use_case!$A$2:$A$9,0)),"-")</f>
        <v>66700.388888888891</v>
      </c>
      <c r="G42" s="105">
        <f>IFERROR(INDEX(Minutes_by_use_case!$C$2:$C$9,MATCH($B42,Minutes_by_use_case!$A$2:$A$9,0)),"-")</f>
        <v>66700.388888888891</v>
      </c>
      <c r="H42" s="105">
        <f>IFERROR(INDEX(Minutes_by_use_case!$C$2:$C$9,MATCH($B42,Minutes_by_use_case!$A$2:$A$9,0)),"-")</f>
        <v>66700.388888888891</v>
      </c>
      <c r="I42" s="105">
        <f>IFERROR(INDEX(Minutes_by_use_case!$C$2:$C$9,MATCH($B42,Minutes_by_use_case!$A$2:$A$9,0)),"-")</f>
        <v>66700.388888888891</v>
      </c>
      <c r="J42" s="105">
        <f>IFERROR(INDEX(Minutes_by_use_case!$C$2:$C$9,MATCH($B42,Minutes_by_use_case!$A$2:$A$9,0)),"-")</f>
        <v>66700.388888888891</v>
      </c>
      <c r="K42" s="105">
        <f>IFERROR(INDEX(Minutes_by_use_case!$C$2:$C$9,MATCH($B42,Minutes_by_use_case!$A$2:$A$9,0)),"-")</f>
        <v>66700.388888888891</v>
      </c>
      <c r="L42" s="105">
        <f>IFERROR(INDEX(Minutes_by_use_case!$C$2:$C$9,MATCH($B42,Minutes_by_use_case!$A$2:$A$9,0)),"-")</f>
        <v>66700.388888888891</v>
      </c>
      <c r="M42" s="105">
        <f>IFERROR(INDEX(Minutes_by_use_case!$C$2:$C$9,MATCH($B42,Minutes_by_use_case!$A$2:$A$9,0)),"-")</f>
        <v>66700.388888888891</v>
      </c>
      <c r="N42" s="105">
        <f>IFERROR(INDEX(Minutes_by_use_case!$C$2:$C$9,MATCH($B42,Minutes_by_use_case!$A$2:$A$9,0)),"-")</f>
        <v>66700.388888888891</v>
      </c>
      <c r="O42" s="105">
        <f>IFERROR(INDEX(Minutes_by_use_case!$C$2:$C$9,MATCH($B42,Minutes_by_use_case!$A$2:$A$9,0)),"-")</f>
        <v>66700.388888888891</v>
      </c>
      <c r="P42" s="105">
        <f>IFERROR(INDEX(Minutes_by_use_case!$C$2:$C$9,MATCH($B42,Minutes_by_use_case!$A$2:$A$9,0)),"-")</f>
        <v>66700.388888888891</v>
      </c>
      <c r="Q42" s="105">
        <f>IFERROR(INDEX(Minutes_by_use_case!$C$2:$C$9,MATCH($B42,Minutes_by_use_case!$A$2:$A$9,0)),"-")</f>
        <v>66700.388888888891</v>
      </c>
      <c r="R42" s="105">
        <f>IFERROR(INDEX(Minutes_by_use_case!$C$2:$C$9,MATCH($B42,Minutes_by_use_case!$A$2:$A$9,0)),"-")</f>
        <v>66700.388888888891</v>
      </c>
      <c r="S42" s="105">
        <f>IFERROR(INDEX(Minutes_by_use_case!$C$2:$C$9,MATCH($B42,Minutes_by_use_case!$A$2:$A$9,0)),"-")</f>
        <v>66700.388888888891</v>
      </c>
      <c r="T42" s="105">
        <f>IFERROR(INDEX(Minutes_by_use_case!$C$2:$C$9,MATCH($B42,Minutes_by_use_case!$A$2:$A$9,0)),"-")</f>
        <v>66700.388888888891</v>
      </c>
      <c r="U42" s="105">
        <f>IFERROR(INDEX(Minutes_by_use_case!$C$2:$C$9,MATCH($B42,Minutes_by_use_case!$A$2:$A$9,0)),"-")</f>
        <v>66700.388888888891</v>
      </c>
      <c r="V42" s="105">
        <f>IFERROR(INDEX(Minutes_by_use_case!$C$2:$C$9,MATCH($B42,Minutes_by_use_case!$A$2:$A$9,0)),"-")</f>
        <v>66700.388888888891</v>
      </c>
    </row>
    <row r="43" spans="1:22" x14ac:dyDescent="0.25">
      <c r="A43" s="29" t="s">
        <v>39</v>
      </c>
      <c r="B43" s="29" t="s">
        <v>41</v>
      </c>
      <c r="C43" s="105">
        <f>IFERROR(INDEX(Minutes_by_use_case!$C$2:$C$9,MATCH($B43,Minutes_by_use_case!$A$2:$A$9,0)),"-")</f>
        <v>66700.388888888891</v>
      </c>
      <c r="D43" s="105">
        <f>IFERROR(INDEX(Minutes_by_use_case!$C$2:$C$9,MATCH($B43,Minutes_by_use_case!$A$2:$A$9,0)),"-")</f>
        <v>66700.388888888891</v>
      </c>
      <c r="E43" s="105">
        <f>IFERROR(INDEX(Minutes_by_use_case!$C$2:$C$9,MATCH($B43,Minutes_by_use_case!$A$2:$A$9,0)),"-")</f>
        <v>66700.388888888891</v>
      </c>
      <c r="F43" s="105">
        <f>IFERROR(INDEX(Minutes_by_use_case!$C$2:$C$9,MATCH($B43,Minutes_by_use_case!$A$2:$A$9,0)),"-")</f>
        <v>66700.388888888891</v>
      </c>
      <c r="G43" s="105">
        <f>IFERROR(INDEX(Minutes_by_use_case!$C$2:$C$9,MATCH($B43,Minutes_by_use_case!$A$2:$A$9,0)),"-")</f>
        <v>66700.388888888891</v>
      </c>
      <c r="H43" s="105">
        <f>IFERROR(INDEX(Minutes_by_use_case!$C$2:$C$9,MATCH($B43,Minutes_by_use_case!$A$2:$A$9,0)),"-")</f>
        <v>66700.388888888891</v>
      </c>
      <c r="I43" s="105">
        <f>IFERROR(INDEX(Minutes_by_use_case!$C$2:$C$9,MATCH($B43,Minutes_by_use_case!$A$2:$A$9,0)),"-")</f>
        <v>66700.388888888891</v>
      </c>
      <c r="J43" s="105">
        <f>IFERROR(INDEX(Minutes_by_use_case!$C$2:$C$9,MATCH($B43,Minutes_by_use_case!$A$2:$A$9,0)),"-")</f>
        <v>66700.388888888891</v>
      </c>
      <c r="K43" s="105">
        <f>IFERROR(INDEX(Minutes_by_use_case!$C$2:$C$9,MATCH($B43,Minutes_by_use_case!$A$2:$A$9,0)),"-")</f>
        <v>66700.388888888891</v>
      </c>
      <c r="L43" s="105">
        <f>IFERROR(INDEX(Minutes_by_use_case!$C$2:$C$9,MATCH($B43,Minutes_by_use_case!$A$2:$A$9,0)),"-")</f>
        <v>66700.388888888891</v>
      </c>
      <c r="M43" s="105">
        <f>IFERROR(INDEX(Minutes_by_use_case!$C$2:$C$9,MATCH($B43,Minutes_by_use_case!$A$2:$A$9,0)),"-")</f>
        <v>66700.388888888891</v>
      </c>
      <c r="N43" s="105">
        <f>IFERROR(INDEX(Minutes_by_use_case!$C$2:$C$9,MATCH($B43,Minutes_by_use_case!$A$2:$A$9,0)),"-")</f>
        <v>66700.388888888891</v>
      </c>
      <c r="O43" s="105">
        <f>IFERROR(INDEX(Minutes_by_use_case!$C$2:$C$9,MATCH($B43,Minutes_by_use_case!$A$2:$A$9,0)),"-")</f>
        <v>66700.388888888891</v>
      </c>
      <c r="P43" s="105">
        <f>IFERROR(INDEX(Minutes_by_use_case!$C$2:$C$9,MATCH($B43,Minutes_by_use_case!$A$2:$A$9,0)),"-")</f>
        <v>66700.388888888891</v>
      </c>
      <c r="Q43" s="105">
        <f>IFERROR(INDEX(Minutes_by_use_case!$C$2:$C$9,MATCH($B43,Minutes_by_use_case!$A$2:$A$9,0)),"-")</f>
        <v>66700.388888888891</v>
      </c>
      <c r="R43" s="105">
        <f>IFERROR(INDEX(Minutes_by_use_case!$C$2:$C$9,MATCH($B43,Minutes_by_use_case!$A$2:$A$9,0)),"-")</f>
        <v>66700.388888888891</v>
      </c>
      <c r="S43" s="105">
        <f>IFERROR(INDEX(Minutes_by_use_case!$C$2:$C$9,MATCH($B43,Minutes_by_use_case!$A$2:$A$9,0)),"-")</f>
        <v>66700.388888888891</v>
      </c>
      <c r="T43" s="105">
        <f>IFERROR(INDEX(Minutes_by_use_case!$C$2:$C$9,MATCH($B43,Minutes_by_use_case!$A$2:$A$9,0)),"-")</f>
        <v>66700.388888888891</v>
      </c>
      <c r="U43" s="105">
        <f>IFERROR(INDEX(Minutes_by_use_case!$C$2:$C$9,MATCH($B43,Minutes_by_use_case!$A$2:$A$9,0)),"-")</f>
        <v>66700.388888888891</v>
      </c>
      <c r="V43" s="105">
        <f>IFERROR(INDEX(Minutes_by_use_case!$C$2:$C$9,MATCH($B43,Minutes_by_use_case!$A$2:$A$9,0)),"-")</f>
        <v>66700.388888888891</v>
      </c>
    </row>
    <row r="44" spans="1:22" x14ac:dyDescent="0.25">
      <c r="A44" s="88" t="s">
        <v>88</v>
      </c>
      <c r="B44" s="20" t="s">
        <v>43</v>
      </c>
      <c r="C44" s="105">
        <f>Minutes_by_use_case!$C2</f>
        <v>114879</v>
      </c>
      <c r="D44" s="105">
        <f>Minutes_by_use_case!$C2</f>
        <v>114879</v>
      </c>
      <c r="E44" s="105">
        <f>Minutes_by_use_case!$C2</f>
        <v>114879</v>
      </c>
      <c r="F44" s="105">
        <f>Minutes_by_use_case!$C2</f>
        <v>114879</v>
      </c>
      <c r="G44" s="105">
        <f>Minutes_by_use_case!$C2</f>
        <v>114879</v>
      </c>
      <c r="H44" s="105">
        <f>Minutes_by_use_case!$C2</f>
        <v>114879</v>
      </c>
      <c r="I44" s="105">
        <f>Minutes_by_use_case!$C2</f>
        <v>114879</v>
      </c>
      <c r="J44" s="105">
        <f>Minutes_by_use_case!$C2</f>
        <v>114879</v>
      </c>
      <c r="K44" s="105">
        <f>Minutes_by_use_case!$C2</f>
        <v>114879</v>
      </c>
      <c r="L44" s="105">
        <f>Minutes_by_use_case!$C2</f>
        <v>114879</v>
      </c>
      <c r="M44" s="105">
        <f>Minutes_by_use_case!$C2</f>
        <v>114879</v>
      </c>
      <c r="N44" s="105">
        <f>Minutes_by_use_case!$C2</f>
        <v>114879</v>
      </c>
      <c r="O44" s="105">
        <f>Minutes_by_use_case!$C2</f>
        <v>114879</v>
      </c>
      <c r="P44" s="105">
        <f>Minutes_by_use_case!$C2</f>
        <v>114879</v>
      </c>
      <c r="Q44" s="105">
        <f>Minutes_by_use_case!$C2</f>
        <v>114879</v>
      </c>
      <c r="R44" s="105">
        <f>Minutes_by_use_case!$C2</f>
        <v>114879</v>
      </c>
      <c r="S44" s="105">
        <f>Minutes_by_use_case!$C2</f>
        <v>114879</v>
      </c>
      <c r="T44" s="105">
        <f>Minutes_by_use_case!$C2</f>
        <v>114879</v>
      </c>
      <c r="U44" s="105">
        <f>Minutes_by_use_case!$C2</f>
        <v>114879</v>
      </c>
      <c r="V44" s="105">
        <f>Minutes_by_use_case!$C2</f>
        <v>114879</v>
      </c>
    </row>
    <row r="45" spans="1:22" x14ac:dyDescent="0.25">
      <c r="A45" s="88" t="s">
        <v>88</v>
      </c>
      <c r="B45" s="20" t="s">
        <v>41</v>
      </c>
      <c r="C45" s="105">
        <f>Minutes_by_use_case!$C3</f>
        <v>66700.388888888891</v>
      </c>
      <c r="D45" s="105">
        <f>Minutes_by_use_case!$C3</f>
        <v>66700.388888888891</v>
      </c>
      <c r="E45" s="105">
        <f>Minutes_by_use_case!$C3</f>
        <v>66700.388888888891</v>
      </c>
      <c r="F45" s="105">
        <f>Minutes_by_use_case!$C3</f>
        <v>66700.388888888891</v>
      </c>
      <c r="G45" s="105">
        <f>Minutes_by_use_case!$C3</f>
        <v>66700.388888888891</v>
      </c>
      <c r="H45" s="105">
        <f>Minutes_by_use_case!$C3</f>
        <v>66700.388888888891</v>
      </c>
      <c r="I45" s="105">
        <f>Minutes_by_use_case!$C3</f>
        <v>66700.388888888891</v>
      </c>
      <c r="J45" s="105">
        <f>Minutes_by_use_case!$C3</f>
        <v>66700.388888888891</v>
      </c>
      <c r="K45" s="105">
        <f>Minutes_by_use_case!$C3</f>
        <v>66700.388888888891</v>
      </c>
      <c r="L45" s="105">
        <f>Minutes_by_use_case!$C3</f>
        <v>66700.388888888891</v>
      </c>
      <c r="M45" s="105">
        <f>Minutes_by_use_case!$C3</f>
        <v>66700.388888888891</v>
      </c>
      <c r="N45" s="105">
        <f>Minutes_by_use_case!$C3</f>
        <v>66700.388888888891</v>
      </c>
      <c r="O45" s="105">
        <f>Minutes_by_use_case!$C3</f>
        <v>66700.388888888891</v>
      </c>
      <c r="P45" s="105">
        <f>Minutes_by_use_case!$C3</f>
        <v>66700.388888888891</v>
      </c>
      <c r="Q45" s="105">
        <f>Minutes_by_use_case!$C3</f>
        <v>66700.388888888891</v>
      </c>
      <c r="R45" s="105">
        <f>Minutes_by_use_case!$C3</f>
        <v>66700.388888888891</v>
      </c>
      <c r="S45" s="105">
        <f>Minutes_by_use_case!$C3</f>
        <v>66700.388888888891</v>
      </c>
      <c r="T45" s="105">
        <f>Minutes_by_use_case!$C3</f>
        <v>66700.388888888891</v>
      </c>
      <c r="U45" s="105">
        <f>Minutes_by_use_case!$C3</f>
        <v>66700.388888888891</v>
      </c>
      <c r="V45" s="105">
        <f>Minutes_by_use_case!$C3</f>
        <v>66700.388888888891</v>
      </c>
    </row>
    <row r="46" spans="1:22" x14ac:dyDescent="0.25">
      <c r="A46" s="88" t="s">
        <v>88</v>
      </c>
      <c r="B46" s="20" t="s">
        <v>40</v>
      </c>
      <c r="C46" s="105">
        <f>Minutes_by_use_case!$C4</f>
        <v>2364.2857142857142</v>
      </c>
      <c r="D46" s="105">
        <f>Minutes_by_use_case!$C4</f>
        <v>2364.2857142857142</v>
      </c>
      <c r="E46" s="105">
        <f>Minutes_by_use_case!$C4</f>
        <v>2364.2857142857142</v>
      </c>
      <c r="F46" s="105">
        <f>Minutes_by_use_case!$C4</f>
        <v>2364.2857142857142</v>
      </c>
      <c r="G46" s="105">
        <f>Minutes_by_use_case!$C4</f>
        <v>2364.2857142857142</v>
      </c>
      <c r="H46" s="105">
        <f>Minutes_by_use_case!$C4</f>
        <v>2364.2857142857142</v>
      </c>
      <c r="I46" s="105">
        <f>Minutes_by_use_case!$C4</f>
        <v>2364.2857142857142</v>
      </c>
      <c r="J46" s="105">
        <f>Minutes_by_use_case!$C4</f>
        <v>2364.2857142857142</v>
      </c>
      <c r="K46" s="105">
        <f>Minutes_by_use_case!$C4</f>
        <v>2364.2857142857142</v>
      </c>
      <c r="L46" s="105">
        <f>Minutes_by_use_case!$C4</f>
        <v>2364.2857142857142</v>
      </c>
      <c r="M46" s="105">
        <f>Minutes_by_use_case!$C4</f>
        <v>2364.2857142857142</v>
      </c>
      <c r="N46" s="105">
        <f>Minutes_by_use_case!$C4</f>
        <v>2364.2857142857142</v>
      </c>
      <c r="O46" s="105">
        <f>Minutes_by_use_case!$C4</f>
        <v>2364.2857142857142</v>
      </c>
      <c r="P46" s="105">
        <f>Minutes_by_use_case!$C4</f>
        <v>2364.2857142857142</v>
      </c>
      <c r="Q46" s="105">
        <f>Minutes_by_use_case!$C4</f>
        <v>2364.2857142857142</v>
      </c>
      <c r="R46" s="105">
        <f>Minutes_by_use_case!$C4</f>
        <v>2364.2857142857142</v>
      </c>
      <c r="S46" s="105">
        <f>Minutes_by_use_case!$C4</f>
        <v>2364.2857142857142</v>
      </c>
      <c r="T46" s="105">
        <f>Minutes_by_use_case!$C4</f>
        <v>2364.2857142857142</v>
      </c>
      <c r="U46" s="105">
        <f>Minutes_by_use_case!$C4</f>
        <v>2364.2857142857142</v>
      </c>
      <c r="V46" s="105">
        <f>Minutes_by_use_case!$C4</f>
        <v>2364.2857142857142</v>
      </c>
    </row>
    <row r="47" spans="1:22" x14ac:dyDescent="0.25">
      <c r="A47" s="88" t="s">
        <v>88</v>
      </c>
      <c r="B47" s="20" t="s">
        <v>80</v>
      </c>
      <c r="C47" s="105" t="str">
        <f>Minutes_by_use_case!$C5</f>
        <v>-</v>
      </c>
      <c r="D47" s="105" t="str">
        <f>Minutes_by_use_case!$C5</f>
        <v>-</v>
      </c>
      <c r="E47" s="105" t="str">
        <f>Minutes_by_use_case!$C5</f>
        <v>-</v>
      </c>
      <c r="F47" s="105" t="str">
        <f>Minutes_by_use_case!$C5</f>
        <v>-</v>
      </c>
      <c r="G47" s="105" t="str">
        <f>Minutes_by_use_case!$C5</f>
        <v>-</v>
      </c>
      <c r="H47" s="105" t="str">
        <f>Minutes_by_use_case!$C5</f>
        <v>-</v>
      </c>
      <c r="I47" s="105" t="str">
        <f>Minutes_by_use_case!$C5</f>
        <v>-</v>
      </c>
      <c r="J47" s="105" t="str">
        <f>Minutes_by_use_case!$C5</f>
        <v>-</v>
      </c>
      <c r="K47" s="105" t="str">
        <f>Minutes_by_use_case!$C5</f>
        <v>-</v>
      </c>
      <c r="L47" s="105" t="str">
        <f>Minutes_by_use_case!$C5</f>
        <v>-</v>
      </c>
      <c r="M47" s="105" t="str">
        <f>Minutes_by_use_case!$C5</f>
        <v>-</v>
      </c>
      <c r="N47" s="105" t="str">
        <f>Minutes_by_use_case!$C5</f>
        <v>-</v>
      </c>
      <c r="O47" s="105" t="str">
        <f>Minutes_by_use_case!$C5</f>
        <v>-</v>
      </c>
      <c r="P47" s="105" t="str">
        <f>Minutes_by_use_case!$C5</f>
        <v>-</v>
      </c>
      <c r="Q47" s="105" t="str">
        <f>Minutes_by_use_case!$C5</f>
        <v>-</v>
      </c>
      <c r="R47" s="105" t="str">
        <f>Minutes_by_use_case!$C5</f>
        <v>-</v>
      </c>
      <c r="S47" s="105" t="str">
        <f>Minutes_by_use_case!$C5</f>
        <v>-</v>
      </c>
      <c r="T47" s="105" t="str">
        <f>Minutes_by_use_case!$C5</f>
        <v>-</v>
      </c>
      <c r="U47" s="105" t="str">
        <f>Minutes_by_use_case!$C5</f>
        <v>-</v>
      </c>
      <c r="V47" s="105" t="str">
        <f>Minutes_by_use_case!$C5</f>
        <v>-</v>
      </c>
    </row>
    <row r="48" spans="1:22" x14ac:dyDescent="0.25">
      <c r="A48" s="88" t="s">
        <v>88</v>
      </c>
      <c r="B48" s="20" t="s">
        <v>44</v>
      </c>
      <c r="C48" s="105">
        <f>Minutes_by_use_case!$C6</f>
        <v>460.5</v>
      </c>
      <c r="D48" s="105">
        <f>Minutes_by_use_case!$C6</f>
        <v>460.5</v>
      </c>
      <c r="E48" s="105">
        <f>Minutes_by_use_case!$C6</f>
        <v>460.5</v>
      </c>
      <c r="F48" s="105">
        <f>Minutes_by_use_case!$C6</f>
        <v>460.5</v>
      </c>
      <c r="G48" s="105">
        <f>Minutes_by_use_case!$C6</f>
        <v>460.5</v>
      </c>
      <c r="H48" s="105">
        <f>Minutes_by_use_case!$C6</f>
        <v>460.5</v>
      </c>
      <c r="I48" s="105">
        <f>Minutes_by_use_case!$C6</f>
        <v>460.5</v>
      </c>
      <c r="J48" s="105">
        <f>Minutes_by_use_case!$C6</f>
        <v>460.5</v>
      </c>
      <c r="K48" s="105">
        <f>Minutes_by_use_case!$C6</f>
        <v>460.5</v>
      </c>
      <c r="L48" s="105">
        <f>Minutes_by_use_case!$C6</f>
        <v>460.5</v>
      </c>
      <c r="M48" s="105">
        <f>Minutes_by_use_case!$C6</f>
        <v>460.5</v>
      </c>
      <c r="N48" s="105">
        <f>Minutes_by_use_case!$C6</f>
        <v>460.5</v>
      </c>
      <c r="O48" s="105">
        <f>Minutes_by_use_case!$C6</f>
        <v>460.5</v>
      </c>
      <c r="P48" s="105">
        <f>Minutes_by_use_case!$C6</f>
        <v>460.5</v>
      </c>
      <c r="Q48" s="105">
        <f>Minutes_by_use_case!$C6</f>
        <v>460.5</v>
      </c>
      <c r="R48" s="105">
        <f>Minutes_by_use_case!$C6</f>
        <v>460.5</v>
      </c>
      <c r="S48" s="105">
        <f>Minutes_by_use_case!$C6</f>
        <v>460.5</v>
      </c>
      <c r="T48" s="105">
        <f>Minutes_by_use_case!$C6</f>
        <v>460.5</v>
      </c>
      <c r="U48" s="105">
        <f>Minutes_by_use_case!$C6</f>
        <v>460.5</v>
      </c>
      <c r="V48" s="105">
        <f>Minutes_by_use_case!$C6</f>
        <v>460.5</v>
      </c>
    </row>
    <row r="49" spans="1:22" x14ac:dyDescent="0.25">
      <c r="A49" s="88" t="s">
        <v>88</v>
      </c>
      <c r="B49" s="20" t="s">
        <v>81</v>
      </c>
      <c r="C49" s="105" t="str">
        <f>Minutes_by_use_case!$C7</f>
        <v>-</v>
      </c>
      <c r="D49" s="105" t="str">
        <f>Minutes_by_use_case!$C7</f>
        <v>-</v>
      </c>
      <c r="E49" s="105" t="str">
        <f>Minutes_by_use_case!$C7</f>
        <v>-</v>
      </c>
      <c r="F49" s="105" t="str">
        <f>Minutes_by_use_case!$C7</f>
        <v>-</v>
      </c>
      <c r="G49" s="105" t="str">
        <f>Minutes_by_use_case!$C7</f>
        <v>-</v>
      </c>
      <c r="H49" s="105" t="str">
        <f>Minutes_by_use_case!$C7</f>
        <v>-</v>
      </c>
      <c r="I49" s="105" t="str">
        <f>Minutes_by_use_case!$C7</f>
        <v>-</v>
      </c>
      <c r="J49" s="105" t="str">
        <f>Minutes_by_use_case!$C7</f>
        <v>-</v>
      </c>
      <c r="K49" s="105" t="str">
        <f>Minutes_by_use_case!$C7</f>
        <v>-</v>
      </c>
      <c r="L49" s="105" t="str">
        <f>Minutes_by_use_case!$C7</f>
        <v>-</v>
      </c>
      <c r="M49" s="105" t="str">
        <f>Minutes_by_use_case!$C7</f>
        <v>-</v>
      </c>
      <c r="N49" s="105" t="str">
        <f>Minutes_by_use_case!$C7</f>
        <v>-</v>
      </c>
      <c r="O49" s="105" t="str">
        <f>Minutes_by_use_case!$C7</f>
        <v>-</v>
      </c>
      <c r="P49" s="105" t="str">
        <f>Minutes_by_use_case!$C7</f>
        <v>-</v>
      </c>
      <c r="Q49" s="105" t="str">
        <f>Minutes_by_use_case!$C7</f>
        <v>-</v>
      </c>
      <c r="R49" s="105" t="str">
        <f>Minutes_by_use_case!$C7</f>
        <v>-</v>
      </c>
      <c r="S49" s="105" t="str">
        <f>Minutes_by_use_case!$C7</f>
        <v>-</v>
      </c>
      <c r="T49" s="105" t="str">
        <f>Minutes_by_use_case!$C7</f>
        <v>-</v>
      </c>
      <c r="U49" s="105" t="str">
        <f>Minutes_by_use_case!$C7</f>
        <v>-</v>
      </c>
      <c r="V49" s="105" t="str">
        <f>Minutes_by_use_case!$C7</f>
        <v>-</v>
      </c>
    </row>
    <row r="50" spans="1:22" x14ac:dyDescent="0.25">
      <c r="A50" s="88" t="s">
        <v>88</v>
      </c>
      <c r="B50" s="20" t="s">
        <v>42</v>
      </c>
      <c r="C50" s="105">
        <f>Minutes_by_use_case!$C8</f>
        <v>2294</v>
      </c>
      <c r="D50" s="105">
        <f>Minutes_by_use_case!$C8</f>
        <v>2294</v>
      </c>
      <c r="E50" s="105">
        <f>Minutes_by_use_case!$C8</f>
        <v>2294</v>
      </c>
      <c r="F50" s="105">
        <f>Minutes_by_use_case!$C8</f>
        <v>2294</v>
      </c>
      <c r="G50" s="105">
        <f>Minutes_by_use_case!$C8</f>
        <v>2294</v>
      </c>
      <c r="H50" s="105">
        <f>Minutes_by_use_case!$C8</f>
        <v>2294</v>
      </c>
      <c r="I50" s="105">
        <f>Minutes_by_use_case!$C8</f>
        <v>2294</v>
      </c>
      <c r="J50" s="105">
        <f>Minutes_by_use_case!$C8</f>
        <v>2294</v>
      </c>
      <c r="K50" s="105">
        <f>Minutes_by_use_case!$C8</f>
        <v>2294</v>
      </c>
      <c r="L50" s="105">
        <f>Minutes_by_use_case!$C8</f>
        <v>2294</v>
      </c>
      <c r="M50" s="105">
        <f>Minutes_by_use_case!$C8</f>
        <v>2294</v>
      </c>
      <c r="N50" s="105">
        <f>Minutes_by_use_case!$C8</f>
        <v>2294</v>
      </c>
      <c r="O50" s="105">
        <f>Minutes_by_use_case!$C8</f>
        <v>2294</v>
      </c>
      <c r="P50" s="105">
        <f>Minutes_by_use_case!$C8</f>
        <v>2294</v>
      </c>
      <c r="Q50" s="105">
        <f>Minutes_by_use_case!$C8</f>
        <v>2294</v>
      </c>
      <c r="R50" s="105">
        <f>Minutes_by_use_case!$C8</f>
        <v>2294</v>
      </c>
      <c r="S50" s="105">
        <f>Minutes_by_use_case!$C8</f>
        <v>2294</v>
      </c>
      <c r="T50" s="105">
        <f>Minutes_by_use_case!$C8</f>
        <v>2294</v>
      </c>
      <c r="U50" s="105">
        <f>Minutes_by_use_case!$C8</f>
        <v>2294</v>
      </c>
      <c r="V50" s="105">
        <f>Minutes_by_use_case!$C8</f>
        <v>2294</v>
      </c>
    </row>
    <row r="51" spans="1:22" x14ac:dyDescent="0.25">
      <c r="A51" s="88" t="s">
        <v>88</v>
      </c>
      <c r="B51" s="20" t="s">
        <v>45</v>
      </c>
      <c r="C51" s="105">
        <f>Minutes_by_use_case!$C9</f>
        <v>33739.333333333336</v>
      </c>
      <c r="D51" s="105">
        <f>Minutes_by_use_case!$C9</f>
        <v>33739.333333333336</v>
      </c>
      <c r="E51" s="105">
        <f>Minutes_by_use_case!$C9</f>
        <v>33739.333333333336</v>
      </c>
      <c r="F51" s="105">
        <f>Minutes_by_use_case!$C9</f>
        <v>33739.333333333336</v>
      </c>
      <c r="G51" s="105">
        <f>Minutes_by_use_case!$C9</f>
        <v>33739.333333333336</v>
      </c>
      <c r="H51" s="105">
        <f>Minutes_by_use_case!$C9</f>
        <v>33739.333333333336</v>
      </c>
      <c r="I51" s="105">
        <f>Minutes_by_use_case!$C9</f>
        <v>33739.333333333336</v>
      </c>
      <c r="J51" s="105">
        <f>Minutes_by_use_case!$C9</f>
        <v>33739.333333333336</v>
      </c>
      <c r="K51" s="105">
        <f>Minutes_by_use_case!$C9</f>
        <v>33739.333333333336</v>
      </c>
      <c r="L51" s="105">
        <f>Minutes_by_use_case!$C9</f>
        <v>33739.333333333336</v>
      </c>
      <c r="M51" s="105">
        <f>Minutes_by_use_case!$C9</f>
        <v>33739.333333333336</v>
      </c>
      <c r="N51" s="105">
        <f>Minutes_by_use_case!$C9</f>
        <v>33739.333333333336</v>
      </c>
      <c r="O51" s="105">
        <f>Minutes_by_use_case!$C9</f>
        <v>33739.333333333336</v>
      </c>
      <c r="P51" s="105">
        <f>Minutes_by_use_case!$C9</f>
        <v>33739.333333333336</v>
      </c>
      <c r="Q51" s="105">
        <f>Minutes_by_use_case!$C9</f>
        <v>33739.333333333336</v>
      </c>
      <c r="R51" s="105">
        <f>Minutes_by_use_case!$C9</f>
        <v>33739.333333333336</v>
      </c>
      <c r="S51" s="105">
        <f>Minutes_by_use_case!$C9</f>
        <v>33739.333333333336</v>
      </c>
      <c r="T51" s="105">
        <f>Minutes_by_use_case!$C9</f>
        <v>33739.333333333336</v>
      </c>
      <c r="U51" s="105">
        <f>Minutes_by_use_case!$C9</f>
        <v>33739.333333333336</v>
      </c>
      <c r="V51" s="105">
        <f>Minutes_by_use_case!$C9</f>
        <v>33739.333333333336</v>
      </c>
    </row>
    <row r="53" spans="1:22" ht="14.4" x14ac:dyDescent="0.3">
      <c r="A53" s="109" t="s">
        <v>136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7FEAF-8872-4B85-A96F-20913412F09E}">
  <sheetPr>
    <tabColor rgb="FF0B3D91"/>
  </sheetPr>
  <dimension ref="A1:W220"/>
  <sheetViews>
    <sheetView zoomScaleNormal="100" workbookViewId="0">
      <selection activeCell="D24" sqref="D24"/>
    </sheetView>
  </sheetViews>
  <sheetFormatPr defaultRowHeight="13.8" x14ac:dyDescent="0.25"/>
  <cols>
    <col min="1" max="1" width="19.6640625" style="2" customWidth="1"/>
    <col min="2" max="2" width="50.5546875" style="2" customWidth="1"/>
    <col min="3" max="22" width="13.5546875" style="82" bestFit="1" customWidth="1"/>
    <col min="23" max="23" width="13.21875" style="2" bestFit="1" customWidth="1"/>
    <col min="24" max="16384" width="8.88671875" style="2"/>
  </cols>
  <sheetData>
    <row r="1" spans="1:23" x14ac:dyDescent="0.25">
      <c r="A1" s="76" t="s">
        <v>16</v>
      </c>
      <c r="B1" s="76" t="s">
        <v>82</v>
      </c>
      <c r="C1" s="75">
        <v>2021</v>
      </c>
      <c r="D1" s="76">
        <v>2022</v>
      </c>
      <c r="E1" s="75">
        <v>2023</v>
      </c>
      <c r="F1" s="76">
        <v>2024</v>
      </c>
      <c r="G1" s="75">
        <v>2025</v>
      </c>
      <c r="H1" s="76">
        <v>2026</v>
      </c>
      <c r="I1" s="75">
        <v>2027</v>
      </c>
      <c r="J1" s="76">
        <v>2028</v>
      </c>
      <c r="K1" s="75">
        <v>2029</v>
      </c>
      <c r="L1" s="76">
        <v>2030</v>
      </c>
      <c r="M1" s="75">
        <v>2031</v>
      </c>
      <c r="N1" s="76">
        <v>2032</v>
      </c>
      <c r="O1" s="75">
        <v>2033</v>
      </c>
      <c r="P1" s="76">
        <v>2034</v>
      </c>
      <c r="Q1" s="75">
        <v>2035</v>
      </c>
      <c r="R1" s="76">
        <v>2036</v>
      </c>
      <c r="S1" s="75">
        <v>2037</v>
      </c>
      <c r="T1" s="76">
        <v>2038</v>
      </c>
      <c r="U1" s="75">
        <v>2039</v>
      </c>
      <c r="V1" s="76">
        <v>2040</v>
      </c>
    </row>
    <row r="2" spans="1:23" x14ac:dyDescent="0.25">
      <c r="A2" s="29" t="s">
        <v>17</v>
      </c>
      <c r="B2" s="29" t="s">
        <v>41</v>
      </c>
      <c r="C2" s="105">
        <f>IFERROR(INDEX(lifespans_all!C$2:C$56,MATCH($A2,lifespans_all!$A$2:$A$56,0))*INDEX(SR_mission_minutes!C$2:C$43,MATCH($A2,SR_mission_minutes!$A$2:$A$43)),"-")</f>
        <v>66700.388888888891</v>
      </c>
      <c r="D2" s="105">
        <f>IFERROR(INDEX(lifespans_all!D$2:D$56,MATCH($A2,lifespans_all!$A$2:$A$56,0))*INDEX(SR_mission_minutes!D$2:D$43,MATCH($A2,SR_mission_minutes!$A$2:$A$43)),"-")</f>
        <v>66700.388888888891</v>
      </c>
      <c r="E2" s="105">
        <f>IFERROR(INDEX(lifespans_all!E$2:E$56,MATCH($A2,lifespans_all!$A$2:$A$56,0))*INDEX(SR_mission_minutes!E$2:E$43,MATCH($A2,SR_mission_minutes!$A$2:$A$43)),"-")</f>
        <v>66700.388888888891</v>
      </c>
      <c r="F2" s="105">
        <f>IFERROR(INDEX(lifespans_all!F$2:F$56,MATCH($A2,lifespans_all!$A$2:$A$56,0))*INDEX(SR_mission_minutes!F$2:F$43,MATCH($A2,SR_mission_minutes!$A$2:$A$43)),"-")</f>
        <v>66700.388888888891</v>
      </c>
      <c r="G2" s="105">
        <f>IFERROR(INDEX(lifespans_all!G$2:G$56,MATCH($A2,lifespans_all!$A$2:$A$56,0))*INDEX(SR_mission_minutes!G$2:G$43,MATCH($A2,SR_mission_minutes!$A$2:$A$43)),"-")</f>
        <v>0</v>
      </c>
      <c r="H2" s="105">
        <f>IFERROR(INDEX(lifespans_all!H$2:H$56,MATCH($A2,lifespans_all!$A$2:$A$56,0))*INDEX(SR_mission_minutes!H$2:H$43,MATCH($A2,SR_mission_minutes!$A$2:$A$43)),"-")</f>
        <v>0</v>
      </c>
      <c r="I2" s="105">
        <f>IFERROR(INDEX(lifespans_all!I$2:I$56,MATCH($A2,lifespans_all!$A$2:$A$56,0))*INDEX(SR_mission_minutes!I$2:I$43,MATCH($A2,SR_mission_minutes!$A$2:$A$43)),"-")</f>
        <v>0</v>
      </c>
      <c r="J2" s="105">
        <f>IFERROR(INDEX(lifespans_all!J$2:J$56,MATCH($A2,lifespans_all!$A$2:$A$56,0))*INDEX(SR_mission_minutes!J$2:J$43,MATCH($A2,SR_mission_minutes!$A$2:$A$43)),"-")</f>
        <v>0</v>
      </c>
      <c r="K2" s="105">
        <f>IFERROR(INDEX(lifespans_all!K$2:K$56,MATCH($A2,lifespans_all!$A$2:$A$56,0))*INDEX(SR_mission_minutes!K$2:K$43,MATCH($A2,SR_mission_minutes!$A$2:$A$43)),"-")</f>
        <v>0</v>
      </c>
      <c r="L2" s="105">
        <f>IFERROR(INDEX(lifespans_all!L$2:L$56,MATCH($A2,lifespans_all!$A$2:$A$56,0))*INDEX(SR_mission_minutes!L$2:L$43,MATCH($A2,SR_mission_minutes!$A$2:$A$43)),"-")</f>
        <v>0</v>
      </c>
      <c r="M2" s="105">
        <f>IFERROR(INDEX(lifespans_all!M$2:M$56,MATCH($A2,lifespans_all!$A$2:$A$56,0))*INDEX(SR_mission_minutes!M$2:M$43,MATCH($A2,SR_mission_minutes!$A$2:$A$43)),"-")</f>
        <v>0</v>
      </c>
      <c r="N2" s="105">
        <f>IFERROR(INDEX(lifespans_all!N$2:N$56,MATCH($A2,lifespans_all!$A$2:$A$56,0))*INDEX(SR_mission_minutes!N$2:N$43,MATCH($A2,SR_mission_minutes!$A$2:$A$43)),"-")</f>
        <v>0</v>
      </c>
      <c r="O2" s="105">
        <f>IFERROR(INDEX(lifespans_all!O$2:O$56,MATCH($A2,lifespans_all!$A$2:$A$56,0))*INDEX(SR_mission_minutes!O$2:O$43,MATCH($A2,SR_mission_minutes!$A$2:$A$43)),"-")</f>
        <v>0</v>
      </c>
      <c r="P2" s="105">
        <f>IFERROR(INDEX(lifespans_all!P$2:P$56,MATCH($A2,lifespans_all!$A$2:$A$56,0))*INDEX(SR_mission_minutes!P$2:P$43,MATCH($A2,SR_mission_minutes!$A$2:$A$43)),"-")</f>
        <v>0</v>
      </c>
      <c r="Q2" s="105">
        <f>IFERROR(INDEX(lifespans_all!Q$2:Q$56,MATCH($A2,lifespans_all!$A$2:$A$56,0))*INDEX(SR_mission_minutes!Q$2:Q$43,MATCH($A2,SR_mission_minutes!$A$2:$A$43)),"-")</f>
        <v>0</v>
      </c>
      <c r="R2" s="105">
        <f>IFERROR(INDEX(lifespans_all!R$2:R$56,MATCH($A2,lifespans_all!$A$2:$A$56,0))*INDEX(SR_mission_minutes!R$2:R$43,MATCH($A2,SR_mission_minutes!$A$2:$A$43)),"-")</f>
        <v>0</v>
      </c>
      <c r="S2" s="105">
        <f>IFERROR(INDEX(lifespans_all!S$2:S$56,MATCH($A2,lifespans_all!$A$2:$A$56,0))*INDEX(SR_mission_minutes!S$2:S$43,MATCH($A2,SR_mission_minutes!$A$2:$A$43)),"-")</f>
        <v>0</v>
      </c>
      <c r="T2" s="105">
        <f>IFERROR(INDEX(lifespans_all!T$2:T$56,MATCH($A2,lifespans_all!$A$2:$A$56,0))*INDEX(SR_mission_minutes!T$2:T$43,MATCH($A2,SR_mission_minutes!$A$2:$A$43)),"-")</f>
        <v>0</v>
      </c>
      <c r="U2" s="105">
        <f>IFERROR(INDEX(lifespans_all!U$2:U$56,MATCH($A2,lifespans_all!$A$2:$A$56,0))*INDEX(SR_mission_minutes!U$2:U$43,MATCH($A2,SR_mission_minutes!$A$2:$A$43)),"-")</f>
        <v>0</v>
      </c>
      <c r="V2" s="105">
        <f>IFERROR(INDEX(lifespans_all!V$2:V$56,MATCH($A2,lifespans_all!$A$2:$A$56,0))*INDEX(SR_mission_minutes!V$2:V$43,MATCH($A2,SR_mission_minutes!$A$2:$A$43)),"-")</f>
        <v>0</v>
      </c>
      <c r="W2" s="19"/>
    </row>
    <row r="3" spans="1:23" x14ac:dyDescent="0.25">
      <c r="A3" s="29" t="s">
        <v>49</v>
      </c>
      <c r="B3" s="29" t="s">
        <v>41</v>
      </c>
      <c r="C3" s="105">
        <f>IFERROR(INDEX(lifespans_all!C$2:C$56,MATCH($A3,lifespans_all!$A$2:$A$56,0))*INDEX(SR_mission_minutes!C$2:C$43,MATCH($A3,SR_mission_minutes!$A$2:$A$43)),"-")</f>
        <v>66700.388888888891</v>
      </c>
      <c r="D3" s="105">
        <f>IFERROR(INDEX(lifespans_all!D$2:D$56,MATCH($A3,lifespans_all!$A$2:$A$56,0))*INDEX(SR_mission_minutes!D$2:D$43,MATCH($A3,SR_mission_minutes!$A$2:$A$43)),"-")</f>
        <v>66700.388888888891</v>
      </c>
      <c r="E3" s="105">
        <f>IFERROR(INDEX(lifespans_all!E$2:E$56,MATCH($A3,lifespans_all!$A$2:$A$56,0))*INDEX(SR_mission_minutes!E$2:E$43,MATCH($A3,SR_mission_minutes!$A$2:$A$43)),"-")</f>
        <v>66700.388888888891</v>
      </c>
      <c r="F3" s="105">
        <f>IFERROR(INDEX(lifespans_all!F$2:F$56,MATCH($A3,lifespans_all!$A$2:$A$56,0))*INDEX(SR_mission_minutes!F$2:F$43,MATCH($A3,SR_mission_minutes!$A$2:$A$43)),"-")</f>
        <v>66700.388888888891</v>
      </c>
      <c r="G3" s="105">
        <f>IFERROR(INDEX(lifespans_all!G$2:G$56,MATCH($A3,lifespans_all!$A$2:$A$56,0))*INDEX(SR_mission_minutes!G$2:G$43,MATCH($A3,SR_mission_minutes!$A$2:$A$43)),"-")</f>
        <v>66700.388888888891</v>
      </c>
      <c r="H3" s="105">
        <f>IFERROR(INDEX(lifespans_all!H$2:H$56,MATCH($A3,lifespans_all!$A$2:$A$56,0))*INDEX(SR_mission_minutes!H$2:H$43,MATCH($A3,SR_mission_minutes!$A$2:$A$43)),"-")</f>
        <v>66700.388888888891</v>
      </c>
      <c r="I3" s="105">
        <f>IFERROR(INDEX(lifespans_all!I$2:I$56,MATCH($A3,lifespans_all!$A$2:$A$56,0))*INDEX(SR_mission_minutes!I$2:I$43,MATCH($A3,SR_mission_minutes!$A$2:$A$43)),"-")</f>
        <v>0</v>
      </c>
      <c r="J3" s="105">
        <f>IFERROR(INDEX(lifespans_all!J$2:J$56,MATCH($A3,lifespans_all!$A$2:$A$56,0))*INDEX(SR_mission_minutes!J$2:J$43,MATCH($A3,SR_mission_minutes!$A$2:$A$43)),"-")</f>
        <v>0</v>
      </c>
      <c r="K3" s="105">
        <f>IFERROR(INDEX(lifespans_all!K$2:K$56,MATCH($A3,lifespans_all!$A$2:$A$56,0))*INDEX(SR_mission_minutes!K$2:K$43,MATCH($A3,SR_mission_minutes!$A$2:$A$43)),"-")</f>
        <v>0</v>
      </c>
      <c r="L3" s="105">
        <f>IFERROR(INDEX(lifespans_all!L$2:L$56,MATCH($A3,lifespans_all!$A$2:$A$56,0))*INDEX(SR_mission_minutes!L$2:L$43,MATCH($A3,SR_mission_minutes!$A$2:$A$43)),"-")</f>
        <v>0</v>
      </c>
      <c r="M3" s="105">
        <f>IFERROR(INDEX(lifespans_all!M$2:M$56,MATCH($A3,lifespans_all!$A$2:$A$56,0))*INDEX(SR_mission_minutes!M$2:M$43,MATCH($A3,SR_mission_minutes!$A$2:$A$43)),"-")</f>
        <v>0</v>
      </c>
      <c r="N3" s="105">
        <f>IFERROR(INDEX(lifespans_all!N$2:N$56,MATCH($A3,lifespans_all!$A$2:$A$56,0))*INDEX(SR_mission_minutes!N$2:N$43,MATCH($A3,SR_mission_minutes!$A$2:$A$43)),"-")</f>
        <v>0</v>
      </c>
      <c r="O3" s="105">
        <f>IFERROR(INDEX(lifespans_all!O$2:O$56,MATCH($A3,lifespans_all!$A$2:$A$56,0))*INDEX(SR_mission_minutes!O$2:O$43,MATCH($A3,SR_mission_minutes!$A$2:$A$43)),"-")</f>
        <v>0</v>
      </c>
      <c r="P3" s="105">
        <f>IFERROR(INDEX(lifespans_all!P$2:P$56,MATCH($A3,lifespans_all!$A$2:$A$56,0))*INDEX(SR_mission_minutes!P$2:P$43,MATCH($A3,SR_mission_minutes!$A$2:$A$43)),"-")</f>
        <v>0</v>
      </c>
      <c r="Q3" s="105">
        <f>IFERROR(INDEX(lifespans_all!Q$2:Q$56,MATCH($A3,lifespans_all!$A$2:$A$56,0))*INDEX(SR_mission_minutes!Q$2:Q$43,MATCH($A3,SR_mission_minutes!$A$2:$A$43)),"-")</f>
        <v>0</v>
      </c>
      <c r="R3" s="105">
        <f>IFERROR(INDEX(lifespans_all!R$2:R$56,MATCH($A3,lifespans_all!$A$2:$A$56,0))*INDEX(SR_mission_minutes!R$2:R$43,MATCH($A3,SR_mission_minutes!$A$2:$A$43)),"-")</f>
        <v>0</v>
      </c>
      <c r="S3" s="105">
        <f>IFERROR(INDEX(lifespans_all!S$2:S$56,MATCH($A3,lifespans_all!$A$2:$A$56,0))*INDEX(SR_mission_minutes!S$2:S$43,MATCH($A3,SR_mission_minutes!$A$2:$A$43)),"-")</f>
        <v>0</v>
      </c>
      <c r="T3" s="105">
        <f>IFERROR(INDEX(lifespans_all!T$2:T$56,MATCH($A3,lifespans_all!$A$2:$A$56,0))*INDEX(SR_mission_minutes!T$2:T$43,MATCH($A3,SR_mission_minutes!$A$2:$A$43)),"-")</f>
        <v>0</v>
      </c>
      <c r="U3" s="105">
        <f>IFERROR(INDEX(lifespans_all!U$2:U$56,MATCH($A3,lifespans_all!$A$2:$A$56,0))*INDEX(SR_mission_minutes!U$2:U$43,MATCH($A3,SR_mission_minutes!$A$2:$A$43)),"-")</f>
        <v>0</v>
      </c>
      <c r="V3" s="105">
        <f>IFERROR(INDEX(lifespans_all!V$2:V$56,MATCH($A3,lifespans_all!$A$2:$A$56,0))*INDEX(SR_mission_minutes!V$2:V$43,MATCH($A3,SR_mission_minutes!$A$2:$A$43)),"-")</f>
        <v>0</v>
      </c>
    </row>
    <row r="4" spans="1:23" x14ac:dyDescent="0.25">
      <c r="A4" s="29" t="s">
        <v>51</v>
      </c>
      <c r="B4" s="29" t="s">
        <v>42</v>
      </c>
      <c r="C4" s="105">
        <f>IFERROR(INDEX(lifespans_all!C$2:C$56,MATCH($A4,lifespans_all!$A$2:$A$56,0))*INDEX(SR_mission_minutes!C$2:C$43,MATCH($A4,SR_mission_minutes!$A$2:$A$43)),"-")</f>
        <v>2294</v>
      </c>
      <c r="D4" s="105">
        <f>IFERROR(INDEX(lifespans_all!D$2:D$56,MATCH($A4,lifespans_all!$A$2:$A$56,0))*INDEX(SR_mission_minutes!D$2:D$43,MATCH($A4,SR_mission_minutes!$A$2:$A$43)),"-")</f>
        <v>2294</v>
      </c>
      <c r="E4" s="105">
        <f>IFERROR(INDEX(lifespans_all!E$2:E$56,MATCH($A4,lifespans_all!$A$2:$A$56,0))*INDEX(SR_mission_minutes!E$2:E$43,MATCH($A4,SR_mission_minutes!$A$2:$A$43)),"-")</f>
        <v>2294</v>
      </c>
      <c r="F4" s="105">
        <f>IFERROR(INDEX(lifespans_all!F$2:F$56,MATCH($A4,lifespans_all!$A$2:$A$56,0))*INDEX(SR_mission_minutes!F$2:F$43,MATCH($A4,SR_mission_minutes!$A$2:$A$43)),"-")</f>
        <v>2294</v>
      </c>
      <c r="G4" s="105">
        <f>IFERROR(INDEX(lifespans_all!G$2:G$56,MATCH($A4,lifespans_all!$A$2:$A$56,0))*INDEX(SR_mission_minutes!G$2:G$43,MATCH($A4,SR_mission_minutes!$A$2:$A$43)),"-")</f>
        <v>0</v>
      </c>
      <c r="H4" s="105">
        <f>IFERROR(INDEX(lifespans_all!H$2:H$56,MATCH($A4,lifespans_all!$A$2:$A$56,0))*INDEX(SR_mission_minutes!H$2:H$43,MATCH($A4,SR_mission_minutes!$A$2:$A$43)),"-")</f>
        <v>0</v>
      </c>
      <c r="I4" s="105">
        <f>IFERROR(INDEX(lifespans_all!I$2:I$56,MATCH($A4,lifespans_all!$A$2:$A$56,0))*INDEX(SR_mission_minutes!I$2:I$43,MATCH($A4,SR_mission_minutes!$A$2:$A$43)),"-")</f>
        <v>0</v>
      </c>
      <c r="J4" s="105">
        <f>IFERROR(INDEX(lifespans_all!J$2:J$56,MATCH($A4,lifespans_all!$A$2:$A$56,0))*INDEX(SR_mission_minutes!J$2:J$43,MATCH($A4,SR_mission_minutes!$A$2:$A$43)),"-")</f>
        <v>0</v>
      </c>
      <c r="K4" s="105">
        <f>IFERROR(INDEX(lifespans_all!K$2:K$56,MATCH($A4,lifespans_all!$A$2:$A$56,0))*INDEX(SR_mission_minutes!K$2:K$43,MATCH($A4,SR_mission_minutes!$A$2:$A$43)),"-")</f>
        <v>0</v>
      </c>
      <c r="L4" s="105">
        <f>IFERROR(INDEX(lifespans_all!L$2:L$56,MATCH($A4,lifespans_all!$A$2:$A$56,0))*INDEX(SR_mission_minutes!L$2:L$43,MATCH($A4,SR_mission_minutes!$A$2:$A$43)),"-")</f>
        <v>0</v>
      </c>
      <c r="M4" s="105">
        <f>IFERROR(INDEX(lifespans_all!M$2:M$56,MATCH($A4,lifespans_all!$A$2:$A$56,0))*INDEX(SR_mission_minutes!M$2:M$43,MATCH($A4,SR_mission_minutes!$A$2:$A$43)),"-")</f>
        <v>0</v>
      </c>
      <c r="N4" s="105">
        <f>IFERROR(INDEX(lifespans_all!N$2:N$56,MATCH($A4,lifespans_all!$A$2:$A$56,0))*INDEX(SR_mission_minutes!N$2:N$43,MATCH($A4,SR_mission_minutes!$A$2:$A$43)),"-")</f>
        <v>0</v>
      </c>
      <c r="O4" s="105">
        <f>IFERROR(INDEX(lifespans_all!O$2:O$56,MATCH($A4,lifespans_all!$A$2:$A$56,0))*INDEX(SR_mission_minutes!O$2:O$43,MATCH($A4,SR_mission_minutes!$A$2:$A$43)),"-")</f>
        <v>0</v>
      </c>
      <c r="P4" s="105">
        <f>IFERROR(INDEX(lifespans_all!P$2:P$56,MATCH($A4,lifespans_all!$A$2:$A$56,0))*INDEX(SR_mission_minutes!P$2:P$43,MATCH($A4,SR_mission_minutes!$A$2:$A$43)),"-")</f>
        <v>0</v>
      </c>
      <c r="Q4" s="105">
        <f>IFERROR(INDEX(lifespans_all!Q$2:Q$56,MATCH($A4,lifespans_all!$A$2:$A$56,0))*INDEX(SR_mission_minutes!Q$2:Q$43,MATCH($A4,SR_mission_minutes!$A$2:$A$43)),"-")</f>
        <v>0</v>
      </c>
      <c r="R4" s="105">
        <f>IFERROR(INDEX(lifespans_all!R$2:R$56,MATCH($A4,lifespans_all!$A$2:$A$56,0))*INDEX(SR_mission_minutes!R$2:R$43,MATCH($A4,SR_mission_minutes!$A$2:$A$43)),"-")</f>
        <v>0</v>
      </c>
      <c r="S4" s="105">
        <f>IFERROR(INDEX(lifespans_all!S$2:S$56,MATCH($A4,lifespans_all!$A$2:$A$56,0))*INDEX(SR_mission_minutes!S$2:S$43,MATCH($A4,SR_mission_minutes!$A$2:$A$43)),"-")</f>
        <v>0</v>
      </c>
      <c r="T4" s="105">
        <f>IFERROR(INDEX(lifespans_all!T$2:T$56,MATCH($A4,lifespans_all!$A$2:$A$56,0))*INDEX(SR_mission_minutes!T$2:T$43,MATCH($A4,SR_mission_minutes!$A$2:$A$43)),"-")</f>
        <v>0</v>
      </c>
      <c r="U4" s="105">
        <f>IFERROR(INDEX(lifespans_all!U$2:U$56,MATCH($A4,lifespans_all!$A$2:$A$56,0))*INDEX(SR_mission_minutes!U$2:U$43,MATCH($A4,SR_mission_minutes!$A$2:$A$43)),"-")</f>
        <v>0</v>
      </c>
      <c r="V4" s="105">
        <f>IFERROR(INDEX(lifespans_all!V$2:V$56,MATCH($A4,lifespans_all!$A$2:$A$56,0))*INDEX(SR_mission_minutes!V$2:V$43,MATCH($A4,SR_mission_minutes!$A$2:$A$43)),"-")</f>
        <v>0</v>
      </c>
    </row>
    <row r="5" spans="1:23" x14ac:dyDescent="0.25">
      <c r="A5" s="29" t="s">
        <v>52</v>
      </c>
      <c r="B5" s="29" t="s">
        <v>41</v>
      </c>
      <c r="C5" s="105">
        <f>IFERROR(INDEX(lifespans_all!C$2:C$56,MATCH($A5,lifespans_all!$A$2:$A$56,0))*INDEX(SR_mission_minutes!C$2:C$43,MATCH($A5,SR_mission_minutes!$A$2:$A$43)),"-")</f>
        <v>66700.388888888891</v>
      </c>
      <c r="D5" s="105">
        <f>IFERROR(INDEX(lifespans_all!D$2:D$56,MATCH($A5,lifespans_all!$A$2:$A$56,0))*INDEX(SR_mission_minutes!D$2:D$43,MATCH($A5,SR_mission_minutes!$A$2:$A$43)),"-")</f>
        <v>66700.388888888891</v>
      </c>
      <c r="E5" s="105">
        <f>IFERROR(INDEX(lifespans_all!E$2:E$56,MATCH($A5,lifespans_all!$A$2:$A$56,0))*INDEX(SR_mission_minutes!E$2:E$43,MATCH($A5,SR_mission_minutes!$A$2:$A$43)),"-")</f>
        <v>66700.388888888891</v>
      </c>
      <c r="F5" s="105">
        <f>IFERROR(INDEX(lifespans_all!F$2:F$56,MATCH($A5,lifespans_all!$A$2:$A$56,0))*INDEX(SR_mission_minutes!F$2:F$43,MATCH($A5,SR_mission_minutes!$A$2:$A$43)),"-")</f>
        <v>66700.388888888891</v>
      </c>
      <c r="G5" s="105">
        <f>IFERROR(INDEX(lifespans_all!G$2:G$56,MATCH($A5,lifespans_all!$A$2:$A$56,0))*INDEX(SR_mission_minutes!G$2:G$43,MATCH($A5,SR_mission_minutes!$A$2:$A$43)),"-")</f>
        <v>66700.388888888891</v>
      </c>
      <c r="H5" s="105">
        <f>IFERROR(INDEX(lifespans_all!H$2:H$56,MATCH($A5,lifespans_all!$A$2:$A$56,0))*INDEX(SR_mission_minutes!H$2:H$43,MATCH($A5,SR_mission_minutes!$A$2:$A$43)),"-")</f>
        <v>66700.388888888891</v>
      </c>
      <c r="I5" s="105">
        <f>IFERROR(INDEX(lifespans_all!I$2:I$56,MATCH($A5,lifespans_all!$A$2:$A$56,0))*INDEX(SR_mission_minutes!I$2:I$43,MATCH($A5,SR_mission_minutes!$A$2:$A$43)),"-")</f>
        <v>0</v>
      </c>
      <c r="J5" s="105">
        <f>IFERROR(INDEX(lifespans_all!J$2:J$56,MATCH($A5,lifespans_all!$A$2:$A$56,0))*INDEX(SR_mission_minutes!J$2:J$43,MATCH($A5,SR_mission_minutes!$A$2:$A$43)),"-")</f>
        <v>0</v>
      </c>
      <c r="K5" s="105">
        <f>IFERROR(INDEX(lifespans_all!K$2:K$56,MATCH($A5,lifespans_all!$A$2:$A$56,0))*INDEX(SR_mission_minutes!K$2:K$43,MATCH($A5,SR_mission_minutes!$A$2:$A$43)),"-")</f>
        <v>0</v>
      </c>
      <c r="L5" s="105">
        <f>IFERROR(INDEX(lifespans_all!L$2:L$56,MATCH($A5,lifespans_all!$A$2:$A$56,0))*INDEX(SR_mission_minutes!L$2:L$43,MATCH($A5,SR_mission_minutes!$A$2:$A$43)),"-")</f>
        <v>0</v>
      </c>
      <c r="M5" s="105">
        <f>IFERROR(INDEX(lifespans_all!M$2:M$56,MATCH($A5,lifespans_all!$A$2:$A$56,0))*INDEX(SR_mission_minutes!M$2:M$43,MATCH($A5,SR_mission_minutes!$A$2:$A$43)),"-")</f>
        <v>0</v>
      </c>
      <c r="N5" s="105">
        <f>IFERROR(INDEX(lifespans_all!N$2:N$56,MATCH($A5,lifespans_all!$A$2:$A$56,0))*INDEX(SR_mission_minutes!N$2:N$43,MATCH($A5,SR_mission_minutes!$A$2:$A$43)),"-")</f>
        <v>0</v>
      </c>
      <c r="O5" s="105">
        <f>IFERROR(INDEX(lifespans_all!O$2:O$56,MATCH($A5,lifespans_all!$A$2:$A$56,0))*INDEX(SR_mission_minutes!O$2:O$43,MATCH($A5,SR_mission_minutes!$A$2:$A$43)),"-")</f>
        <v>0</v>
      </c>
      <c r="P5" s="105">
        <f>IFERROR(INDEX(lifespans_all!P$2:P$56,MATCH($A5,lifespans_all!$A$2:$A$56,0))*INDEX(SR_mission_minutes!P$2:P$43,MATCH($A5,SR_mission_minutes!$A$2:$A$43)),"-")</f>
        <v>0</v>
      </c>
      <c r="Q5" s="105">
        <f>IFERROR(INDEX(lifespans_all!Q$2:Q$56,MATCH($A5,lifespans_all!$A$2:$A$56,0))*INDEX(SR_mission_minutes!Q$2:Q$43,MATCH($A5,SR_mission_minutes!$A$2:$A$43)),"-")</f>
        <v>0</v>
      </c>
      <c r="R5" s="105">
        <f>IFERROR(INDEX(lifespans_all!R$2:R$56,MATCH($A5,lifespans_all!$A$2:$A$56,0))*INDEX(SR_mission_minutes!R$2:R$43,MATCH($A5,SR_mission_minutes!$A$2:$A$43)),"-")</f>
        <v>0</v>
      </c>
      <c r="S5" s="105">
        <f>IFERROR(INDEX(lifespans_all!S$2:S$56,MATCH($A5,lifespans_all!$A$2:$A$56,0))*INDEX(SR_mission_minutes!S$2:S$43,MATCH($A5,SR_mission_minutes!$A$2:$A$43)),"-")</f>
        <v>0</v>
      </c>
      <c r="T5" s="105">
        <f>IFERROR(INDEX(lifespans_all!T$2:T$56,MATCH($A5,lifespans_all!$A$2:$A$56,0))*INDEX(SR_mission_minutes!T$2:T$43,MATCH($A5,SR_mission_minutes!$A$2:$A$43)),"-")</f>
        <v>0</v>
      </c>
      <c r="U5" s="105">
        <f>IFERROR(INDEX(lifespans_all!U$2:U$56,MATCH($A5,lifespans_all!$A$2:$A$56,0))*INDEX(SR_mission_minutes!U$2:U$43,MATCH($A5,SR_mission_minutes!$A$2:$A$43)),"-")</f>
        <v>0</v>
      </c>
      <c r="V5" s="105">
        <f>IFERROR(INDEX(lifespans_all!V$2:V$56,MATCH($A5,lifespans_all!$A$2:$A$56,0))*INDEX(SR_mission_minutes!V$2:V$43,MATCH($A5,SR_mission_minutes!$A$2:$A$43)),"-")</f>
        <v>0</v>
      </c>
    </row>
    <row r="6" spans="1:23" x14ac:dyDescent="0.25">
      <c r="A6" s="29" t="s">
        <v>18</v>
      </c>
      <c r="B6" s="29" t="s">
        <v>48</v>
      </c>
      <c r="C6" s="105" t="str">
        <f>IFERROR(INDEX(lifespans_all!C$2:C$56,MATCH($A6,lifespans_all!$A$2:$A$56,0))*INDEX(SR_mission_minutes!C$2:C$43,MATCH($A6,SR_mission_minutes!$A$2:$A$43)),"-")</f>
        <v>-</v>
      </c>
      <c r="D6" s="105" t="str">
        <f>IFERROR(INDEX(lifespans_all!D$2:D$56,MATCH($A6,lifespans_all!$A$2:$A$56,0))*INDEX(SR_mission_minutes!D$2:D$43,MATCH($A6,SR_mission_minutes!$A$2:$A$43)),"-")</f>
        <v>-</v>
      </c>
      <c r="E6" s="105" t="str">
        <f>IFERROR(INDEX(lifespans_all!E$2:E$56,MATCH($A6,lifespans_all!$A$2:$A$56,0))*INDEX(SR_mission_minutes!E$2:E$43,MATCH($A6,SR_mission_minutes!$A$2:$A$43)),"-")</f>
        <v>-</v>
      </c>
      <c r="F6" s="105" t="str">
        <f>IFERROR(INDEX(lifespans_all!F$2:F$56,MATCH($A6,lifespans_all!$A$2:$A$56,0))*INDEX(SR_mission_minutes!F$2:F$43,MATCH($A6,SR_mission_minutes!$A$2:$A$43)),"-")</f>
        <v>-</v>
      </c>
      <c r="G6" s="105" t="str">
        <f>IFERROR(INDEX(lifespans_all!G$2:G$56,MATCH($A6,lifespans_all!$A$2:$A$56,0))*INDEX(SR_mission_minutes!G$2:G$43,MATCH($A6,SR_mission_minutes!$A$2:$A$43)),"-")</f>
        <v>-</v>
      </c>
      <c r="H6" s="105" t="str">
        <f>IFERROR(INDEX(lifespans_all!H$2:H$56,MATCH($A6,lifespans_all!$A$2:$A$56,0))*INDEX(SR_mission_minutes!H$2:H$43,MATCH($A6,SR_mission_minutes!$A$2:$A$43)),"-")</f>
        <v>-</v>
      </c>
      <c r="I6" s="105" t="str">
        <f>IFERROR(INDEX(lifespans_all!I$2:I$56,MATCH($A6,lifespans_all!$A$2:$A$56,0))*INDEX(SR_mission_minutes!I$2:I$43,MATCH($A6,SR_mission_minutes!$A$2:$A$43)),"-")</f>
        <v>-</v>
      </c>
      <c r="J6" s="105" t="str">
        <f>IFERROR(INDEX(lifespans_all!J$2:J$56,MATCH($A6,lifespans_all!$A$2:$A$56,0))*INDEX(SR_mission_minutes!J$2:J$43,MATCH($A6,SR_mission_minutes!$A$2:$A$43)),"-")</f>
        <v>-</v>
      </c>
      <c r="K6" s="105" t="str">
        <f>IFERROR(INDEX(lifespans_all!K$2:K$56,MATCH($A6,lifespans_all!$A$2:$A$56,0))*INDEX(SR_mission_minutes!K$2:K$43,MATCH($A6,SR_mission_minutes!$A$2:$A$43)),"-")</f>
        <v>-</v>
      </c>
      <c r="L6" s="105" t="str">
        <f>IFERROR(INDEX(lifespans_all!L$2:L$56,MATCH($A6,lifespans_all!$A$2:$A$56,0))*INDEX(SR_mission_minutes!L$2:L$43,MATCH($A6,SR_mission_minutes!$A$2:$A$43)),"-")</f>
        <v>-</v>
      </c>
      <c r="M6" s="105" t="str">
        <f>IFERROR(INDEX(lifespans_all!M$2:M$56,MATCH($A6,lifespans_all!$A$2:$A$56,0))*INDEX(SR_mission_minutes!M$2:M$43,MATCH($A6,SR_mission_minutes!$A$2:$A$43)),"-")</f>
        <v>-</v>
      </c>
      <c r="N6" s="105" t="str">
        <f>IFERROR(INDEX(lifespans_all!N$2:N$56,MATCH($A6,lifespans_all!$A$2:$A$56,0))*INDEX(SR_mission_minutes!N$2:N$43,MATCH($A6,SR_mission_minutes!$A$2:$A$43)),"-")</f>
        <v>-</v>
      </c>
      <c r="O6" s="105" t="str">
        <f>IFERROR(INDEX(lifespans_all!O$2:O$56,MATCH($A6,lifespans_all!$A$2:$A$56,0))*INDEX(SR_mission_minutes!O$2:O$43,MATCH($A6,SR_mission_minutes!$A$2:$A$43)),"-")</f>
        <v>-</v>
      </c>
      <c r="P6" s="105" t="str">
        <f>IFERROR(INDEX(lifespans_all!P$2:P$56,MATCH($A6,lifespans_all!$A$2:$A$56,0))*INDEX(SR_mission_minutes!P$2:P$43,MATCH($A6,SR_mission_minutes!$A$2:$A$43)),"-")</f>
        <v>-</v>
      </c>
      <c r="Q6" s="105" t="str">
        <f>IFERROR(INDEX(lifespans_all!Q$2:Q$56,MATCH($A6,lifespans_all!$A$2:$A$56,0))*INDEX(SR_mission_minutes!Q$2:Q$43,MATCH($A6,SR_mission_minutes!$A$2:$A$43)),"-")</f>
        <v>-</v>
      </c>
      <c r="R6" s="105" t="str">
        <f>IFERROR(INDEX(lifespans_all!R$2:R$56,MATCH($A6,lifespans_all!$A$2:$A$56,0))*INDEX(SR_mission_minutes!R$2:R$43,MATCH($A6,SR_mission_minutes!$A$2:$A$43)),"-")</f>
        <v>-</v>
      </c>
      <c r="S6" s="105" t="str">
        <f>IFERROR(INDEX(lifespans_all!S$2:S$56,MATCH($A6,lifespans_all!$A$2:$A$56,0))*INDEX(SR_mission_minutes!S$2:S$43,MATCH($A6,SR_mission_minutes!$A$2:$A$43)),"-")</f>
        <v>-</v>
      </c>
      <c r="T6" s="105" t="str">
        <f>IFERROR(INDEX(lifespans_all!T$2:T$56,MATCH($A6,lifespans_all!$A$2:$A$56,0))*INDEX(SR_mission_minutes!T$2:T$43,MATCH($A6,SR_mission_minutes!$A$2:$A$43)),"-")</f>
        <v>-</v>
      </c>
      <c r="U6" s="105" t="str">
        <f>IFERROR(INDEX(lifespans_all!U$2:U$56,MATCH($A6,lifespans_all!$A$2:$A$56,0))*INDEX(SR_mission_minutes!U$2:U$43,MATCH($A6,SR_mission_minutes!$A$2:$A$43)),"-")</f>
        <v>-</v>
      </c>
      <c r="V6" s="105" t="str">
        <f>IFERROR(INDEX(lifespans_all!V$2:V$56,MATCH($A6,lifespans_all!$A$2:$A$56,0))*INDEX(SR_mission_minutes!V$2:V$43,MATCH($A6,SR_mission_minutes!$A$2:$A$43)),"-")</f>
        <v>-</v>
      </c>
    </row>
    <row r="7" spans="1:23" x14ac:dyDescent="0.25">
      <c r="A7" s="29" t="s">
        <v>55</v>
      </c>
      <c r="B7" s="29" t="s">
        <v>42</v>
      </c>
      <c r="C7" s="105">
        <f>IFERROR(INDEX(lifespans_all!C$2:C$56,MATCH($A7,lifespans_all!$A$2:$A$56,0))*INDEX(SR_mission_minutes!C$2:C$43,MATCH($A7,SR_mission_minutes!$A$2:$A$43)),"-")</f>
        <v>2294</v>
      </c>
      <c r="D7" s="105">
        <f>IFERROR(INDEX(lifespans_all!D$2:D$56,MATCH($A7,lifespans_all!$A$2:$A$56,0))*INDEX(SR_mission_minutes!D$2:D$43,MATCH($A7,SR_mission_minutes!$A$2:$A$43)),"-")</f>
        <v>2294</v>
      </c>
      <c r="E7" s="105">
        <f>IFERROR(INDEX(lifespans_all!E$2:E$56,MATCH($A7,lifespans_all!$A$2:$A$56,0))*INDEX(SR_mission_minutes!E$2:E$43,MATCH($A7,SR_mission_minutes!$A$2:$A$43)),"-")</f>
        <v>2294</v>
      </c>
      <c r="F7" s="105">
        <f>IFERROR(INDEX(lifespans_all!F$2:F$56,MATCH($A7,lifespans_all!$A$2:$A$56,0))*INDEX(SR_mission_minutes!F$2:F$43,MATCH($A7,SR_mission_minutes!$A$2:$A$43)),"-")</f>
        <v>2294</v>
      </c>
      <c r="G7" s="105">
        <f>IFERROR(INDEX(lifespans_all!G$2:G$56,MATCH($A7,lifespans_all!$A$2:$A$56,0))*INDEX(SR_mission_minutes!G$2:G$43,MATCH($A7,SR_mission_minutes!$A$2:$A$43)),"-")</f>
        <v>2294</v>
      </c>
      <c r="H7" s="105">
        <f>IFERROR(INDEX(lifespans_all!H$2:H$56,MATCH($A7,lifespans_all!$A$2:$A$56,0))*INDEX(SR_mission_minutes!H$2:H$43,MATCH($A7,SR_mission_minutes!$A$2:$A$43)),"-")</f>
        <v>2294</v>
      </c>
      <c r="I7" s="105">
        <f>IFERROR(INDEX(lifespans_all!I$2:I$56,MATCH($A7,lifespans_all!$A$2:$A$56,0))*INDEX(SR_mission_minutes!I$2:I$43,MATCH($A7,SR_mission_minutes!$A$2:$A$43)),"-")</f>
        <v>2294</v>
      </c>
      <c r="J7" s="105">
        <f>IFERROR(INDEX(lifespans_all!J$2:J$56,MATCH($A7,lifespans_all!$A$2:$A$56,0))*INDEX(SR_mission_minutes!J$2:J$43,MATCH($A7,SR_mission_minutes!$A$2:$A$43)),"-")</f>
        <v>2294</v>
      </c>
      <c r="K7" s="105">
        <f>IFERROR(INDEX(lifespans_all!K$2:K$56,MATCH($A7,lifespans_all!$A$2:$A$56,0))*INDEX(SR_mission_minutes!K$2:K$43,MATCH($A7,SR_mission_minutes!$A$2:$A$43)),"-")</f>
        <v>2294</v>
      </c>
      <c r="L7" s="105">
        <f>IFERROR(INDEX(lifespans_all!L$2:L$56,MATCH($A7,lifespans_all!$A$2:$A$56,0))*INDEX(SR_mission_minutes!L$2:L$43,MATCH($A7,SR_mission_minutes!$A$2:$A$43)),"-")</f>
        <v>2294</v>
      </c>
      <c r="M7" s="105">
        <f>IFERROR(INDEX(lifespans_all!M$2:M$56,MATCH($A7,lifespans_all!$A$2:$A$56,0))*INDEX(SR_mission_minutes!M$2:M$43,MATCH($A7,SR_mission_minutes!$A$2:$A$43)),"-")</f>
        <v>2294</v>
      </c>
      <c r="N7" s="105">
        <f>IFERROR(INDEX(lifespans_all!N$2:N$56,MATCH($A7,lifespans_all!$A$2:$A$56,0))*INDEX(SR_mission_minutes!N$2:N$43,MATCH($A7,SR_mission_minutes!$A$2:$A$43)),"-")</f>
        <v>2294</v>
      </c>
      <c r="O7" s="105">
        <f>IFERROR(INDEX(lifespans_all!O$2:O$56,MATCH($A7,lifespans_all!$A$2:$A$56,0))*INDEX(SR_mission_minutes!O$2:O$43,MATCH($A7,SR_mission_minutes!$A$2:$A$43)),"-")</f>
        <v>2294</v>
      </c>
      <c r="P7" s="105">
        <f>IFERROR(INDEX(lifespans_all!P$2:P$56,MATCH($A7,lifespans_all!$A$2:$A$56,0))*INDEX(SR_mission_minutes!P$2:P$43,MATCH($A7,SR_mission_minutes!$A$2:$A$43)),"-")</f>
        <v>2294</v>
      </c>
      <c r="Q7" s="105">
        <f>IFERROR(INDEX(lifespans_all!Q$2:Q$56,MATCH($A7,lifespans_all!$A$2:$A$56,0))*INDEX(SR_mission_minutes!Q$2:Q$43,MATCH($A7,SR_mission_minutes!$A$2:$A$43)),"-")</f>
        <v>2294</v>
      </c>
      <c r="R7" s="105">
        <f>IFERROR(INDEX(lifespans_all!R$2:R$56,MATCH($A7,lifespans_all!$A$2:$A$56,0))*INDEX(SR_mission_minutes!R$2:R$43,MATCH($A7,SR_mission_minutes!$A$2:$A$43)),"-")</f>
        <v>2294</v>
      </c>
      <c r="S7" s="105">
        <f>IFERROR(INDEX(lifespans_all!S$2:S$56,MATCH($A7,lifespans_all!$A$2:$A$56,0))*INDEX(SR_mission_minutes!S$2:S$43,MATCH($A7,SR_mission_minutes!$A$2:$A$43)),"-")</f>
        <v>2294</v>
      </c>
      <c r="T7" s="105">
        <f>IFERROR(INDEX(lifespans_all!T$2:T$56,MATCH($A7,lifespans_all!$A$2:$A$56,0))*INDEX(SR_mission_minutes!T$2:T$43,MATCH($A7,SR_mission_minutes!$A$2:$A$43)),"-")</f>
        <v>2294</v>
      </c>
      <c r="U7" s="105">
        <f>IFERROR(INDEX(lifespans_all!U$2:U$56,MATCH($A7,lifespans_all!$A$2:$A$56,0))*INDEX(SR_mission_minutes!U$2:U$43,MATCH($A7,SR_mission_minutes!$A$2:$A$43)),"-")</f>
        <v>2294</v>
      </c>
      <c r="V7" s="105">
        <f>IFERROR(INDEX(lifespans_all!V$2:V$56,MATCH($A7,lifespans_all!$A$2:$A$56,0))*INDEX(SR_mission_minutes!V$2:V$43,MATCH($A7,SR_mission_minutes!$A$2:$A$43)),"-")</f>
        <v>2294</v>
      </c>
    </row>
    <row r="8" spans="1:23" x14ac:dyDescent="0.25">
      <c r="A8" s="29" t="s">
        <v>56</v>
      </c>
      <c r="B8" s="29" t="s">
        <v>43</v>
      </c>
      <c r="C8" s="105">
        <f>IFERROR(INDEX(lifespans_all!C$2:C$56,MATCH($A8,lifespans_all!$A$2:$A$56,0))*INDEX(SR_mission_minutes!C$2:C$43,MATCH($A8,SR_mission_minutes!$A$2:$A$43)),"-")</f>
        <v>114879</v>
      </c>
      <c r="D8" s="105">
        <f>IFERROR(INDEX(lifespans_all!D$2:D$56,MATCH($A8,lifespans_all!$A$2:$A$56,0))*INDEX(SR_mission_minutes!D$2:D$43,MATCH($A8,SR_mission_minutes!$A$2:$A$43)),"-")</f>
        <v>114879</v>
      </c>
      <c r="E8" s="105">
        <f>IFERROR(INDEX(lifespans_all!E$2:E$56,MATCH($A8,lifespans_all!$A$2:$A$56,0))*INDEX(SR_mission_minutes!E$2:E$43,MATCH($A8,SR_mission_minutes!$A$2:$A$43)),"-")</f>
        <v>114879</v>
      </c>
      <c r="F8" s="105">
        <f>IFERROR(INDEX(lifespans_all!F$2:F$56,MATCH($A8,lifespans_all!$A$2:$A$56,0))*INDEX(SR_mission_minutes!F$2:F$43,MATCH($A8,SR_mission_minutes!$A$2:$A$43)),"-")</f>
        <v>114879</v>
      </c>
      <c r="G8" s="105">
        <f>IFERROR(INDEX(lifespans_all!G$2:G$56,MATCH($A8,lifespans_all!$A$2:$A$56,0))*INDEX(SR_mission_minutes!G$2:G$43,MATCH($A8,SR_mission_minutes!$A$2:$A$43)),"-")</f>
        <v>114879</v>
      </c>
      <c r="H8" s="105">
        <f>IFERROR(INDEX(lifespans_all!H$2:H$56,MATCH($A8,lifespans_all!$A$2:$A$56,0))*INDEX(SR_mission_minutes!H$2:H$43,MATCH($A8,SR_mission_minutes!$A$2:$A$43)),"-")</f>
        <v>114879</v>
      </c>
      <c r="I8" s="105">
        <f>IFERROR(INDEX(lifespans_all!I$2:I$56,MATCH($A8,lifespans_all!$A$2:$A$56,0))*INDEX(SR_mission_minutes!I$2:I$43,MATCH($A8,SR_mission_minutes!$A$2:$A$43)),"-")</f>
        <v>114879</v>
      </c>
      <c r="J8" s="105">
        <f>IFERROR(INDEX(lifespans_all!J$2:J$56,MATCH($A8,lifespans_all!$A$2:$A$56,0))*INDEX(SR_mission_minutes!J$2:J$43,MATCH($A8,SR_mission_minutes!$A$2:$A$43)),"-")</f>
        <v>114879</v>
      </c>
      <c r="K8" s="105">
        <f>IFERROR(INDEX(lifespans_all!K$2:K$56,MATCH($A8,lifespans_all!$A$2:$A$56,0))*INDEX(SR_mission_minutes!K$2:K$43,MATCH($A8,SR_mission_minutes!$A$2:$A$43)),"-")</f>
        <v>114879</v>
      </c>
      <c r="L8" s="105">
        <f>IFERROR(INDEX(lifespans_all!L$2:L$56,MATCH($A8,lifespans_all!$A$2:$A$56,0))*INDEX(SR_mission_minutes!L$2:L$43,MATCH($A8,SR_mission_minutes!$A$2:$A$43)),"-")</f>
        <v>114879</v>
      </c>
      <c r="M8" s="105">
        <f>IFERROR(INDEX(lifespans_all!M$2:M$56,MATCH($A8,lifespans_all!$A$2:$A$56,0))*INDEX(SR_mission_minutes!M$2:M$43,MATCH($A8,SR_mission_minutes!$A$2:$A$43)),"-")</f>
        <v>114879</v>
      </c>
      <c r="N8" s="105">
        <f>IFERROR(INDEX(lifespans_all!N$2:N$56,MATCH($A8,lifespans_all!$A$2:$A$56,0))*INDEX(SR_mission_minutes!N$2:N$43,MATCH($A8,SR_mission_minutes!$A$2:$A$43)),"-")</f>
        <v>114879</v>
      </c>
      <c r="O8" s="105">
        <f>IFERROR(INDEX(lifespans_all!O$2:O$56,MATCH($A8,lifespans_all!$A$2:$A$56,0))*INDEX(SR_mission_minutes!O$2:O$43,MATCH($A8,SR_mission_minutes!$A$2:$A$43)),"-")</f>
        <v>114879</v>
      </c>
      <c r="P8" s="105">
        <f>IFERROR(INDEX(lifespans_all!P$2:P$56,MATCH($A8,lifespans_all!$A$2:$A$56,0))*INDEX(SR_mission_minutes!P$2:P$43,MATCH($A8,SR_mission_minutes!$A$2:$A$43)),"-")</f>
        <v>114879</v>
      </c>
      <c r="Q8" s="105">
        <f>IFERROR(INDEX(lifespans_all!Q$2:Q$56,MATCH($A8,lifespans_all!$A$2:$A$56,0))*INDEX(SR_mission_minutes!Q$2:Q$43,MATCH($A8,SR_mission_minutes!$A$2:$A$43)),"-")</f>
        <v>114879</v>
      </c>
      <c r="R8" s="105">
        <f>IFERROR(INDEX(lifespans_all!R$2:R$56,MATCH($A8,lifespans_all!$A$2:$A$56,0))*INDEX(SR_mission_minutes!R$2:R$43,MATCH($A8,SR_mission_minutes!$A$2:$A$43)),"-")</f>
        <v>114879</v>
      </c>
      <c r="S8" s="105">
        <f>IFERROR(INDEX(lifespans_all!S$2:S$56,MATCH($A8,lifespans_all!$A$2:$A$56,0))*INDEX(SR_mission_minutes!S$2:S$43,MATCH($A8,SR_mission_minutes!$A$2:$A$43)),"-")</f>
        <v>114879</v>
      </c>
      <c r="T8" s="105">
        <f>IFERROR(INDEX(lifespans_all!T$2:T$56,MATCH($A8,lifespans_all!$A$2:$A$56,0))*INDEX(SR_mission_minutes!T$2:T$43,MATCH($A8,SR_mission_minutes!$A$2:$A$43)),"-")</f>
        <v>114879</v>
      </c>
      <c r="U8" s="105">
        <f>IFERROR(INDEX(lifespans_all!U$2:U$56,MATCH($A8,lifespans_all!$A$2:$A$56,0))*INDEX(SR_mission_minutes!U$2:U$43,MATCH($A8,SR_mission_minutes!$A$2:$A$43)),"-")</f>
        <v>114879</v>
      </c>
      <c r="V8" s="105">
        <f>IFERROR(INDEX(lifespans_all!V$2:V$56,MATCH($A8,lifespans_all!$A$2:$A$56,0))*INDEX(SR_mission_minutes!V$2:V$43,MATCH($A8,SR_mission_minutes!$A$2:$A$43)),"-")</f>
        <v>114879</v>
      </c>
    </row>
    <row r="9" spans="1:23" x14ac:dyDescent="0.25">
      <c r="A9" s="29" t="s">
        <v>19</v>
      </c>
      <c r="B9" s="29" t="s">
        <v>41</v>
      </c>
      <c r="C9" s="105">
        <f>IFERROR(INDEX(lifespans_all!C$2:C$56,MATCH($A9,lifespans_all!$A$2:$A$56,0))*INDEX(SR_mission_minutes!C$2:C$43,MATCH($A9,SR_mission_minutes!$A$2:$A$43)),"-")</f>
        <v>66700.388888888891</v>
      </c>
      <c r="D9" s="105">
        <f>IFERROR(INDEX(lifespans_all!D$2:D$56,MATCH($A9,lifespans_all!$A$2:$A$56,0))*INDEX(SR_mission_minutes!D$2:D$43,MATCH($A9,SR_mission_minutes!$A$2:$A$43)),"-")</f>
        <v>66700.388888888891</v>
      </c>
      <c r="E9" s="105">
        <f>IFERROR(INDEX(lifespans_all!E$2:E$56,MATCH($A9,lifespans_all!$A$2:$A$56,0))*INDEX(SR_mission_minutes!E$2:E$43,MATCH($A9,SR_mission_minutes!$A$2:$A$43)),"-")</f>
        <v>66700.388888888891</v>
      </c>
      <c r="F9" s="105">
        <f>IFERROR(INDEX(lifespans_all!F$2:F$56,MATCH($A9,lifespans_all!$A$2:$A$56,0))*INDEX(SR_mission_minutes!F$2:F$43,MATCH($A9,SR_mission_minutes!$A$2:$A$43)),"-")</f>
        <v>66700.388888888891</v>
      </c>
      <c r="G9" s="105">
        <f>IFERROR(INDEX(lifespans_all!G$2:G$56,MATCH($A9,lifespans_all!$A$2:$A$56,0))*INDEX(SR_mission_minutes!G$2:G$43,MATCH($A9,SR_mission_minutes!$A$2:$A$43)),"-")</f>
        <v>66700.388888888891</v>
      </c>
      <c r="H9" s="105">
        <f>IFERROR(INDEX(lifespans_all!H$2:H$56,MATCH($A9,lifespans_all!$A$2:$A$56,0))*INDEX(SR_mission_minutes!H$2:H$43,MATCH($A9,SR_mission_minutes!$A$2:$A$43)),"-")</f>
        <v>66700.388888888891</v>
      </c>
      <c r="I9" s="105">
        <f>IFERROR(INDEX(lifespans_all!I$2:I$56,MATCH($A9,lifespans_all!$A$2:$A$56,0))*INDEX(SR_mission_minutes!I$2:I$43,MATCH($A9,SR_mission_minutes!$A$2:$A$43)),"-")</f>
        <v>66700.388888888891</v>
      </c>
      <c r="J9" s="105">
        <f>IFERROR(INDEX(lifespans_all!J$2:J$56,MATCH($A9,lifespans_all!$A$2:$A$56,0))*INDEX(SR_mission_minutes!J$2:J$43,MATCH($A9,SR_mission_minutes!$A$2:$A$43)),"-")</f>
        <v>0</v>
      </c>
      <c r="K9" s="105">
        <f>IFERROR(INDEX(lifespans_all!K$2:K$56,MATCH($A9,lifespans_all!$A$2:$A$56,0))*INDEX(SR_mission_minutes!K$2:K$43,MATCH($A9,SR_mission_minutes!$A$2:$A$43)),"-")</f>
        <v>0</v>
      </c>
      <c r="L9" s="105">
        <f>IFERROR(INDEX(lifespans_all!L$2:L$56,MATCH($A9,lifespans_all!$A$2:$A$56,0))*INDEX(SR_mission_minutes!L$2:L$43,MATCH($A9,SR_mission_minutes!$A$2:$A$43)),"-")</f>
        <v>0</v>
      </c>
      <c r="M9" s="105">
        <f>IFERROR(INDEX(lifespans_all!M$2:M$56,MATCH($A9,lifespans_all!$A$2:$A$56,0))*INDEX(SR_mission_minutes!M$2:M$43,MATCH($A9,SR_mission_minutes!$A$2:$A$43)),"-")</f>
        <v>0</v>
      </c>
      <c r="N9" s="105">
        <f>IFERROR(INDEX(lifespans_all!N$2:N$56,MATCH($A9,lifespans_all!$A$2:$A$56,0))*INDEX(SR_mission_minutes!N$2:N$43,MATCH($A9,SR_mission_minutes!$A$2:$A$43)),"-")</f>
        <v>0</v>
      </c>
      <c r="O9" s="105">
        <f>IFERROR(INDEX(lifespans_all!O$2:O$56,MATCH($A9,lifespans_all!$A$2:$A$56,0))*INDEX(SR_mission_minutes!O$2:O$43,MATCH($A9,SR_mission_minutes!$A$2:$A$43)),"-")</f>
        <v>0</v>
      </c>
      <c r="P9" s="105">
        <f>IFERROR(INDEX(lifespans_all!P$2:P$56,MATCH($A9,lifespans_all!$A$2:$A$56,0))*INDEX(SR_mission_minutes!P$2:P$43,MATCH($A9,SR_mission_minutes!$A$2:$A$43)),"-")</f>
        <v>0</v>
      </c>
      <c r="Q9" s="105">
        <f>IFERROR(INDEX(lifespans_all!Q$2:Q$56,MATCH($A9,lifespans_all!$A$2:$A$56,0))*INDEX(SR_mission_minutes!Q$2:Q$43,MATCH($A9,SR_mission_minutes!$A$2:$A$43)),"-")</f>
        <v>0</v>
      </c>
      <c r="R9" s="105">
        <f>IFERROR(INDEX(lifespans_all!R$2:R$56,MATCH($A9,lifespans_all!$A$2:$A$56,0))*INDEX(SR_mission_minutes!R$2:R$43,MATCH($A9,SR_mission_minutes!$A$2:$A$43)),"-")</f>
        <v>0</v>
      </c>
      <c r="S9" s="105">
        <f>IFERROR(INDEX(lifespans_all!S$2:S$56,MATCH($A9,lifespans_all!$A$2:$A$56,0))*INDEX(SR_mission_minutes!S$2:S$43,MATCH($A9,SR_mission_minutes!$A$2:$A$43)),"-")</f>
        <v>0</v>
      </c>
      <c r="T9" s="105">
        <f>IFERROR(INDEX(lifespans_all!T$2:T$56,MATCH($A9,lifespans_all!$A$2:$A$56,0))*INDEX(SR_mission_minutes!T$2:T$43,MATCH($A9,SR_mission_minutes!$A$2:$A$43)),"-")</f>
        <v>0</v>
      </c>
      <c r="U9" s="105">
        <f>IFERROR(INDEX(lifespans_all!U$2:U$56,MATCH($A9,lifespans_all!$A$2:$A$56,0))*INDEX(SR_mission_minutes!U$2:U$43,MATCH($A9,SR_mission_minutes!$A$2:$A$43)),"-")</f>
        <v>0</v>
      </c>
      <c r="V9" s="105">
        <f>IFERROR(INDEX(lifespans_all!V$2:V$56,MATCH($A9,lifespans_all!$A$2:$A$56,0))*INDEX(SR_mission_minutes!V$2:V$43,MATCH($A9,SR_mission_minutes!$A$2:$A$43)),"-")</f>
        <v>0</v>
      </c>
    </row>
    <row r="10" spans="1:23" x14ac:dyDescent="0.25">
      <c r="A10" s="29" t="s">
        <v>20</v>
      </c>
      <c r="B10" s="29" t="s">
        <v>41</v>
      </c>
      <c r="C10" s="105">
        <f>IFERROR(INDEX(lifespans_all!C$2:C$56,MATCH($A10,lifespans_all!$A$2:$A$56,0))*INDEX(SR_mission_minutes!C$2:C$43,MATCH($A10,SR_mission_minutes!$A$2:$A$43)),"-")</f>
        <v>66700.388888888891</v>
      </c>
      <c r="D10" s="105">
        <f>IFERROR(INDEX(lifespans_all!D$2:D$56,MATCH($A10,lifespans_all!$A$2:$A$56,0))*INDEX(SR_mission_minutes!D$2:D$43,MATCH($A10,SR_mission_minutes!$A$2:$A$43)),"-")</f>
        <v>66700.388888888891</v>
      </c>
      <c r="E10" s="105">
        <f>IFERROR(INDEX(lifespans_all!E$2:E$56,MATCH($A10,lifespans_all!$A$2:$A$56,0))*INDEX(SR_mission_minutes!E$2:E$43,MATCH($A10,SR_mission_minutes!$A$2:$A$43)),"-")</f>
        <v>66700.388888888891</v>
      </c>
      <c r="F10" s="105">
        <f>IFERROR(INDEX(lifespans_all!F$2:F$56,MATCH($A10,lifespans_all!$A$2:$A$56,0))*INDEX(SR_mission_minutes!F$2:F$43,MATCH($A10,SR_mission_minutes!$A$2:$A$43)),"-")</f>
        <v>66700.388888888891</v>
      </c>
      <c r="G10" s="105">
        <f>IFERROR(INDEX(lifespans_all!G$2:G$56,MATCH($A10,lifespans_all!$A$2:$A$56,0))*INDEX(SR_mission_minutes!G$2:G$43,MATCH($A10,SR_mission_minutes!$A$2:$A$43)),"-")</f>
        <v>66700.388888888891</v>
      </c>
      <c r="H10" s="105">
        <f>IFERROR(INDEX(lifespans_all!H$2:H$56,MATCH($A10,lifespans_all!$A$2:$A$56,0))*INDEX(SR_mission_minutes!H$2:H$43,MATCH($A10,SR_mission_minutes!$A$2:$A$43)),"-")</f>
        <v>66700.388888888891</v>
      </c>
      <c r="I10" s="105">
        <f>IFERROR(INDEX(lifespans_all!I$2:I$56,MATCH($A10,lifespans_all!$A$2:$A$56,0))*INDEX(SR_mission_minutes!I$2:I$43,MATCH($A10,SR_mission_minutes!$A$2:$A$43)),"-")</f>
        <v>66700.388888888891</v>
      </c>
      <c r="J10" s="105">
        <f>IFERROR(INDEX(lifespans_all!J$2:J$56,MATCH($A10,lifespans_all!$A$2:$A$56,0))*INDEX(SR_mission_minutes!J$2:J$43,MATCH($A10,SR_mission_minutes!$A$2:$A$43)),"-")</f>
        <v>66700.388888888891</v>
      </c>
      <c r="K10" s="105">
        <f>IFERROR(INDEX(lifespans_all!K$2:K$56,MATCH($A10,lifespans_all!$A$2:$A$56,0))*INDEX(SR_mission_minutes!K$2:K$43,MATCH($A10,SR_mission_minutes!$A$2:$A$43)),"-")</f>
        <v>66700.388888888891</v>
      </c>
      <c r="L10" s="105">
        <f>IFERROR(INDEX(lifespans_all!L$2:L$56,MATCH($A10,lifespans_all!$A$2:$A$56,0))*INDEX(SR_mission_minutes!L$2:L$43,MATCH($A10,SR_mission_minutes!$A$2:$A$43)),"-")</f>
        <v>66700.388888888891</v>
      </c>
      <c r="M10" s="105">
        <f>IFERROR(INDEX(lifespans_all!M$2:M$56,MATCH($A10,lifespans_all!$A$2:$A$56,0))*INDEX(SR_mission_minutes!M$2:M$43,MATCH($A10,SR_mission_minutes!$A$2:$A$43)),"-")</f>
        <v>66700.388888888891</v>
      </c>
      <c r="N10" s="105">
        <f>IFERROR(INDEX(lifespans_all!N$2:N$56,MATCH($A10,lifespans_all!$A$2:$A$56,0))*INDEX(SR_mission_minutes!N$2:N$43,MATCH($A10,SR_mission_minutes!$A$2:$A$43)),"-")</f>
        <v>66700.388888888891</v>
      </c>
      <c r="O10" s="105">
        <f>IFERROR(INDEX(lifespans_all!O$2:O$56,MATCH($A10,lifespans_all!$A$2:$A$56,0))*INDEX(SR_mission_minutes!O$2:O$43,MATCH($A10,SR_mission_minutes!$A$2:$A$43)),"-")</f>
        <v>66700.388888888891</v>
      </c>
      <c r="P10" s="105">
        <f>IFERROR(INDEX(lifespans_all!P$2:P$56,MATCH($A10,lifespans_all!$A$2:$A$56,0))*INDEX(SR_mission_minutes!P$2:P$43,MATCH($A10,SR_mission_minutes!$A$2:$A$43)),"-")</f>
        <v>66700.388888888891</v>
      </c>
      <c r="Q10" s="105">
        <f>IFERROR(INDEX(lifespans_all!Q$2:Q$56,MATCH($A10,lifespans_all!$A$2:$A$56,0))*INDEX(SR_mission_minutes!Q$2:Q$43,MATCH($A10,SR_mission_minutes!$A$2:$A$43)),"-")</f>
        <v>66700.388888888891</v>
      </c>
      <c r="R10" s="105">
        <f>IFERROR(INDEX(lifespans_all!R$2:R$56,MATCH($A10,lifespans_all!$A$2:$A$56,0))*INDEX(SR_mission_minutes!R$2:R$43,MATCH($A10,SR_mission_minutes!$A$2:$A$43)),"-")</f>
        <v>66700.388888888891</v>
      </c>
      <c r="S10" s="105">
        <f>IFERROR(INDEX(lifespans_all!S$2:S$56,MATCH($A10,lifespans_all!$A$2:$A$56,0))*INDEX(SR_mission_minutes!S$2:S$43,MATCH($A10,SR_mission_minutes!$A$2:$A$43)),"-")</f>
        <v>66700.388888888891</v>
      </c>
      <c r="T10" s="105">
        <f>IFERROR(INDEX(lifespans_all!T$2:T$56,MATCH($A10,lifespans_all!$A$2:$A$56,0))*INDEX(SR_mission_minutes!T$2:T$43,MATCH($A10,SR_mission_minutes!$A$2:$A$43)),"-")</f>
        <v>66700.388888888891</v>
      </c>
      <c r="U10" s="105">
        <f>IFERROR(INDEX(lifespans_all!U$2:U$56,MATCH($A10,lifespans_all!$A$2:$A$56,0))*INDEX(SR_mission_minutes!U$2:U$43,MATCH($A10,SR_mission_minutes!$A$2:$A$43)),"-")</f>
        <v>66700.388888888891</v>
      </c>
      <c r="V10" s="105">
        <f>IFERROR(INDEX(lifespans_all!V$2:V$56,MATCH($A10,lifespans_all!$A$2:$A$56,0))*INDEX(SR_mission_minutes!V$2:V$43,MATCH($A10,SR_mission_minutes!$A$2:$A$43)),"-")</f>
        <v>66700.388888888891</v>
      </c>
    </row>
    <row r="11" spans="1:23" x14ac:dyDescent="0.25">
      <c r="A11" s="29" t="s">
        <v>21</v>
      </c>
      <c r="B11" s="29" t="s">
        <v>41</v>
      </c>
      <c r="C11" s="105">
        <f>IFERROR(INDEX(lifespans_all!C$2:C$56,MATCH($A11,lifespans_all!$A$2:$A$56,0))*INDEX(SR_mission_minutes!C$2:C$43,MATCH($A11,SR_mission_minutes!$A$2:$A$43)),"-")</f>
        <v>66700.388888888891</v>
      </c>
      <c r="D11" s="105">
        <f>IFERROR(INDEX(lifespans_all!D$2:D$56,MATCH($A11,lifespans_all!$A$2:$A$56,0))*INDEX(SR_mission_minutes!D$2:D$43,MATCH($A11,SR_mission_minutes!$A$2:$A$43)),"-")</f>
        <v>66700.388888888891</v>
      </c>
      <c r="E11" s="105">
        <f>IFERROR(INDEX(lifespans_all!E$2:E$56,MATCH($A11,lifespans_all!$A$2:$A$56,0))*INDEX(SR_mission_minutes!E$2:E$43,MATCH($A11,SR_mission_minutes!$A$2:$A$43)),"-")</f>
        <v>66700.388888888891</v>
      </c>
      <c r="F11" s="105">
        <f>IFERROR(INDEX(lifespans_all!F$2:F$56,MATCH($A11,lifespans_all!$A$2:$A$56,0))*INDEX(SR_mission_minutes!F$2:F$43,MATCH($A11,SR_mission_minutes!$A$2:$A$43)),"-")</f>
        <v>66700.388888888891</v>
      </c>
      <c r="G11" s="105">
        <f>IFERROR(INDEX(lifespans_all!G$2:G$56,MATCH($A11,lifespans_all!$A$2:$A$56,0))*INDEX(SR_mission_minutes!G$2:G$43,MATCH($A11,SR_mission_minutes!$A$2:$A$43)),"-")</f>
        <v>66700.388888888891</v>
      </c>
      <c r="H11" s="105">
        <f>IFERROR(INDEX(lifespans_all!H$2:H$56,MATCH($A11,lifespans_all!$A$2:$A$56,0))*INDEX(SR_mission_minutes!H$2:H$43,MATCH($A11,SR_mission_minutes!$A$2:$A$43)),"-")</f>
        <v>0</v>
      </c>
      <c r="I11" s="105">
        <f>IFERROR(INDEX(lifespans_all!I$2:I$56,MATCH($A11,lifespans_all!$A$2:$A$56,0))*INDEX(SR_mission_minutes!I$2:I$43,MATCH($A11,SR_mission_minutes!$A$2:$A$43)),"-")</f>
        <v>0</v>
      </c>
      <c r="J11" s="105">
        <f>IFERROR(INDEX(lifespans_all!J$2:J$56,MATCH($A11,lifespans_all!$A$2:$A$56,0))*INDEX(SR_mission_minutes!J$2:J$43,MATCH($A11,SR_mission_minutes!$A$2:$A$43)),"-")</f>
        <v>0</v>
      </c>
      <c r="K11" s="105">
        <f>IFERROR(INDEX(lifespans_all!K$2:K$56,MATCH($A11,lifespans_all!$A$2:$A$56,0))*INDEX(SR_mission_minutes!K$2:K$43,MATCH($A11,SR_mission_minutes!$A$2:$A$43)),"-")</f>
        <v>0</v>
      </c>
      <c r="L11" s="105">
        <f>IFERROR(INDEX(lifespans_all!L$2:L$56,MATCH($A11,lifespans_all!$A$2:$A$56,0))*INDEX(SR_mission_minutes!L$2:L$43,MATCH($A11,SR_mission_minutes!$A$2:$A$43)),"-")</f>
        <v>0</v>
      </c>
      <c r="M11" s="105">
        <f>IFERROR(INDEX(lifespans_all!M$2:M$56,MATCH($A11,lifespans_all!$A$2:$A$56,0))*INDEX(SR_mission_minutes!M$2:M$43,MATCH($A11,SR_mission_minutes!$A$2:$A$43)),"-")</f>
        <v>0</v>
      </c>
      <c r="N11" s="105">
        <f>IFERROR(INDEX(lifespans_all!N$2:N$56,MATCH($A11,lifespans_all!$A$2:$A$56,0))*INDEX(SR_mission_minutes!N$2:N$43,MATCH($A11,SR_mission_minutes!$A$2:$A$43)),"-")</f>
        <v>0</v>
      </c>
      <c r="O11" s="105">
        <f>IFERROR(INDEX(lifespans_all!O$2:O$56,MATCH($A11,lifespans_all!$A$2:$A$56,0))*INDEX(SR_mission_minutes!O$2:O$43,MATCH($A11,SR_mission_minutes!$A$2:$A$43)),"-")</f>
        <v>0</v>
      </c>
      <c r="P11" s="105">
        <f>IFERROR(INDEX(lifespans_all!P$2:P$56,MATCH($A11,lifespans_all!$A$2:$A$56,0))*INDEX(SR_mission_minutes!P$2:P$43,MATCH($A11,SR_mission_minutes!$A$2:$A$43)),"-")</f>
        <v>0</v>
      </c>
      <c r="Q11" s="105">
        <f>IFERROR(INDEX(lifespans_all!Q$2:Q$56,MATCH($A11,lifespans_all!$A$2:$A$56,0))*INDEX(SR_mission_minutes!Q$2:Q$43,MATCH($A11,SR_mission_minutes!$A$2:$A$43)),"-")</f>
        <v>0</v>
      </c>
      <c r="R11" s="105">
        <f>IFERROR(INDEX(lifespans_all!R$2:R$56,MATCH($A11,lifespans_all!$A$2:$A$56,0))*INDEX(SR_mission_minutes!R$2:R$43,MATCH($A11,SR_mission_minutes!$A$2:$A$43)),"-")</f>
        <v>0</v>
      </c>
      <c r="S11" s="105">
        <f>IFERROR(INDEX(lifespans_all!S$2:S$56,MATCH($A11,lifespans_all!$A$2:$A$56,0))*INDEX(SR_mission_minutes!S$2:S$43,MATCH($A11,SR_mission_minutes!$A$2:$A$43)),"-")</f>
        <v>0</v>
      </c>
      <c r="T11" s="105">
        <f>IFERROR(INDEX(lifespans_all!T$2:T$56,MATCH($A11,lifespans_all!$A$2:$A$56,0))*INDEX(SR_mission_minutes!T$2:T$43,MATCH($A11,SR_mission_minutes!$A$2:$A$43)),"-")</f>
        <v>0</v>
      </c>
      <c r="U11" s="105">
        <f>IFERROR(INDEX(lifespans_all!U$2:U$56,MATCH($A11,lifespans_all!$A$2:$A$56,0))*INDEX(SR_mission_minutes!U$2:U$43,MATCH($A11,SR_mission_minutes!$A$2:$A$43)),"-")</f>
        <v>0</v>
      </c>
      <c r="V11" s="105">
        <f>IFERROR(INDEX(lifespans_all!V$2:V$56,MATCH($A11,lifespans_all!$A$2:$A$56,0))*INDEX(SR_mission_minutes!V$2:V$43,MATCH($A11,SR_mission_minutes!$A$2:$A$43)),"-")</f>
        <v>0</v>
      </c>
    </row>
    <row r="12" spans="1:23" x14ac:dyDescent="0.25">
      <c r="A12" s="29" t="s">
        <v>57</v>
      </c>
      <c r="B12" s="29" t="s">
        <v>41</v>
      </c>
      <c r="C12" s="105">
        <f>IFERROR(INDEX(lifespans_all!C$2:C$56,MATCH($A12,lifespans_all!$A$2:$A$56,0))*INDEX(SR_mission_minutes!C$2:C$43,MATCH($A12,SR_mission_minutes!$A$2:$A$43)),"-")</f>
        <v>66700.388888888891</v>
      </c>
      <c r="D12" s="105">
        <f>IFERROR(INDEX(lifespans_all!D$2:D$56,MATCH($A12,lifespans_all!$A$2:$A$56,0))*INDEX(SR_mission_minutes!D$2:D$43,MATCH($A12,SR_mission_minutes!$A$2:$A$43)),"-")</f>
        <v>66700.388888888891</v>
      </c>
      <c r="E12" s="105">
        <f>IFERROR(INDEX(lifespans_all!E$2:E$56,MATCH($A12,lifespans_all!$A$2:$A$56,0))*INDEX(SR_mission_minutes!E$2:E$43,MATCH($A12,SR_mission_minutes!$A$2:$A$43)),"-")</f>
        <v>66700.388888888891</v>
      </c>
      <c r="F12" s="105">
        <f>IFERROR(INDEX(lifespans_all!F$2:F$56,MATCH($A12,lifespans_all!$A$2:$A$56,0))*INDEX(SR_mission_minutes!F$2:F$43,MATCH($A12,SR_mission_minutes!$A$2:$A$43)),"-")</f>
        <v>66700.388888888891</v>
      </c>
      <c r="G12" s="105">
        <f>IFERROR(INDEX(lifespans_all!G$2:G$56,MATCH($A12,lifespans_all!$A$2:$A$56,0))*INDEX(SR_mission_minutes!G$2:G$43,MATCH($A12,SR_mission_minutes!$A$2:$A$43)),"-")</f>
        <v>66700.388888888891</v>
      </c>
      <c r="H12" s="105">
        <f>IFERROR(INDEX(lifespans_all!H$2:H$56,MATCH($A12,lifespans_all!$A$2:$A$56,0))*INDEX(SR_mission_minutes!H$2:H$43,MATCH($A12,SR_mission_minutes!$A$2:$A$43)),"-")</f>
        <v>0</v>
      </c>
      <c r="I12" s="105">
        <f>IFERROR(INDEX(lifespans_all!I$2:I$56,MATCH($A12,lifespans_all!$A$2:$A$56,0))*INDEX(SR_mission_minutes!I$2:I$43,MATCH($A12,SR_mission_minutes!$A$2:$A$43)),"-")</f>
        <v>0</v>
      </c>
      <c r="J12" s="105">
        <f>IFERROR(INDEX(lifespans_all!J$2:J$56,MATCH($A12,lifespans_all!$A$2:$A$56,0))*INDEX(SR_mission_minutes!J$2:J$43,MATCH($A12,SR_mission_minutes!$A$2:$A$43)),"-")</f>
        <v>0</v>
      </c>
      <c r="K12" s="105">
        <f>IFERROR(INDEX(lifespans_all!K$2:K$56,MATCH($A12,lifespans_all!$A$2:$A$56,0))*INDEX(SR_mission_minutes!K$2:K$43,MATCH($A12,SR_mission_minutes!$A$2:$A$43)),"-")</f>
        <v>0</v>
      </c>
      <c r="L12" s="105">
        <f>IFERROR(INDEX(lifespans_all!L$2:L$56,MATCH($A12,lifespans_all!$A$2:$A$56,0))*INDEX(SR_mission_minutes!L$2:L$43,MATCH($A12,SR_mission_minutes!$A$2:$A$43)),"-")</f>
        <v>0</v>
      </c>
      <c r="M12" s="105">
        <f>IFERROR(INDEX(lifespans_all!M$2:M$56,MATCH($A12,lifespans_all!$A$2:$A$56,0))*INDEX(SR_mission_minutes!M$2:M$43,MATCH($A12,SR_mission_minutes!$A$2:$A$43)),"-")</f>
        <v>0</v>
      </c>
      <c r="N12" s="105">
        <f>IFERROR(INDEX(lifespans_all!N$2:N$56,MATCH($A12,lifespans_all!$A$2:$A$56,0))*INDEX(SR_mission_minutes!N$2:N$43,MATCH($A12,SR_mission_minutes!$A$2:$A$43)),"-")</f>
        <v>0</v>
      </c>
      <c r="O12" s="105">
        <f>IFERROR(INDEX(lifespans_all!O$2:O$56,MATCH($A12,lifespans_all!$A$2:$A$56,0))*INDEX(SR_mission_minutes!O$2:O$43,MATCH($A12,SR_mission_minutes!$A$2:$A$43)),"-")</f>
        <v>0</v>
      </c>
      <c r="P12" s="105">
        <f>IFERROR(INDEX(lifespans_all!P$2:P$56,MATCH($A12,lifespans_all!$A$2:$A$56,0))*INDEX(SR_mission_minutes!P$2:P$43,MATCH($A12,SR_mission_minutes!$A$2:$A$43)),"-")</f>
        <v>0</v>
      </c>
      <c r="Q12" s="105">
        <f>IFERROR(INDEX(lifespans_all!Q$2:Q$56,MATCH($A12,lifespans_all!$A$2:$A$56,0))*INDEX(SR_mission_minutes!Q$2:Q$43,MATCH($A12,SR_mission_minutes!$A$2:$A$43)),"-")</f>
        <v>0</v>
      </c>
      <c r="R12" s="105">
        <f>IFERROR(INDEX(lifespans_all!R$2:R$56,MATCH($A12,lifespans_all!$A$2:$A$56,0))*INDEX(SR_mission_minutes!R$2:R$43,MATCH($A12,SR_mission_minutes!$A$2:$A$43)),"-")</f>
        <v>0</v>
      </c>
      <c r="S12" s="105">
        <f>IFERROR(INDEX(lifespans_all!S$2:S$56,MATCH($A12,lifespans_all!$A$2:$A$56,0))*INDEX(SR_mission_minutes!S$2:S$43,MATCH($A12,SR_mission_minutes!$A$2:$A$43)),"-")</f>
        <v>0</v>
      </c>
      <c r="T12" s="105">
        <f>IFERROR(INDEX(lifespans_all!T$2:T$56,MATCH($A12,lifespans_all!$A$2:$A$56,0))*INDEX(SR_mission_minutes!T$2:T$43,MATCH($A12,SR_mission_minutes!$A$2:$A$43)),"-")</f>
        <v>0</v>
      </c>
      <c r="U12" s="105">
        <f>IFERROR(INDEX(lifespans_all!U$2:U$56,MATCH($A12,lifespans_all!$A$2:$A$56,0))*INDEX(SR_mission_minutes!U$2:U$43,MATCH($A12,SR_mission_minutes!$A$2:$A$43)),"-")</f>
        <v>0</v>
      </c>
      <c r="V12" s="105">
        <f>IFERROR(INDEX(lifespans_all!V$2:V$56,MATCH($A12,lifespans_all!$A$2:$A$56,0))*INDEX(SR_mission_minutes!V$2:V$43,MATCH($A12,SR_mission_minutes!$A$2:$A$43)),"-")</f>
        <v>0</v>
      </c>
    </row>
    <row r="13" spans="1:23" x14ac:dyDescent="0.25">
      <c r="A13" s="29" t="s">
        <v>22</v>
      </c>
      <c r="B13" s="29" t="s">
        <v>41</v>
      </c>
      <c r="C13" s="105">
        <f>IFERROR(INDEX(lifespans_all!C$2:C$56,MATCH($A13,lifespans_all!$A$2:$A$56,0))*INDEX(SR_mission_minutes!C$2:C$43,MATCH($A13,SR_mission_minutes!$A$2:$A$43)),"-")</f>
        <v>66700.388888888891</v>
      </c>
      <c r="D13" s="105">
        <f>IFERROR(INDEX(lifespans_all!D$2:D$56,MATCH($A13,lifespans_all!$A$2:$A$56,0))*INDEX(SR_mission_minutes!D$2:D$43,MATCH($A13,SR_mission_minutes!$A$2:$A$43)),"-")</f>
        <v>66700.388888888891</v>
      </c>
      <c r="E13" s="105">
        <f>IFERROR(INDEX(lifespans_all!E$2:E$56,MATCH($A13,lifespans_all!$A$2:$A$56,0))*INDEX(SR_mission_minutes!E$2:E$43,MATCH($A13,SR_mission_minutes!$A$2:$A$43)),"-")</f>
        <v>66700.388888888891</v>
      </c>
      <c r="F13" s="105">
        <f>IFERROR(INDEX(lifespans_all!F$2:F$56,MATCH($A13,lifespans_all!$A$2:$A$56,0))*INDEX(SR_mission_minutes!F$2:F$43,MATCH($A13,SR_mission_minutes!$A$2:$A$43)),"-")</f>
        <v>66700.388888888891</v>
      </c>
      <c r="G13" s="105">
        <f>IFERROR(INDEX(lifespans_all!G$2:G$56,MATCH($A13,lifespans_all!$A$2:$A$56,0))*INDEX(SR_mission_minutes!G$2:G$43,MATCH($A13,SR_mission_minutes!$A$2:$A$43)),"-")</f>
        <v>0</v>
      </c>
      <c r="H13" s="105">
        <f>IFERROR(INDEX(lifespans_all!H$2:H$56,MATCH($A13,lifespans_all!$A$2:$A$56,0))*INDEX(SR_mission_minutes!H$2:H$43,MATCH($A13,SR_mission_minutes!$A$2:$A$43)),"-")</f>
        <v>0</v>
      </c>
      <c r="I13" s="105">
        <f>IFERROR(INDEX(lifespans_all!I$2:I$56,MATCH($A13,lifespans_all!$A$2:$A$56,0))*INDEX(SR_mission_minutes!I$2:I$43,MATCH($A13,SR_mission_minutes!$A$2:$A$43)),"-")</f>
        <v>0</v>
      </c>
      <c r="J13" s="105">
        <f>IFERROR(INDEX(lifespans_all!J$2:J$56,MATCH($A13,lifespans_all!$A$2:$A$56,0))*INDEX(SR_mission_minutes!J$2:J$43,MATCH($A13,SR_mission_minutes!$A$2:$A$43)),"-")</f>
        <v>0</v>
      </c>
      <c r="K13" s="105">
        <f>IFERROR(INDEX(lifespans_all!K$2:K$56,MATCH($A13,lifespans_all!$A$2:$A$56,0))*INDEX(SR_mission_minutes!K$2:K$43,MATCH($A13,SR_mission_minutes!$A$2:$A$43)),"-")</f>
        <v>0</v>
      </c>
      <c r="L13" s="105">
        <f>IFERROR(INDEX(lifespans_all!L$2:L$56,MATCH($A13,lifespans_all!$A$2:$A$56,0))*INDEX(SR_mission_minutes!L$2:L$43,MATCH($A13,SR_mission_minutes!$A$2:$A$43)),"-")</f>
        <v>0</v>
      </c>
      <c r="M13" s="105">
        <f>IFERROR(INDEX(lifespans_all!M$2:M$56,MATCH($A13,lifespans_all!$A$2:$A$56,0))*INDEX(SR_mission_minutes!M$2:M$43,MATCH($A13,SR_mission_minutes!$A$2:$A$43)),"-")</f>
        <v>0</v>
      </c>
      <c r="N13" s="105">
        <f>IFERROR(INDEX(lifespans_all!N$2:N$56,MATCH($A13,lifespans_all!$A$2:$A$56,0))*INDEX(SR_mission_minutes!N$2:N$43,MATCH($A13,SR_mission_minutes!$A$2:$A$43)),"-")</f>
        <v>0</v>
      </c>
      <c r="O13" s="105">
        <f>IFERROR(INDEX(lifespans_all!O$2:O$56,MATCH($A13,lifespans_all!$A$2:$A$56,0))*INDEX(SR_mission_minutes!O$2:O$43,MATCH($A13,SR_mission_minutes!$A$2:$A$43)),"-")</f>
        <v>0</v>
      </c>
      <c r="P13" s="105">
        <f>IFERROR(INDEX(lifespans_all!P$2:P$56,MATCH($A13,lifespans_all!$A$2:$A$56,0))*INDEX(SR_mission_minutes!P$2:P$43,MATCH($A13,SR_mission_minutes!$A$2:$A$43)),"-")</f>
        <v>0</v>
      </c>
      <c r="Q13" s="105">
        <f>IFERROR(INDEX(lifespans_all!Q$2:Q$56,MATCH($A13,lifespans_all!$A$2:$A$56,0))*INDEX(SR_mission_minutes!Q$2:Q$43,MATCH($A13,SR_mission_minutes!$A$2:$A$43)),"-")</f>
        <v>0</v>
      </c>
      <c r="R13" s="105">
        <f>IFERROR(INDEX(lifespans_all!R$2:R$56,MATCH($A13,lifespans_all!$A$2:$A$56,0))*INDEX(SR_mission_minutes!R$2:R$43,MATCH($A13,SR_mission_minutes!$A$2:$A$43)),"-")</f>
        <v>0</v>
      </c>
      <c r="S13" s="105">
        <f>IFERROR(INDEX(lifespans_all!S$2:S$56,MATCH($A13,lifespans_all!$A$2:$A$56,0))*INDEX(SR_mission_minutes!S$2:S$43,MATCH($A13,SR_mission_minutes!$A$2:$A$43)),"-")</f>
        <v>0</v>
      </c>
      <c r="T13" s="105">
        <f>IFERROR(INDEX(lifespans_all!T$2:T$56,MATCH($A13,lifespans_all!$A$2:$A$56,0))*INDEX(SR_mission_minutes!T$2:T$43,MATCH($A13,SR_mission_minutes!$A$2:$A$43)),"-")</f>
        <v>0</v>
      </c>
      <c r="U13" s="105">
        <f>IFERROR(INDEX(lifespans_all!U$2:U$56,MATCH($A13,lifespans_all!$A$2:$A$56,0))*INDEX(SR_mission_minutes!U$2:U$43,MATCH($A13,SR_mission_minutes!$A$2:$A$43)),"-")</f>
        <v>0</v>
      </c>
      <c r="V13" s="105">
        <f>IFERROR(INDEX(lifespans_all!V$2:V$56,MATCH($A13,lifespans_all!$A$2:$A$56,0))*INDEX(SR_mission_minutes!V$2:V$43,MATCH($A13,SR_mission_minutes!$A$2:$A$43)),"-")</f>
        <v>0</v>
      </c>
    </row>
    <row r="14" spans="1:23" x14ac:dyDescent="0.25">
      <c r="A14" s="29" t="s">
        <v>23</v>
      </c>
      <c r="B14" s="29" t="s">
        <v>43</v>
      </c>
      <c r="C14" s="105">
        <f>IFERROR(INDEX(lifespans_all!C$2:C$56,MATCH($A14,lifespans_all!$A$2:$A$56,0))*INDEX(SR_mission_minutes!C$2:C$43,MATCH($A14,SR_mission_minutes!$A$2:$A$43)),"-")</f>
        <v>114879</v>
      </c>
      <c r="D14" s="105">
        <f>IFERROR(INDEX(lifespans_all!D$2:D$56,MATCH($A14,lifespans_all!$A$2:$A$56,0))*INDEX(SR_mission_minutes!D$2:D$43,MATCH($A14,SR_mission_minutes!$A$2:$A$43)),"-")</f>
        <v>114879</v>
      </c>
      <c r="E14" s="105">
        <f>IFERROR(INDEX(lifespans_all!E$2:E$56,MATCH($A14,lifespans_all!$A$2:$A$56,0))*INDEX(SR_mission_minutes!E$2:E$43,MATCH($A14,SR_mission_minutes!$A$2:$A$43)),"-")</f>
        <v>114879</v>
      </c>
      <c r="F14" s="105">
        <f>IFERROR(INDEX(lifespans_all!F$2:F$56,MATCH($A14,lifespans_all!$A$2:$A$56,0))*INDEX(SR_mission_minutes!F$2:F$43,MATCH($A14,SR_mission_minutes!$A$2:$A$43)),"-")</f>
        <v>114879</v>
      </c>
      <c r="G14" s="105">
        <f>IFERROR(INDEX(lifespans_all!G$2:G$56,MATCH($A14,lifespans_all!$A$2:$A$56,0))*INDEX(SR_mission_minutes!G$2:G$43,MATCH($A14,SR_mission_minutes!$A$2:$A$43)),"-")</f>
        <v>114879</v>
      </c>
      <c r="H14" s="105">
        <f>IFERROR(INDEX(lifespans_all!H$2:H$56,MATCH($A14,lifespans_all!$A$2:$A$56,0))*INDEX(SR_mission_minutes!H$2:H$43,MATCH($A14,SR_mission_minutes!$A$2:$A$43)),"-")</f>
        <v>114879</v>
      </c>
      <c r="I14" s="105">
        <f>IFERROR(INDEX(lifespans_all!I$2:I$56,MATCH($A14,lifespans_all!$A$2:$A$56,0))*INDEX(SR_mission_minutes!I$2:I$43,MATCH($A14,SR_mission_minutes!$A$2:$A$43)),"-")</f>
        <v>114879</v>
      </c>
      <c r="J14" s="105">
        <f>IFERROR(INDEX(lifespans_all!J$2:J$56,MATCH($A14,lifespans_all!$A$2:$A$56,0))*INDEX(SR_mission_minutes!J$2:J$43,MATCH($A14,SR_mission_minutes!$A$2:$A$43)),"-")</f>
        <v>114879</v>
      </c>
      <c r="K14" s="105">
        <f>IFERROR(INDEX(lifespans_all!K$2:K$56,MATCH($A14,lifespans_all!$A$2:$A$56,0))*INDEX(SR_mission_minutes!K$2:K$43,MATCH($A14,SR_mission_minutes!$A$2:$A$43)),"-")</f>
        <v>114879</v>
      </c>
      <c r="L14" s="105">
        <f>IFERROR(INDEX(lifespans_all!L$2:L$56,MATCH($A14,lifespans_all!$A$2:$A$56,0))*INDEX(SR_mission_minutes!L$2:L$43,MATCH($A14,SR_mission_minutes!$A$2:$A$43)),"-")</f>
        <v>114879</v>
      </c>
      <c r="M14" s="105">
        <f>IFERROR(INDEX(lifespans_all!M$2:M$56,MATCH($A14,lifespans_all!$A$2:$A$56,0))*INDEX(SR_mission_minutes!M$2:M$43,MATCH($A14,SR_mission_minutes!$A$2:$A$43)),"-")</f>
        <v>0</v>
      </c>
      <c r="N14" s="105">
        <f>IFERROR(INDEX(lifespans_all!N$2:N$56,MATCH($A14,lifespans_all!$A$2:$A$56,0))*INDEX(SR_mission_minutes!N$2:N$43,MATCH($A14,SR_mission_minutes!$A$2:$A$43)),"-")</f>
        <v>0</v>
      </c>
      <c r="O14" s="105">
        <f>IFERROR(INDEX(lifespans_all!O$2:O$56,MATCH($A14,lifespans_all!$A$2:$A$56,0))*INDEX(SR_mission_minutes!O$2:O$43,MATCH($A14,SR_mission_minutes!$A$2:$A$43)),"-")</f>
        <v>0</v>
      </c>
      <c r="P14" s="105">
        <f>IFERROR(INDEX(lifespans_all!P$2:P$56,MATCH($A14,lifespans_all!$A$2:$A$56,0))*INDEX(SR_mission_minutes!P$2:P$43,MATCH($A14,SR_mission_minutes!$A$2:$A$43)),"-")</f>
        <v>0</v>
      </c>
      <c r="Q14" s="105">
        <f>IFERROR(INDEX(lifespans_all!Q$2:Q$56,MATCH($A14,lifespans_all!$A$2:$A$56,0))*INDEX(SR_mission_minutes!Q$2:Q$43,MATCH($A14,SR_mission_minutes!$A$2:$A$43)),"-")</f>
        <v>0</v>
      </c>
      <c r="R14" s="105">
        <f>IFERROR(INDEX(lifespans_all!R$2:R$56,MATCH($A14,lifespans_all!$A$2:$A$56,0))*INDEX(SR_mission_minutes!R$2:R$43,MATCH($A14,SR_mission_minutes!$A$2:$A$43)),"-")</f>
        <v>0</v>
      </c>
      <c r="S14" s="105">
        <f>IFERROR(INDEX(lifespans_all!S$2:S$56,MATCH($A14,lifespans_all!$A$2:$A$56,0))*INDEX(SR_mission_minutes!S$2:S$43,MATCH($A14,SR_mission_minutes!$A$2:$A$43)),"-")</f>
        <v>0</v>
      </c>
      <c r="T14" s="105">
        <f>IFERROR(INDEX(lifespans_all!T$2:T$56,MATCH($A14,lifespans_all!$A$2:$A$56,0))*INDEX(SR_mission_minutes!T$2:T$43,MATCH($A14,SR_mission_minutes!$A$2:$A$43)),"-")</f>
        <v>0</v>
      </c>
      <c r="U14" s="105">
        <f>IFERROR(INDEX(lifespans_all!U$2:U$56,MATCH($A14,lifespans_all!$A$2:$A$56,0))*INDEX(SR_mission_minutes!U$2:U$43,MATCH($A14,SR_mission_minutes!$A$2:$A$43)),"-")</f>
        <v>0</v>
      </c>
      <c r="V14" s="105">
        <f>IFERROR(INDEX(lifespans_all!V$2:V$56,MATCH($A14,lifespans_all!$A$2:$A$56,0))*INDEX(SR_mission_minutes!V$2:V$43,MATCH($A14,SR_mission_minutes!$A$2:$A$43)),"-")</f>
        <v>0</v>
      </c>
    </row>
    <row r="15" spans="1:23" x14ac:dyDescent="0.25">
      <c r="A15" s="29" t="s">
        <v>24</v>
      </c>
      <c r="B15" s="29" t="s">
        <v>42</v>
      </c>
      <c r="C15" s="105">
        <f>IFERROR(INDEX(lifespans_all!C$2:C$56,MATCH($A15,lifespans_all!$A$2:$A$56,0))*INDEX(SR_mission_minutes!C$2:C$43,MATCH($A15,SR_mission_minutes!$A$2:$A$43)),"-")</f>
        <v>0</v>
      </c>
      <c r="D15" s="105">
        <f>IFERROR(INDEX(lifespans_all!D$2:D$56,MATCH($A15,lifespans_all!$A$2:$A$56,0))*INDEX(SR_mission_minutes!D$2:D$43,MATCH($A15,SR_mission_minutes!$A$2:$A$43)),"-")</f>
        <v>0</v>
      </c>
      <c r="E15" s="105">
        <f>IFERROR(INDEX(lifespans_all!E$2:E$56,MATCH($A15,lifespans_all!$A$2:$A$56,0))*INDEX(SR_mission_minutes!E$2:E$43,MATCH($A15,SR_mission_minutes!$A$2:$A$43)),"-")</f>
        <v>0</v>
      </c>
      <c r="F15" s="105">
        <f>IFERROR(INDEX(lifespans_all!F$2:F$56,MATCH($A15,lifespans_all!$A$2:$A$56,0))*INDEX(SR_mission_minutes!F$2:F$43,MATCH($A15,SR_mission_minutes!$A$2:$A$43)),"-")</f>
        <v>0</v>
      </c>
      <c r="G15" s="105">
        <f>IFERROR(INDEX(lifespans_all!G$2:G$56,MATCH($A15,lifespans_all!$A$2:$A$56,0))*INDEX(SR_mission_minutes!G$2:G$43,MATCH($A15,SR_mission_minutes!$A$2:$A$43)),"-")</f>
        <v>0</v>
      </c>
      <c r="H15" s="105">
        <f>IFERROR(INDEX(lifespans_all!H$2:H$56,MATCH($A15,lifespans_all!$A$2:$A$56,0))*INDEX(SR_mission_minutes!H$2:H$43,MATCH($A15,SR_mission_minutes!$A$2:$A$43)),"-")</f>
        <v>0</v>
      </c>
      <c r="I15" s="105">
        <f>IFERROR(INDEX(lifespans_all!I$2:I$56,MATCH($A15,lifespans_all!$A$2:$A$56,0))*INDEX(SR_mission_minutes!I$2:I$43,MATCH($A15,SR_mission_minutes!$A$2:$A$43)),"-")</f>
        <v>0</v>
      </c>
      <c r="J15" s="105">
        <f>IFERROR(INDEX(lifespans_all!J$2:J$56,MATCH($A15,lifespans_all!$A$2:$A$56,0))*INDEX(SR_mission_minutes!J$2:J$43,MATCH($A15,SR_mission_minutes!$A$2:$A$43)),"-")</f>
        <v>0</v>
      </c>
      <c r="K15" s="105">
        <f>IFERROR(INDEX(lifespans_all!K$2:K$56,MATCH($A15,lifespans_all!$A$2:$A$56,0))*INDEX(SR_mission_minutes!K$2:K$43,MATCH($A15,SR_mission_minutes!$A$2:$A$43)),"-")</f>
        <v>0</v>
      </c>
      <c r="L15" s="105">
        <f>IFERROR(INDEX(lifespans_all!L$2:L$56,MATCH($A15,lifespans_all!$A$2:$A$56,0))*INDEX(SR_mission_minutes!L$2:L$43,MATCH($A15,SR_mission_minutes!$A$2:$A$43)),"-")</f>
        <v>0</v>
      </c>
      <c r="M15" s="105">
        <f>IFERROR(INDEX(lifespans_all!M$2:M$56,MATCH($A15,lifespans_all!$A$2:$A$56,0))*INDEX(SR_mission_minutes!M$2:M$43,MATCH($A15,SR_mission_minutes!$A$2:$A$43)),"-")</f>
        <v>0</v>
      </c>
      <c r="N15" s="105">
        <f>IFERROR(INDEX(lifespans_all!N$2:N$56,MATCH($A15,lifespans_all!$A$2:$A$56,0))*INDEX(SR_mission_minutes!N$2:N$43,MATCH($A15,SR_mission_minutes!$A$2:$A$43)),"-")</f>
        <v>0</v>
      </c>
      <c r="O15" s="105">
        <f>IFERROR(INDEX(lifespans_all!O$2:O$56,MATCH($A15,lifespans_all!$A$2:$A$56,0))*INDEX(SR_mission_minutes!O$2:O$43,MATCH($A15,SR_mission_minutes!$A$2:$A$43)),"-")</f>
        <v>0</v>
      </c>
      <c r="P15" s="105">
        <f>IFERROR(INDEX(lifespans_all!P$2:P$56,MATCH($A15,lifespans_all!$A$2:$A$56,0))*INDEX(SR_mission_minutes!P$2:P$43,MATCH($A15,SR_mission_minutes!$A$2:$A$43)),"-")</f>
        <v>0</v>
      </c>
      <c r="Q15" s="105">
        <f>IFERROR(INDEX(lifespans_all!Q$2:Q$56,MATCH($A15,lifespans_all!$A$2:$A$56,0))*INDEX(SR_mission_minutes!Q$2:Q$43,MATCH($A15,SR_mission_minutes!$A$2:$A$43)),"-")</f>
        <v>0</v>
      </c>
      <c r="R15" s="105">
        <f>IFERROR(INDEX(lifespans_all!R$2:R$56,MATCH($A15,lifespans_all!$A$2:$A$56,0))*INDEX(SR_mission_minutes!R$2:R$43,MATCH($A15,SR_mission_minutes!$A$2:$A$43)),"-")</f>
        <v>0</v>
      </c>
      <c r="S15" s="105">
        <f>IFERROR(INDEX(lifespans_all!S$2:S$56,MATCH($A15,lifespans_all!$A$2:$A$56,0))*INDEX(SR_mission_minutes!S$2:S$43,MATCH($A15,SR_mission_minutes!$A$2:$A$43)),"-")</f>
        <v>0</v>
      </c>
      <c r="T15" s="105">
        <f>IFERROR(INDEX(lifespans_all!T$2:T$56,MATCH($A15,lifespans_all!$A$2:$A$56,0))*INDEX(SR_mission_minutes!T$2:T$43,MATCH($A15,SR_mission_minutes!$A$2:$A$43)),"-")</f>
        <v>0</v>
      </c>
      <c r="U15" s="105">
        <f>IFERROR(INDEX(lifespans_all!U$2:U$56,MATCH($A15,lifespans_all!$A$2:$A$56,0))*INDEX(SR_mission_minutes!U$2:U$43,MATCH($A15,SR_mission_minutes!$A$2:$A$43)),"-")</f>
        <v>0</v>
      </c>
      <c r="V15" s="105">
        <f>IFERROR(INDEX(lifespans_all!V$2:V$56,MATCH($A15,lifespans_all!$A$2:$A$56,0))*INDEX(SR_mission_minutes!V$2:V$43,MATCH($A15,SR_mission_minutes!$A$2:$A$43)),"-")</f>
        <v>0</v>
      </c>
    </row>
    <row r="16" spans="1:23" x14ac:dyDescent="0.25">
      <c r="A16" s="29" t="s">
        <v>25</v>
      </c>
      <c r="B16" s="29" t="s">
        <v>44</v>
      </c>
      <c r="C16" s="105">
        <f>IFERROR(INDEX(lifespans_all!C$2:C$56,MATCH($A16,lifespans_all!$A$2:$A$56,0))*INDEX(SR_mission_minutes!C$2:C$43,MATCH($A16,SR_mission_minutes!$A$2:$A$43)),"-")</f>
        <v>460.5</v>
      </c>
      <c r="D16" s="105">
        <f>IFERROR(INDEX(lifespans_all!D$2:D$56,MATCH($A16,lifespans_all!$A$2:$A$56,0))*INDEX(SR_mission_minutes!D$2:D$43,MATCH($A16,SR_mission_minutes!$A$2:$A$43)),"-")</f>
        <v>460.5</v>
      </c>
      <c r="E16" s="105">
        <f>IFERROR(INDEX(lifespans_all!E$2:E$56,MATCH($A16,lifespans_all!$A$2:$A$56,0))*INDEX(SR_mission_minutes!E$2:E$43,MATCH($A16,SR_mission_minutes!$A$2:$A$43)),"-")</f>
        <v>460.5</v>
      </c>
      <c r="F16" s="105">
        <f>IFERROR(INDEX(lifespans_all!F$2:F$56,MATCH($A16,lifespans_all!$A$2:$A$56,0))*INDEX(SR_mission_minutes!F$2:F$43,MATCH($A16,SR_mission_minutes!$A$2:$A$43)),"-")</f>
        <v>460.5</v>
      </c>
      <c r="G16" s="105">
        <f>IFERROR(INDEX(lifespans_all!G$2:G$56,MATCH($A16,lifespans_all!$A$2:$A$56,0))*INDEX(SR_mission_minutes!G$2:G$43,MATCH($A16,SR_mission_minutes!$A$2:$A$43)),"-")</f>
        <v>0</v>
      </c>
      <c r="H16" s="105">
        <f>IFERROR(INDEX(lifespans_all!H$2:H$56,MATCH($A16,lifespans_all!$A$2:$A$56,0))*INDEX(SR_mission_minutes!H$2:H$43,MATCH($A16,SR_mission_minutes!$A$2:$A$43)),"-")</f>
        <v>0</v>
      </c>
      <c r="I16" s="105">
        <f>IFERROR(INDEX(lifespans_all!I$2:I$56,MATCH($A16,lifespans_all!$A$2:$A$56,0))*INDEX(SR_mission_minutes!I$2:I$43,MATCH($A16,SR_mission_minutes!$A$2:$A$43)),"-")</f>
        <v>0</v>
      </c>
      <c r="J16" s="105">
        <f>IFERROR(INDEX(lifespans_all!J$2:J$56,MATCH($A16,lifespans_all!$A$2:$A$56,0))*INDEX(SR_mission_minutes!J$2:J$43,MATCH($A16,SR_mission_minutes!$A$2:$A$43)),"-")</f>
        <v>0</v>
      </c>
      <c r="K16" s="105">
        <f>IFERROR(INDEX(lifespans_all!K$2:K$56,MATCH($A16,lifespans_all!$A$2:$A$56,0))*INDEX(SR_mission_minutes!K$2:K$43,MATCH($A16,SR_mission_minutes!$A$2:$A$43)),"-")</f>
        <v>0</v>
      </c>
      <c r="L16" s="105">
        <f>IFERROR(INDEX(lifespans_all!L$2:L$56,MATCH($A16,lifespans_all!$A$2:$A$56,0))*INDEX(SR_mission_minutes!L$2:L$43,MATCH($A16,SR_mission_minutes!$A$2:$A$43)),"-")</f>
        <v>0</v>
      </c>
      <c r="M16" s="105">
        <f>IFERROR(INDEX(lifespans_all!M$2:M$56,MATCH($A16,lifespans_all!$A$2:$A$56,0))*INDEX(SR_mission_minutes!M$2:M$43,MATCH($A16,SR_mission_minutes!$A$2:$A$43)),"-")</f>
        <v>0</v>
      </c>
      <c r="N16" s="105">
        <f>IFERROR(INDEX(lifespans_all!N$2:N$56,MATCH($A16,lifespans_all!$A$2:$A$56,0))*INDEX(SR_mission_minutes!N$2:N$43,MATCH($A16,SR_mission_minutes!$A$2:$A$43)),"-")</f>
        <v>0</v>
      </c>
      <c r="O16" s="105">
        <f>IFERROR(INDEX(lifespans_all!O$2:O$56,MATCH($A16,lifespans_all!$A$2:$A$56,0))*INDEX(SR_mission_minutes!O$2:O$43,MATCH($A16,SR_mission_minutes!$A$2:$A$43)),"-")</f>
        <v>0</v>
      </c>
      <c r="P16" s="105">
        <f>IFERROR(INDEX(lifespans_all!P$2:P$56,MATCH($A16,lifespans_all!$A$2:$A$56,0))*INDEX(SR_mission_minutes!P$2:P$43,MATCH($A16,SR_mission_minutes!$A$2:$A$43)),"-")</f>
        <v>0</v>
      </c>
      <c r="Q16" s="105">
        <f>IFERROR(INDEX(lifespans_all!Q$2:Q$56,MATCH($A16,lifespans_all!$A$2:$A$56,0))*INDEX(SR_mission_minutes!Q$2:Q$43,MATCH($A16,SR_mission_minutes!$A$2:$A$43)),"-")</f>
        <v>0</v>
      </c>
      <c r="R16" s="105">
        <f>IFERROR(INDEX(lifespans_all!R$2:R$56,MATCH($A16,lifespans_all!$A$2:$A$56,0))*INDEX(SR_mission_minutes!R$2:R$43,MATCH($A16,SR_mission_minutes!$A$2:$A$43)),"-")</f>
        <v>0</v>
      </c>
      <c r="S16" s="105">
        <f>IFERROR(INDEX(lifespans_all!S$2:S$56,MATCH($A16,lifespans_all!$A$2:$A$56,0))*INDEX(SR_mission_minutes!S$2:S$43,MATCH($A16,SR_mission_minutes!$A$2:$A$43)),"-")</f>
        <v>0</v>
      </c>
      <c r="T16" s="105">
        <f>IFERROR(INDEX(lifespans_all!T$2:T$56,MATCH($A16,lifespans_all!$A$2:$A$56,0))*INDEX(SR_mission_minutes!T$2:T$43,MATCH($A16,SR_mission_minutes!$A$2:$A$43)),"-")</f>
        <v>0</v>
      </c>
      <c r="U16" s="105">
        <f>IFERROR(INDEX(lifespans_all!U$2:U$56,MATCH($A16,lifespans_all!$A$2:$A$56,0))*INDEX(SR_mission_minutes!U$2:U$43,MATCH($A16,SR_mission_minutes!$A$2:$A$43)),"-")</f>
        <v>0</v>
      </c>
      <c r="V16" s="105">
        <f>IFERROR(INDEX(lifespans_all!V$2:V$56,MATCH($A16,lifespans_all!$A$2:$A$56,0))*INDEX(SR_mission_minutes!V$2:V$43,MATCH($A16,SR_mission_minutes!$A$2:$A$43)),"-")</f>
        <v>0</v>
      </c>
    </row>
    <row r="17" spans="1:22" x14ac:dyDescent="0.25">
      <c r="A17" s="29" t="s">
        <v>58</v>
      </c>
      <c r="B17" s="29" t="s">
        <v>41</v>
      </c>
      <c r="C17" s="105">
        <f>IFERROR(INDEX(lifespans_all!C$2:C$56,MATCH($A17,lifespans_all!$A$2:$A$56,0))*INDEX(SR_mission_minutes!C$2:C$43,MATCH($A17,SR_mission_minutes!$A$2:$A$43)),"-")</f>
        <v>66700.388888888891</v>
      </c>
      <c r="D17" s="105">
        <f>IFERROR(INDEX(lifespans_all!D$2:D$56,MATCH($A17,lifespans_all!$A$2:$A$56,0))*INDEX(SR_mission_minutes!D$2:D$43,MATCH($A17,SR_mission_minutes!$A$2:$A$43)),"-")</f>
        <v>0</v>
      </c>
      <c r="E17" s="105">
        <f>IFERROR(INDEX(lifespans_all!E$2:E$56,MATCH($A17,lifespans_all!$A$2:$A$56,0))*INDEX(SR_mission_minutes!E$2:E$43,MATCH($A17,SR_mission_minutes!$A$2:$A$43)),"-")</f>
        <v>0</v>
      </c>
      <c r="F17" s="105">
        <f>IFERROR(INDEX(lifespans_all!F$2:F$56,MATCH($A17,lifespans_all!$A$2:$A$56,0))*INDEX(SR_mission_minutes!F$2:F$43,MATCH($A17,SR_mission_minutes!$A$2:$A$43)),"-")</f>
        <v>0</v>
      </c>
      <c r="G17" s="105">
        <f>IFERROR(INDEX(lifespans_all!G$2:G$56,MATCH($A17,lifespans_all!$A$2:$A$56,0))*INDEX(SR_mission_minutes!G$2:G$43,MATCH($A17,SR_mission_minutes!$A$2:$A$43)),"-")</f>
        <v>0</v>
      </c>
      <c r="H17" s="105">
        <f>IFERROR(INDEX(lifespans_all!H$2:H$56,MATCH($A17,lifespans_all!$A$2:$A$56,0))*INDEX(SR_mission_minutes!H$2:H$43,MATCH($A17,SR_mission_minutes!$A$2:$A$43)),"-")</f>
        <v>0</v>
      </c>
      <c r="I17" s="105">
        <f>IFERROR(INDEX(lifespans_all!I$2:I$56,MATCH($A17,lifespans_all!$A$2:$A$56,0))*INDEX(SR_mission_minutes!I$2:I$43,MATCH($A17,SR_mission_minutes!$A$2:$A$43)),"-")</f>
        <v>0</v>
      </c>
      <c r="J17" s="105">
        <f>IFERROR(INDEX(lifespans_all!J$2:J$56,MATCH($A17,lifespans_all!$A$2:$A$56,0))*INDEX(SR_mission_minutes!J$2:J$43,MATCH($A17,SR_mission_minutes!$A$2:$A$43)),"-")</f>
        <v>0</v>
      </c>
      <c r="K17" s="105">
        <f>IFERROR(INDEX(lifespans_all!K$2:K$56,MATCH($A17,lifespans_all!$A$2:$A$56,0))*INDEX(SR_mission_minutes!K$2:K$43,MATCH($A17,SR_mission_minutes!$A$2:$A$43)),"-")</f>
        <v>0</v>
      </c>
      <c r="L17" s="105">
        <f>IFERROR(INDEX(lifespans_all!L$2:L$56,MATCH($A17,lifespans_all!$A$2:$A$56,0))*INDEX(SR_mission_minutes!L$2:L$43,MATCH($A17,SR_mission_minutes!$A$2:$A$43)),"-")</f>
        <v>0</v>
      </c>
      <c r="M17" s="105">
        <f>IFERROR(INDEX(lifespans_all!M$2:M$56,MATCH($A17,lifespans_all!$A$2:$A$56,0))*INDEX(SR_mission_minutes!M$2:M$43,MATCH($A17,SR_mission_minutes!$A$2:$A$43)),"-")</f>
        <v>0</v>
      </c>
      <c r="N17" s="105">
        <f>IFERROR(INDEX(lifespans_all!N$2:N$56,MATCH($A17,lifespans_all!$A$2:$A$56,0))*INDEX(SR_mission_minutes!N$2:N$43,MATCH($A17,SR_mission_minutes!$A$2:$A$43)),"-")</f>
        <v>0</v>
      </c>
      <c r="O17" s="105">
        <f>IFERROR(INDEX(lifespans_all!O$2:O$56,MATCH($A17,lifespans_all!$A$2:$A$56,0))*INDEX(SR_mission_minutes!O$2:O$43,MATCH($A17,SR_mission_minutes!$A$2:$A$43)),"-")</f>
        <v>0</v>
      </c>
      <c r="P17" s="105">
        <f>IFERROR(INDEX(lifespans_all!P$2:P$56,MATCH($A17,lifespans_all!$A$2:$A$56,0))*INDEX(SR_mission_minutes!P$2:P$43,MATCH($A17,SR_mission_minutes!$A$2:$A$43)),"-")</f>
        <v>0</v>
      </c>
      <c r="Q17" s="105">
        <f>IFERROR(INDEX(lifespans_all!Q$2:Q$56,MATCH($A17,lifespans_all!$A$2:$A$56,0))*INDEX(SR_mission_minutes!Q$2:Q$43,MATCH($A17,SR_mission_minutes!$A$2:$A$43)),"-")</f>
        <v>0</v>
      </c>
      <c r="R17" s="105">
        <f>IFERROR(INDEX(lifespans_all!R$2:R$56,MATCH($A17,lifespans_all!$A$2:$A$56,0))*INDEX(SR_mission_minutes!R$2:R$43,MATCH($A17,SR_mission_minutes!$A$2:$A$43)),"-")</f>
        <v>0</v>
      </c>
      <c r="S17" s="105">
        <f>IFERROR(INDEX(lifespans_all!S$2:S$56,MATCH($A17,lifespans_all!$A$2:$A$56,0))*INDEX(SR_mission_minutes!S$2:S$43,MATCH($A17,SR_mission_minutes!$A$2:$A$43)),"-")</f>
        <v>0</v>
      </c>
      <c r="T17" s="105">
        <f>IFERROR(INDEX(lifespans_all!T$2:T$56,MATCH($A17,lifespans_all!$A$2:$A$56,0))*INDEX(SR_mission_minutes!T$2:T$43,MATCH($A17,SR_mission_minutes!$A$2:$A$43)),"-")</f>
        <v>0</v>
      </c>
      <c r="U17" s="105">
        <f>IFERROR(INDEX(lifespans_all!U$2:U$56,MATCH($A17,lifespans_all!$A$2:$A$56,0))*INDEX(SR_mission_minutes!U$2:U$43,MATCH($A17,SR_mission_minutes!$A$2:$A$43)),"-")</f>
        <v>0</v>
      </c>
      <c r="V17" s="105">
        <f>IFERROR(INDEX(lifespans_all!V$2:V$56,MATCH($A17,lifespans_all!$A$2:$A$56,0))*INDEX(SR_mission_minutes!V$2:V$43,MATCH($A17,SR_mission_minutes!$A$2:$A$43)),"-")</f>
        <v>0</v>
      </c>
    </row>
    <row r="18" spans="1:22" x14ac:dyDescent="0.25">
      <c r="A18" s="29" t="s">
        <v>59</v>
      </c>
      <c r="B18" s="29" t="s">
        <v>41</v>
      </c>
      <c r="C18" s="105">
        <f>IFERROR(INDEX(lifespans_all!C$2:C$56,MATCH($A18,lifespans_all!$A$2:$A$56,0))*INDEX(SR_mission_minutes!C$2:C$43,MATCH($A18,SR_mission_minutes!$A$2:$A$43)),"-")</f>
        <v>66700.388888888891</v>
      </c>
      <c r="D18" s="105">
        <f>IFERROR(INDEX(lifespans_all!D$2:D$56,MATCH($A18,lifespans_all!$A$2:$A$56,0))*INDEX(SR_mission_minutes!D$2:D$43,MATCH($A18,SR_mission_minutes!$A$2:$A$43)),"-")</f>
        <v>66700.388888888891</v>
      </c>
      <c r="E18" s="105">
        <f>IFERROR(INDEX(lifespans_all!E$2:E$56,MATCH($A18,lifespans_all!$A$2:$A$56,0))*INDEX(SR_mission_minutes!E$2:E$43,MATCH($A18,SR_mission_minutes!$A$2:$A$43)),"-")</f>
        <v>66700.388888888891</v>
      </c>
      <c r="F18" s="105">
        <f>IFERROR(INDEX(lifespans_all!F$2:F$56,MATCH($A18,lifespans_all!$A$2:$A$56,0))*INDEX(SR_mission_minutes!F$2:F$43,MATCH($A18,SR_mission_minutes!$A$2:$A$43)),"-")</f>
        <v>0</v>
      </c>
      <c r="G18" s="105">
        <f>IFERROR(INDEX(lifespans_all!G$2:G$56,MATCH($A18,lifespans_all!$A$2:$A$56,0))*INDEX(SR_mission_minutes!G$2:G$43,MATCH($A18,SR_mission_minutes!$A$2:$A$43)),"-")</f>
        <v>0</v>
      </c>
      <c r="H18" s="105">
        <f>IFERROR(INDEX(lifespans_all!H$2:H$56,MATCH($A18,lifespans_all!$A$2:$A$56,0))*INDEX(SR_mission_minutes!H$2:H$43,MATCH($A18,SR_mission_minutes!$A$2:$A$43)),"-")</f>
        <v>0</v>
      </c>
      <c r="I18" s="105">
        <f>IFERROR(INDEX(lifespans_all!I$2:I$56,MATCH($A18,lifespans_all!$A$2:$A$56,0))*INDEX(SR_mission_minutes!I$2:I$43,MATCH($A18,SR_mission_minutes!$A$2:$A$43)),"-")</f>
        <v>0</v>
      </c>
      <c r="J18" s="105">
        <f>IFERROR(INDEX(lifespans_all!J$2:J$56,MATCH($A18,lifespans_all!$A$2:$A$56,0))*INDEX(SR_mission_minutes!J$2:J$43,MATCH($A18,SR_mission_minutes!$A$2:$A$43)),"-")</f>
        <v>0</v>
      </c>
      <c r="K18" s="105">
        <f>IFERROR(INDEX(lifespans_all!K$2:K$56,MATCH($A18,lifespans_all!$A$2:$A$56,0))*INDEX(SR_mission_minutes!K$2:K$43,MATCH($A18,SR_mission_minutes!$A$2:$A$43)),"-")</f>
        <v>0</v>
      </c>
      <c r="L18" s="105">
        <f>IFERROR(INDEX(lifespans_all!L$2:L$56,MATCH($A18,lifespans_all!$A$2:$A$56,0))*INDEX(SR_mission_minutes!L$2:L$43,MATCH($A18,SR_mission_minutes!$A$2:$A$43)),"-")</f>
        <v>0</v>
      </c>
      <c r="M18" s="105">
        <f>IFERROR(INDEX(lifespans_all!M$2:M$56,MATCH($A18,lifespans_all!$A$2:$A$56,0))*INDEX(SR_mission_minutes!M$2:M$43,MATCH($A18,SR_mission_minutes!$A$2:$A$43)),"-")</f>
        <v>0</v>
      </c>
      <c r="N18" s="105">
        <f>IFERROR(INDEX(lifespans_all!N$2:N$56,MATCH($A18,lifespans_all!$A$2:$A$56,0))*INDEX(SR_mission_minutes!N$2:N$43,MATCH($A18,SR_mission_minutes!$A$2:$A$43)),"-")</f>
        <v>0</v>
      </c>
      <c r="O18" s="105">
        <f>IFERROR(INDEX(lifespans_all!O$2:O$56,MATCH($A18,lifespans_all!$A$2:$A$56,0))*INDEX(SR_mission_minutes!O$2:O$43,MATCH($A18,SR_mission_minutes!$A$2:$A$43)),"-")</f>
        <v>0</v>
      </c>
      <c r="P18" s="105">
        <f>IFERROR(INDEX(lifespans_all!P$2:P$56,MATCH($A18,lifespans_all!$A$2:$A$56,0))*INDEX(SR_mission_minutes!P$2:P$43,MATCH($A18,SR_mission_minutes!$A$2:$A$43)),"-")</f>
        <v>0</v>
      </c>
      <c r="Q18" s="105">
        <f>IFERROR(INDEX(lifespans_all!Q$2:Q$56,MATCH($A18,lifespans_all!$A$2:$A$56,0))*INDEX(SR_mission_minutes!Q$2:Q$43,MATCH($A18,SR_mission_minutes!$A$2:$A$43)),"-")</f>
        <v>0</v>
      </c>
      <c r="R18" s="105">
        <f>IFERROR(INDEX(lifespans_all!R$2:R$56,MATCH($A18,lifespans_all!$A$2:$A$56,0))*INDEX(SR_mission_minutes!R$2:R$43,MATCH($A18,SR_mission_minutes!$A$2:$A$43)),"-")</f>
        <v>0</v>
      </c>
      <c r="S18" s="105">
        <f>IFERROR(INDEX(lifespans_all!S$2:S$56,MATCH($A18,lifespans_all!$A$2:$A$56,0))*INDEX(SR_mission_minutes!S$2:S$43,MATCH($A18,SR_mission_minutes!$A$2:$A$43)),"-")</f>
        <v>0</v>
      </c>
      <c r="T18" s="105">
        <f>IFERROR(INDEX(lifespans_all!T$2:T$56,MATCH($A18,lifespans_all!$A$2:$A$56,0))*INDEX(SR_mission_minutes!T$2:T$43,MATCH($A18,SR_mission_minutes!$A$2:$A$43)),"-")</f>
        <v>0</v>
      </c>
      <c r="U18" s="105">
        <f>IFERROR(INDEX(lifespans_all!U$2:U$56,MATCH($A18,lifespans_all!$A$2:$A$56,0))*INDEX(SR_mission_minutes!U$2:U$43,MATCH($A18,SR_mission_minutes!$A$2:$A$43)),"-")</f>
        <v>0</v>
      </c>
      <c r="V18" s="105">
        <f>IFERROR(INDEX(lifespans_all!V$2:V$56,MATCH($A18,lifespans_all!$A$2:$A$56,0))*INDEX(SR_mission_minutes!V$2:V$43,MATCH($A18,SR_mission_minutes!$A$2:$A$43)),"-")</f>
        <v>0</v>
      </c>
    </row>
    <row r="19" spans="1:22" x14ac:dyDescent="0.25">
      <c r="A19" s="29" t="s">
        <v>60</v>
      </c>
      <c r="B19" s="29" t="s">
        <v>41</v>
      </c>
      <c r="C19" s="105">
        <f>IFERROR(INDEX(lifespans_all!C$2:C$56,MATCH($A19,lifespans_all!$A$2:$A$56,0))*INDEX(SR_mission_minutes!C$2:C$43,MATCH($A19,SR_mission_minutes!$A$2:$A$43)),"-")</f>
        <v>66700.388888888891</v>
      </c>
      <c r="D19" s="105">
        <f>IFERROR(INDEX(lifespans_all!D$2:D$56,MATCH($A19,lifespans_all!$A$2:$A$56,0))*INDEX(SR_mission_minutes!D$2:D$43,MATCH($A19,SR_mission_minutes!$A$2:$A$43)),"-")</f>
        <v>66700.388888888891</v>
      </c>
      <c r="E19" s="105">
        <f>IFERROR(INDEX(lifespans_all!E$2:E$56,MATCH($A19,lifespans_all!$A$2:$A$56,0))*INDEX(SR_mission_minutes!E$2:E$43,MATCH($A19,SR_mission_minutes!$A$2:$A$43)),"-")</f>
        <v>66700.388888888891</v>
      </c>
      <c r="F19" s="105">
        <f>IFERROR(INDEX(lifespans_all!F$2:F$56,MATCH($A19,lifespans_all!$A$2:$A$56,0))*INDEX(SR_mission_minutes!F$2:F$43,MATCH($A19,SR_mission_minutes!$A$2:$A$43)),"-")</f>
        <v>66700.388888888891</v>
      </c>
      <c r="G19" s="105">
        <f>IFERROR(INDEX(lifespans_all!G$2:G$56,MATCH($A19,lifespans_all!$A$2:$A$56,0))*INDEX(SR_mission_minutes!G$2:G$43,MATCH($A19,SR_mission_minutes!$A$2:$A$43)),"-")</f>
        <v>66700.388888888891</v>
      </c>
      <c r="H19" s="105">
        <f>IFERROR(INDEX(lifespans_all!H$2:H$56,MATCH($A19,lifespans_all!$A$2:$A$56,0))*INDEX(SR_mission_minutes!H$2:H$43,MATCH($A19,SR_mission_minutes!$A$2:$A$43)),"-")</f>
        <v>66700.388888888891</v>
      </c>
      <c r="I19" s="105">
        <f>IFERROR(INDEX(lifespans_all!I$2:I$56,MATCH($A19,lifespans_all!$A$2:$A$56,0))*INDEX(SR_mission_minutes!I$2:I$43,MATCH($A19,SR_mission_minutes!$A$2:$A$43)),"-")</f>
        <v>0</v>
      </c>
      <c r="J19" s="105">
        <f>IFERROR(INDEX(lifespans_all!J$2:J$56,MATCH($A19,lifespans_all!$A$2:$A$56,0))*INDEX(SR_mission_minutes!J$2:J$43,MATCH($A19,SR_mission_minutes!$A$2:$A$43)),"-")</f>
        <v>0</v>
      </c>
      <c r="K19" s="105">
        <f>IFERROR(INDEX(lifespans_all!K$2:K$56,MATCH($A19,lifespans_all!$A$2:$A$56,0))*INDEX(SR_mission_minutes!K$2:K$43,MATCH($A19,SR_mission_minutes!$A$2:$A$43)),"-")</f>
        <v>0</v>
      </c>
      <c r="L19" s="105">
        <f>IFERROR(INDEX(lifespans_all!L$2:L$56,MATCH($A19,lifespans_all!$A$2:$A$56,0))*INDEX(SR_mission_minutes!L$2:L$43,MATCH($A19,SR_mission_minutes!$A$2:$A$43)),"-")</f>
        <v>0</v>
      </c>
      <c r="M19" s="105">
        <f>IFERROR(INDEX(lifespans_all!M$2:M$56,MATCH($A19,lifespans_all!$A$2:$A$56,0))*INDEX(SR_mission_minutes!M$2:M$43,MATCH($A19,SR_mission_minutes!$A$2:$A$43)),"-")</f>
        <v>0</v>
      </c>
      <c r="N19" s="105">
        <f>IFERROR(INDEX(lifespans_all!N$2:N$56,MATCH($A19,lifespans_all!$A$2:$A$56,0))*INDEX(SR_mission_minutes!N$2:N$43,MATCH($A19,SR_mission_minutes!$A$2:$A$43)),"-")</f>
        <v>0</v>
      </c>
      <c r="O19" s="105">
        <f>IFERROR(INDEX(lifespans_all!O$2:O$56,MATCH($A19,lifespans_all!$A$2:$A$56,0))*INDEX(SR_mission_minutes!O$2:O$43,MATCH($A19,SR_mission_minutes!$A$2:$A$43)),"-")</f>
        <v>0</v>
      </c>
      <c r="P19" s="105">
        <f>IFERROR(INDEX(lifespans_all!P$2:P$56,MATCH($A19,lifespans_all!$A$2:$A$56,0))*INDEX(SR_mission_minutes!P$2:P$43,MATCH($A19,SR_mission_minutes!$A$2:$A$43)),"-")</f>
        <v>0</v>
      </c>
      <c r="Q19" s="105">
        <f>IFERROR(INDEX(lifespans_all!Q$2:Q$56,MATCH($A19,lifespans_all!$A$2:$A$56,0))*INDEX(SR_mission_minutes!Q$2:Q$43,MATCH($A19,SR_mission_minutes!$A$2:$A$43)),"-")</f>
        <v>0</v>
      </c>
      <c r="R19" s="105">
        <f>IFERROR(INDEX(lifespans_all!R$2:R$56,MATCH($A19,lifespans_all!$A$2:$A$56,0))*INDEX(SR_mission_minutes!R$2:R$43,MATCH($A19,SR_mission_minutes!$A$2:$A$43)),"-")</f>
        <v>0</v>
      </c>
      <c r="S19" s="105">
        <f>IFERROR(INDEX(lifespans_all!S$2:S$56,MATCH($A19,lifespans_all!$A$2:$A$56,0))*INDEX(SR_mission_minutes!S$2:S$43,MATCH($A19,SR_mission_minutes!$A$2:$A$43)),"-")</f>
        <v>0</v>
      </c>
      <c r="T19" s="105">
        <f>IFERROR(INDEX(lifespans_all!T$2:T$56,MATCH($A19,lifespans_all!$A$2:$A$56,0))*INDEX(SR_mission_minutes!T$2:T$43,MATCH($A19,SR_mission_minutes!$A$2:$A$43)),"-")</f>
        <v>0</v>
      </c>
      <c r="U19" s="105">
        <f>IFERROR(INDEX(lifespans_all!U$2:U$56,MATCH($A19,lifespans_all!$A$2:$A$56,0))*INDEX(SR_mission_minutes!U$2:U$43,MATCH($A19,SR_mission_minutes!$A$2:$A$43)),"-")</f>
        <v>0</v>
      </c>
      <c r="V19" s="105">
        <f>IFERROR(INDEX(lifespans_all!V$2:V$56,MATCH($A19,lifespans_all!$A$2:$A$56,0))*INDEX(SR_mission_minutes!V$2:V$43,MATCH($A19,SR_mission_minutes!$A$2:$A$43)),"-")</f>
        <v>0</v>
      </c>
    </row>
    <row r="20" spans="1:22" x14ac:dyDescent="0.25">
      <c r="A20" s="29" t="s">
        <v>26</v>
      </c>
      <c r="B20" s="29" t="s">
        <v>45</v>
      </c>
      <c r="C20" s="105">
        <f>IFERROR(INDEX(lifespans_all!C$2:C$56,MATCH($A20,lifespans_all!$A$2:$A$56,0))*INDEX(SR_mission_minutes!C$2:C$43,MATCH($A20,SR_mission_minutes!$A$2:$A$43)),"-")</f>
        <v>33739.333333333336</v>
      </c>
      <c r="D20" s="105">
        <f>IFERROR(INDEX(lifespans_all!D$2:D$56,MATCH($A20,lifespans_all!$A$2:$A$56,0))*INDEX(SR_mission_minutes!D$2:D$43,MATCH($A20,SR_mission_minutes!$A$2:$A$43)),"-")</f>
        <v>33739.333333333336</v>
      </c>
      <c r="E20" s="105">
        <f>IFERROR(INDEX(lifespans_all!E$2:E$56,MATCH($A20,lifespans_all!$A$2:$A$56,0))*INDEX(SR_mission_minutes!E$2:E$43,MATCH($A20,SR_mission_minutes!$A$2:$A$43)),"-")</f>
        <v>33739.333333333336</v>
      </c>
      <c r="F20" s="105">
        <f>IFERROR(INDEX(lifespans_all!F$2:F$56,MATCH($A20,lifespans_all!$A$2:$A$56,0))*INDEX(SR_mission_minutes!F$2:F$43,MATCH($A20,SR_mission_minutes!$A$2:$A$43)),"-")</f>
        <v>33739.333333333336</v>
      </c>
      <c r="G20" s="105">
        <f>IFERROR(INDEX(lifespans_all!G$2:G$56,MATCH($A20,lifespans_all!$A$2:$A$56,0))*INDEX(SR_mission_minutes!G$2:G$43,MATCH($A20,SR_mission_minutes!$A$2:$A$43)),"-")</f>
        <v>33739.333333333336</v>
      </c>
      <c r="H20" s="105">
        <f>IFERROR(INDEX(lifespans_all!H$2:H$56,MATCH($A20,lifespans_all!$A$2:$A$56,0))*INDEX(SR_mission_minutes!H$2:H$43,MATCH($A20,SR_mission_minutes!$A$2:$A$43)),"-")</f>
        <v>33739.333333333336</v>
      </c>
      <c r="I20" s="105">
        <f>IFERROR(INDEX(lifespans_all!I$2:I$56,MATCH($A20,lifespans_all!$A$2:$A$56,0))*INDEX(SR_mission_minutes!I$2:I$43,MATCH($A20,SR_mission_minutes!$A$2:$A$43)),"-")</f>
        <v>33739.333333333336</v>
      </c>
      <c r="J20" s="105">
        <f>IFERROR(INDEX(lifespans_all!J$2:J$56,MATCH($A20,lifespans_all!$A$2:$A$56,0))*INDEX(SR_mission_minutes!J$2:J$43,MATCH($A20,SR_mission_minutes!$A$2:$A$43)),"-")</f>
        <v>33739.333333333336</v>
      </c>
      <c r="K20" s="105">
        <f>IFERROR(INDEX(lifespans_all!K$2:K$56,MATCH($A20,lifespans_all!$A$2:$A$56,0))*INDEX(SR_mission_minutes!K$2:K$43,MATCH($A20,SR_mission_minutes!$A$2:$A$43)),"-")</f>
        <v>33739.333333333336</v>
      </c>
      <c r="L20" s="105">
        <f>IFERROR(INDEX(lifespans_all!L$2:L$56,MATCH($A20,lifespans_all!$A$2:$A$56,0))*INDEX(SR_mission_minutes!L$2:L$43,MATCH($A20,SR_mission_minutes!$A$2:$A$43)),"-")</f>
        <v>33739.333333333336</v>
      </c>
      <c r="M20" s="105">
        <f>IFERROR(INDEX(lifespans_all!M$2:M$56,MATCH($A20,lifespans_all!$A$2:$A$56,0))*INDEX(SR_mission_minutes!M$2:M$43,MATCH($A20,SR_mission_minutes!$A$2:$A$43)),"-")</f>
        <v>33739.333333333336</v>
      </c>
      <c r="N20" s="105">
        <f>IFERROR(INDEX(lifespans_all!N$2:N$56,MATCH($A20,lifespans_all!$A$2:$A$56,0))*INDEX(SR_mission_minutes!N$2:N$43,MATCH($A20,SR_mission_minutes!$A$2:$A$43)),"-")</f>
        <v>33739.333333333336</v>
      </c>
      <c r="O20" s="105">
        <f>IFERROR(INDEX(lifespans_all!O$2:O$56,MATCH($A20,lifespans_all!$A$2:$A$56,0))*INDEX(SR_mission_minutes!O$2:O$43,MATCH($A20,SR_mission_minutes!$A$2:$A$43)),"-")</f>
        <v>33739.333333333336</v>
      </c>
      <c r="P20" s="105">
        <f>IFERROR(INDEX(lifespans_all!P$2:P$56,MATCH($A20,lifespans_all!$A$2:$A$56,0))*INDEX(SR_mission_minutes!P$2:P$43,MATCH($A20,SR_mission_minutes!$A$2:$A$43)),"-")</f>
        <v>33739.333333333336</v>
      </c>
      <c r="Q20" s="105">
        <f>IFERROR(INDEX(lifespans_all!Q$2:Q$56,MATCH($A20,lifespans_all!$A$2:$A$56,0))*INDEX(SR_mission_minutes!Q$2:Q$43,MATCH($A20,SR_mission_minutes!$A$2:$A$43)),"-")</f>
        <v>33739.333333333336</v>
      </c>
      <c r="R20" s="105">
        <f>IFERROR(INDEX(lifespans_all!R$2:R$56,MATCH($A20,lifespans_all!$A$2:$A$56,0))*INDEX(SR_mission_minutes!R$2:R$43,MATCH($A20,SR_mission_minutes!$A$2:$A$43)),"-")</f>
        <v>33739.333333333336</v>
      </c>
      <c r="S20" s="105">
        <f>IFERROR(INDEX(lifespans_all!S$2:S$56,MATCH($A20,lifespans_all!$A$2:$A$56,0))*INDEX(SR_mission_minutes!S$2:S$43,MATCH($A20,SR_mission_minutes!$A$2:$A$43)),"-")</f>
        <v>33739.333333333336</v>
      </c>
      <c r="T20" s="105">
        <f>IFERROR(INDEX(lifespans_all!T$2:T$56,MATCH($A20,lifespans_all!$A$2:$A$56,0))*INDEX(SR_mission_minutes!T$2:T$43,MATCH($A20,SR_mission_minutes!$A$2:$A$43)),"-")</f>
        <v>33739.333333333336</v>
      </c>
      <c r="U20" s="105">
        <f>IFERROR(INDEX(lifespans_all!U$2:U$56,MATCH($A20,lifespans_all!$A$2:$A$56,0))*INDEX(SR_mission_minutes!U$2:U$43,MATCH($A20,SR_mission_minutes!$A$2:$A$43)),"-")</f>
        <v>33739.333333333336</v>
      </c>
      <c r="V20" s="105">
        <f>IFERROR(INDEX(lifespans_all!V$2:V$56,MATCH($A20,lifespans_all!$A$2:$A$56,0))*INDEX(SR_mission_minutes!V$2:V$43,MATCH($A20,SR_mission_minutes!$A$2:$A$43)),"-")</f>
        <v>33739.333333333336</v>
      </c>
    </row>
    <row r="21" spans="1:22" x14ac:dyDescent="0.25">
      <c r="A21" s="29" t="s">
        <v>61</v>
      </c>
      <c r="B21" s="29" t="s">
        <v>42</v>
      </c>
      <c r="C21" s="105">
        <f>IFERROR(INDEX(lifespans_all!C$2:C$56,MATCH($A21,lifespans_all!$A$2:$A$56,0))*INDEX(SR_mission_minutes!C$2:C$43,MATCH($A21,SR_mission_minutes!$A$2:$A$43)),"-")</f>
        <v>2294</v>
      </c>
      <c r="D21" s="105">
        <f>IFERROR(INDEX(lifespans_all!D$2:D$56,MATCH($A21,lifespans_all!$A$2:$A$56,0))*INDEX(SR_mission_minutes!D$2:D$43,MATCH($A21,SR_mission_minutes!$A$2:$A$43)),"-")</f>
        <v>2294</v>
      </c>
      <c r="E21" s="105">
        <f>IFERROR(INDEX(lifespans_all!E$2:E$56,MATCH($A21,lifespans_all!$A$2:$A$56,0))*INDEX(SR_mission_minutes!E$2:E$43,MATCH($A21,SR_mission_minutes!$A$2:$A$43)),"-")</f>
        <v>2294</v>
      </c>
      <c r="F21" s="105">
        <f>IFERROR(INDEX(lifespans_all!F$2:F$56,MATCH($A21,lifespans_all!$A$2:$A$56,0))*INDEX(SR_mission_minutes!F$2:F$43,MATCH($A21,SR_mission_minutes!$A$2:$A$43)),"-")</f>
        <v>2294</v>
      </c>
      <c r="G21" s="105">
        <f>IFERROR(INDEX(lifespans_all!G$2:G$56,MATCH($A21,lifespans_all!$A$2:$A$56,0))*INDEX(SR_mission_minutes!G$2:G$43,MATCH($A21,SR_mission_minutes!$A$2:$A$43)),"-")</f>
        <v>2294</v>
      </c>
      <c r="H21" s="105">
        <f>IFERROR(INDEX(lifespans_all!H$2:H$56,MATCH($A21,lifespans_all!$A$2:$A$56,0))*INDEX(SR_mission_minutes!H$2:H$43,MATCH($A21,SR_mission_minutes!$A$2:$A$43)),"-")</f>
        <v>2294</v>
      </c>
      <c r="I21" s="105">
        <f>IFERROR(INDEX(lifespans_all!I$2:I$56,MATCH($A21,lifespans_all!$A$2:$A$56,0))*INDEX(SR_mission_minutes!I$2:I$43,MATCH($A21,SR_mission_minutes!$A$2:$A$43)),"-")</f>
        <v>2294</v>
      </c>
      <c r="J21" s="105">
        <f>IFERROR(INDEX(lifespans_all!J$2:J$56,MATCH($A21,lifespans_all!$A$2:$A$56,0))*INDEX(SR_mission_minutes!J$2:J$43,MATCH($A21,SR_mission_minutes!$A$2:$A$43)),"-")</f>
        <v>2294</v>
      </c>
      <c r="K21" s="105">
        <f>IFERROR(INDEX(lifespans_all!K$2:K$56,MATCH($A21,lifespans_all!$A$2:$A$56,0))*INDEX(SR_mission_minutes!K$2:K$43,MATCH($A21,SR_mission_minutes!$A$2:$A$43)),"-")</f>
        <v>2294</v>
      </c>
      <c r="L21" s="105">
        <f>IFERROR(INDEX(lifespans_all!L$2:L$56,MATCH($A21,lifespans_all!$A$2:$A$56,0))*INDEX(SR_mission_minutes!L$2:L$43,MATCH($A21,SR_mission_minutes!$A$2:$A$43)),"-")</f>
        <v>2294</v>
      </c>
      <c r="M21" s="105">
        <f>IFERROR(INDEX(lifespans_all!M$2:M$56,MATCH($A21,lifespans_all!$A$2:$A$56,0))*INDEX(SR_mission_minutes!M$2:M$43,MATCH($A21,SR_mission_minutes!$A$2:$A$43)),"-")</f>
        <v>2294</v>
      </c>
      <c r="N21" s="105">
        <f>IFERROR(INDEX(lifespans_all!N$2:N$56,MATCH($A21,lifespans_all!$A$2:$A$56,0))*INDEX(SR_mission_minutes!N$2:N$43,MATCH($A21,SR_mission_minutes!$A$2:$A$43)),"-")</f>
        <v>2294</v>
      </c>
      <c r="O21" s="105">
        <f>IFERROR(INDEX(lifespans_all!O$2:O$56,MATCH($A21,lifespans_all!$A$2:$A$56,0))*INDEX(SR_mission_minutes!O$2:O$43,MATCH($A21,SR_mission_minutes!$A$2:$A$43)),"-")</f>
        <v>2294</v>
      </c>
      <c r="P21" s="105">
        <f>IFERROR(INDEX(lifespans_all!P$2:P$56,MATCH($A21,lifespans_all!$A$2:$A$56,0))*INDEX(SR_mission_minutes!P$2:P$43,MATCH($A21,SR_mission_minutes!$A$2:$A$43)),"-")</f>
        <v>2294</v>
      </c>
      <c r="Q21" s="105">
        <f>IFERROR(INDEX(lifespans_all!Q$2:Q$56,MATCH($A21,lifespans_all!$A$2:$A$56,0))*INDEX(SR_mission_minutes!Q$2:Q$43,MATCH($A21,SR_mission_minutes!$A$2:$A$43)),"-")</f>
        <v>2294</v>
      </c>
      <c r="R21" s="105">
        <f>IFERROR(INDEX(lifespans_all!R$2:R$56,MATCH($A21,lifespans_all!$A$2:$A$56,0))*INDEX(SR_mission_minutes!R$2:R$43,MATCH($A21,SR_mission_minutes!$A$2:$A$43)),"-")</f>
        <v>2294</v>
      </c>
      <c r="S21" s="105">
        <f>IFERROR(INDEX(lifespans_all!S$2:S$56,MATCH($A21,lifespans_all!$A$2:$A$56,0))*INDEX(SR_mission_minutes!S$2:S$43,MATCH($A21,SR_mission_minutes!$A$2:$A$43)),"-")</f>
        <v>2294</v>
      </c>
      <c r="T21" s="105">
        <f>IFERROR(INDEX(lifespans_all!T$2:T$56,MATCH($A21,lifespans_all!$A$2:$A$56,0))*INDEX(SR_mission_minutes!T$2:T$43,MATCH($A21,SR_mission_minutes!$A$2:$A$43)),"-")</f>
        <v>2294</v>
      </c>
      <c r="U21" s="105">
        <f>IFERROR(INDEX(lifespans_all!U$2:U$56,MATCH($A21,lifespans_all!$A$2:$A$56,0))*INDEX(SR_mission_minutes!U$2:U$43,MATCH($A21,SR_mission_minutes!$A$2:$A$43)),"-")</f>
        <v>2294</v>
      </c>
      <c r="V21" s="105">
        <f>IFERROR(INDEX(lifespans_all!V$2:V$56,MATCH($A21,lifespans_all!$A$2:$A$56,0))*INDEX(SR_mission_minutes!V$2:V$43,MATCH($A21,SR_mission_minutes!$A$2:$A$43)),"-")</f>
        <v>2294</v>
      </c>
    </row>
    <row r="22" spans="1:22" x14ac:dyDescent="0.25">
      <c r="A22" s="29" t="s">
        <v>108</v>
      </c>
      <c r="B22" s="29" t="s">
        <v>40</v>
      </c>
      <c r="C22" s="105" t="str">
        <f>IFERROR(INDEX(lifespans_all!C$2:C$56,MATCH($A22,lifespans_all!$A$2:$A$56,0))*INDEX(SR_mission_minutes!C$2:C$43,MATCH($A22,SR_mission_minutes!$A$2:$A$43)),"-")</f>
        <v>-</v>
      </c>
      <c r="D22" s="105" t="str">
        <f>IFERROR(INDEX(lifespans_all!D$2:D$56,MATCH($A22,lifespans_all!$A$2:$A$56,0))*INDEX(SR_mission_minutes!D$2:D$43,MATCH($A22,SR_mission_minutes!$A$2:$A$43)),"-")</f>
        <v>-</v>
      </c>
      <c r="E22" s="105" t="str">
        <f>IFERROR(INDEX(lifespans_all!E$2:E$56,MATCH($A22,lifespans_all!$A$2:$A$56,0))*INDEX(SR_mission_minutes!E$2:E$43,MATCH($A22,SR_mission_minutes!$A$2:$A$43)),"-")</f>
        <v>-</v>
      </c>
      <c r="F22" s="105" t="str">
        <f>IFERROR(INDEX(lifespans_all!F$2:F$56,MATCH($A22,lifespans_all!$A$2:$A$56,0))*INDEX(SR_mission_minutes!F$2:F$43,MATCH($A22,SR_mission_minutes!$A$2:$A$43)),"-")</f>
        <v>-</v>
      </c>
      <c r="G22" s="105" t="str">
        <f>IFERROR(INDEX(lifespans_all!G$2:G$56,MATCH($A22,lifespans_all!$A$2:$A$56,0))*INDEX(SR_mission_minutes!G$2:G$43,MATCH($A22,SR_mission_minutes!$A$2:$A$43)),"-")</f>
        <v>-</v>
      </c>
      <c r="H22" s="105" t="str">
        <f>IFERROR(INDEX(lifespans_all!H$2:H$56,MATCH($A22,lifespans_all!$A$2:$A$56,0))*INDEX(SR_mission_minutes!H$2:H$43,MATCH($A22,SR_mission_minutes!$A$2:$A$43)),"-")</f>
        <v>-</v>
      </c>
      <c r="I22" s="105" t="str">
        <f>IFERROR(INDEX(lifespans_all!I$2:I$56,MATCH($A22,lifespans_all!$A$2:$A$56,0))*INDEX(SR_mission_minutes!I$2:I$43,MATCH($A22,SR_mission_minutes!$A$2:$A$43)),"-")</f>
        <v>-</v>
      </c>
      <c r="J22" s="105" t="str">
        <f>IFERROR(INDEX(lifespans_all!J$2:J$56,MATCH($A22,lifespans_all!$A$2:$A$56,0))*INDEX(SR_mission_minutes!J$2:J$43,MATCH($A22,SR_mission_minutes!$A$2:$A$43)),"-")</f>
        <v>-</v>
      </c>
      <c r="K22" s="105" t="str">
        <f>IFERROR(INDEX(lifespans_all!K$2:K$56,MATCH($A22,lifespans_all!$A$2:$A$56,0))*INDEX(SR_mission_minutes!K$2:K$43,MATCH($A22,SR_mission_minutes!$A$2:$A$43)),"-")</f>
        <v>-</v>
      </c>
      <c r="L22" s="105" t="str">
        <f>IFERROR(INDEX(lifespans_all!L$2:L$56,MATCH($A22,lifespans_all!$A$2:$A$56,0))*INDEX(SR_mission_minutes!L$2:L$43,MATCH($A22,SR_mission_minutes!$A$2:$A$43)),"-")</f>
        <v>-</v>
      </c>
      <c r="M22" s="105" t="str">
        <f>IFERROR(INDEX(lifespans_all!M$2:M$56,MATCH($A22,lifespans_all!$A$2:$A$56,0))*INDEX(SR_mission_minutes!M$2:M$43,MATCH($A22,SR_mission_minutes!$A$2:$A$43)),"-")</f>
        <v>-</v>
      </c>
      <c r="N22" s="105" t="str">
        <f>IFERROR(INDEX(lifespans_all!N$2:N$56,MATCH($A22,lifespans_all!$A$2:$A$56,0))*INDEX(SR_mission_minutes!N$2:N$43,MATCH($A22,SR_mission_minutes!$A$2:$A$43)),"-")</f>
        <v>-</v>
      </c>
      <c r="O22" s="105" t="str">
        <f>IFERROR(INDEX(lifespans_all!O$2:O$56,MATCH($A22,lifespans_all!$A$2:$A$56,0))*INDEX(SR_mission_minutes!O$2:O$43,MATCH($A22,SR_mission_minutes!$A$2:$A$43)),"-")</f>
        <v>-</v>
      </c>
      <c r="P22" s="105" t="str">
        <f>IFERROR(INDEX(lifespans_all!P$2:P$56,MATCH($A22,lifespans_all!$A$2:$A$56,0))*INDEX(SR_mission_minutes!P$2:P$43,MATCH($A22,SR_mission_minutes!$A$2:$A$43)),"-")</f>
        <v>-</v>
      </c>
      <c r="Q22" s="105" t="str">
        <f>IFERROR(INDEX(lifespans_all!Q$2:Q$56,MATCH($A22,lifespans_all!$A$2:$A$56,0))*INDEX(SR_mission_minutes!Q$2:Q$43,MATCH($A22,SR_mission_minutes!$A$2:$A$43)),"-")</f>
        <v>-</v>
      </c>
      <c r="R22" s="105" t="str">
        <f>IFERROR(INDEX(lifespans_all!R$2:R$56,MATCH($A22,lifespans_all!$A$2:$A$56,0))*INDEX(SR_mission_minutes!R$2:R$43,MATCH($A22,SR_mission_minutes!$A$2:$A$43)),"-")</f>
        <v>-</v>
      </c>
      <c r="S22" s="105" t="str">
        <f>IFERROR(INDEX(lifespans_all!S$2:S$56,MATCH($A22,lifespans_all!$A$2:$A$56,0))*INDEX(SR_mission_minutes!S$2:S$43,MATCH($A22,SR_mission_minutes!$A$2:$A$43)),"-")</f>
        <v>-</v>
      </c>
      <c r="T22" s="105" t="str">
        <f>IFERROR(INDEX(lifespans_all!T$2:T$56,MATCH($A22,lifespans_all!$A$2:$A$56,0))*INDEX(SR_mission_minutes!T$2:T$43,MATCH($A22,SR_mission_minutes!$A$2:$A$43)),"-")</f>
        <v>-</v>
      </c>
      <c r="U22" s="105" t="str">
        <f>IFERROR(INDEX(lifespans_all!U$2:U$56,MATCH($A22,lifespans_all!$A$2:$A$56,0))*INDEX(SR_mission_minutes!U$2:U$43,MATCH($A22,SR_mission_minutes!$A$2:$A$43)),"-")</f>
        <v>-</v>
      </c>
      <c r="V22" s="105" t="str">
        <f>IFERROR(INDEX(lifespans_all!V$2:V$56,MATCH($A22,lifespans_all!$A$2:$A$56,0))*INDEX(SR_mission_minutes!V$2:V$43,MATCH($A22,SR_mission_minutes!$A$2:$A$43)),"-")</f>
        <v>-</v>
      </c>
    </row>
    <row r="23" spans="1:22" x14ac:dyDescent="0.25">
      <c r="A23" s="29" t="s">
        <v>109</v>
      </c>
      <c r="B23" s="29" t="s">
        <v>40</v>
      </c>
      <c r="C23" s="105" t="str">
        <f>IFERROR(INDEX(lifespans_all!C$2:C$56,MATCH($A23,lifespans_all!$A$2:$A$56,0))*INDEX(SR_mission_minutes!C$2:C$43,MATCH($A23,SR_mission_minutes!$A$2:$A$43)),"-")</f>
        <v>-</v>
      </c>
      <c r="D23" s="105" t="str">
        <f>IFERROR(INDEX(lifespans_all!D$2:D$56,MATCH($A23,lifespans_all!$A$2:$A$56,0))*INDEX(SR_mission_minutes!D$2:D$43,MATCH($A23,SR_mission_minutes!$A$2:$A$43)),"-")</f>
        <v>-</v>
      </c>
      <c r="E23" s="105" t="str">
        <f>IFERROR(INDEX(lifespans_all!E$2:E$56,MATCH($A23,lifespans_all!$A$2:$A$56,0))*INDEX(SR_mission_minutes!E$2:E$43,MATCH($A23,SR_mission_minutes!$A$2:$A$43)),"-")</f>
        <v>-</v>
      </c>
      <c r="F23" s="105" t="str">
        <f>IFERROR(INDEX(lifespans_all!F$2:F$56,MATCH($A23,lifespans_all!$A$2:$A$56,0))*INDEX(SR_mission_minutes!F$2:F$43,MATCH($A23,SR_mission_minutes!$A$2:$A$43)),"-")</f>
        <v>-</v>
      </c>
      <c r="G23" s="105" t="str">
        <f>IFERROR(INDEX(lifespans_all!G$2:G$56,MATCH($A23,lifespans_all!$A$2:$A$56,0))*INDEX(SR_mission_minutes!G$2:G$43,MATCH($A23,SR_mission_minutes!$A$2:$A$43)),"-")</f>
        <v>-</v>
      </c>
      <c r="H23" s="105" t="str">
        <f>IFERROR(INDEX(lifespans_all!H$2:H$56,MATCH($A23,lifespans_all!$A$2:$A$56,0))*INDEX(SR_mission_minutes!H$2:H$43,MATCH($A23,SR_mission_minutes!$A$2:$A$43)),"-")</f>
        <v>-</v>
      </c>
      <c r="I23" s="105" t="str">
        <f>IFERROR(INDEX(lifespans_all!I$2:I$56,MATCH($A23,lifespans_all!$A$2:$A$56,0))*INDEX(SR_mission_minutes!I$2:I$43,MATCH($A23,SR_mission_minutes!$A$2:$A$43)),"-")</f>
        <v>-</v>
      </c>
      <c r="J23" s="105" t="str">
        <f>IFERROR(INDEX(lifespans_all!J$2:J$56,MATCH($A23,lifespans_all!$A$2:$A$56,0))*INDEX(SR_mission_minutes!J$2:J$43,MATCH($A23,SR_mission_minutes!$A$2:$A$43)),"-")</f>
        <v>-</v>
      </c>
      <c r="K23" s="105" t="str">
        <f>IFERROR(INDEX(lifespans_all!K$2:K$56,MATCH($A23,lifespans_all!$A$2:$A$56,0))*INDEX(SR_mission_minutes!K$2:K$43,MATCH($A23,SR_mission_minutes!$A$2:$A$43)),"-")</f>
        <v>-</v>
      </c>
      <c r="L23" s="105" t="str">
        <f>IFERROR(INDEX(lifespans_all!L$2:L$56,MATCH($A23,lifespans_all!$A$2:$A$56,0))*INDEX(SR_mission_minutes!L$2:L$43,MATCH($A23,SR_mission_minutes!$A$2:$A$43)),"-")</f>
        <v>-</v>
      </c>
      <c r="M23" s="105" t="str">
        <f>IFERROR(INDEX(lifespans_all!M$2:M$56,MATCH($A23,lifespans_all!$A$2:$A$56,0))*INDEX(SR_mission_minutes!M$2:M$43,MATCH($A23,SR_mission_minutes!$A$2:$A$43)),"-")</f>
        <v>-</v>
      </c>
      <c r="N23" s="105" t="str">
        <f>IFERROR(INDEX(lifespans_all!N$2:N$56,MATCH($A23,lifespans_all!$A$2:$A$56,0))*INDEX(SR_mission_minutes!N$2:N$43,MATCH($A23,SR_mission_minutes!$A$2:$A$43)),"-")</f>
        <v>-</v>
      </c>
      <c r="O23" s="105" t="str">
        <f>IFERROR(INDEX(lifespans_all!O$2:O$56,MATCH($A23,lifespans_all!$A$2:$A$56,0))*INDEX(SR_mission_minutes!O$2:O$43,MATCH($A23,SR_mission_minutes!$A$2:$A$43)),"-")</f>
        <v>-</v>
      </c>
      <c r="P23" s="105" t="str">
        <f>IFERROR(INDEX(lifespans_all!P$2:P$56,MATCH($A23,lifespans_all!$A$2:$A$56,0))*INDEX(SR_mission_minutes!P$2:P$43,MATCH($A23,SR_mission_minutes!$A$2:$A$43)),"-")</f>
        <v>-</v>
      </c>
      <c r="Q23" s="105" t="str">
        <f>IFERROR(INDEX(lifespans_all!Q$2:Q$56,MATCH($A23,lifespans_all!$A$2:$A$56,0))*INDEX(SR_mission_minutes!Q$2:Q$43,MATCH($A23,SR_mission_minutes!$A$2:$A$43)),"-")</f>
        <v>-</v>
      </c>
      <c r="R23" s="105" t="str">
        <f>IFERROR(INDEX(lifespans_all!R$2:R$56,MATCH($A23,lifespans_all!$A$2:$A$56,0))*INDEX(SR_mission_minutes!R$2:R$43,MATCH($A23,SR_mission_minutes!$A$2:$A$43)),"-")</f>
        <v>-</v>
      </c>
      <c r="S23" s="105" t="str">
        <f>IFERROR(INDEX(lifespans_all!S$2:S$56,MATCH($A23,lifespans_all!$A$2:$A$56,0))*INDEX(SR_mission_minutes!S$2:S$43,MATCH($A23,SR_mission_minutes!$A$2:$A$43)),"-")</f>
        <v>-</v>
      </c>
      <c r="T23" s="105" t="str">
        <f>IFERROR(INDEX(lifespans_all!T$2:T$56,MATCH($A23,lifespans_all!$A$2:$A$56,0))*INDEX(SR_mission_minutes!T$2:T$43,MATCH($A23,SR_mission_minutes!$A$2:$A$43)),"-")</f>
        <v>-</v>
      </c>
      <c r="U23" s="105" t="str">
        <f>IFERROR(INDEX(lifespans_all!U$2:U$56,MATCH($A23,lifespans_all!$A$2:$A$56,0))*INDEX(SR_mission_minutes!U$2:U$43,MATCH($A23,SR_mission_minutes!$A$2:$A$43)),"-")</f>
        <v>-</v>
      </c>
      <c r="V23" s="105" t="str">
        <f>IFERROR(INDEX(lifespans_all!V$2:V$56,MATCH($A23,lifespans_all!$A$2:$A$56,0))*INDEX(SR_mission_minutes!V$2:V$43,MATCH($A23,SR_mission_minutes!$A$2:$A$43)),"-")</f>
        <v>-</v>
      </c>
    </row>
    <row r="24" spans="1:22" x14ac:dyDescent="0.25">
      <c r="A24" s="29" t="s">
        <v>110</v>
      </c>
      <c r="B24" s="29" t="s">
        <v>40</v>
      </c>
      <c r="C24" s="105" t="str">
        <f>IFERROR(INDEX(lifespans_all!C$2:C$56,MATCH($A24,lifespans_all!$A$2:$A$56,0))*INDEX(SR_mission_minutes!C$2:C$43,MATCH($A24,SR_mission_minutes!$A$2:$A$43)),"-")</f>
        <v>-</v>
      </c>
      <c r="D24" s="105" t="str">
        <f>IFERROR(INDEX(lifespans_all!D$2:D$56,MATCH($A24,lifespans_all!$A$2:$A$56,0))*INDEX(SR_mission_minutes!D$2:D$43,MATCH($A24,SR_mission_minutes!$A$2:$A$43)),"-")</f>
        <v>-</v>
      </c>
      <c r="E24" s="105" t="str">
        <f>IFERROR(INDEX(lifespans_all!E$2:E$56,MATCH($A24,lifespans_all!$A$2:$A$56,0))*INDEX(SR_mission_minutes!E$2:E$43,MATCH($A24,SR_mission_minutes!$A$2:$A$43)),"-")</f>
        <v>-</v>
      </c>
      <c r="F24" s="105" t="str">
        <f>IFERROR(INDEX(lifespans_all!F$2:F$56,MATCH($A24,lifespans_all!$A$2:$A$56,0))*INDEX(SR_mission_minutes!F$2:F$43,MATCH($A24,SR_mission_minutes!$A$2:$A$43)),"-")</f>
        <v>-</v>
      </c>
      <c r="G24" s="105" t="str">
        <f>IFERROR(INDEX(lifespans_all!G$2:G$56,MATCH($A24,lifespans_all!$A$2:$A$56,0))*INDEX(SR_mission_minutes!G$2:G$43,MATCH($A24,SR_mission_minutes!$A$2:$A$43)),"-")</f>
        <v>-</v>
      </c>
      <c r="H24" s="105" t="str">
        <f>IFERROR(INDEX(lifespans_all!H$2:H$56,MATCH($A24,lifespans_all!$A$2:$A$56,0))*INDEX(SR_mission_minutes!H$2:H$43,MATCH($A24,SR_mission_minutes!$A$2:$A$43)),"-")</f>
        <v>-</v>
      </c>
      <c r="I24" s="105" t="str">
        <f>IFERROR(INDEX(lifespans_all!I$2:I$56,MATCH($A24,lifespans_all!$A$2:$A$56,0))*INDEX(SR_mission_minutes!I$2:I$43,MATCH($A24,SR_mission_minutes!$A$2:$A$43)),"-")</f>
        <v>-</v>
      </c>
      <c r="J24" s="105" t="str">
        <f>IFERROR(INDEX(lifespans_all!J$2:J$56,MATCH($A24,lifespans_all!$A$2:$A$56,0))*INDEX(SR_mission_minutes!J$2:J$43,MATCH($A24,SR_mission_minutes!$A$2:$A$43)),"-")</f>
        <v>-</v>
      </c>
      <c r="K24" s="105" t="str">
        <f>IFERROR(INDEX(lifespans_all!K$2:K$56,MATCH($A24,lifespans_all!$A$2:$A$56,0))*INDEX(SR_mission_minutes!K$2:K$43,MATCH($A24,SR_mission_minutes!$A$2:$A$43)),"-")</f>
        <v>-</v>
      </c>
      <c r="L24" s="105" t="str">
        <f>IFERROR(INDEX(lifespans_all!L$2:L$56,MATCH($A24,lifespans_all!$A$2:$A$56,0))*INDEX(SR_mission_minutes!L$2:L$43,MATCH($A24,SR_mission_minutes!$A$2:$A$43)),"-")</f>
        <v>-</v>
      </c>
      <c r="M24" s="105" t="str">
        <f>IFERROR(INDEX(lifespans_all!M$2:M$56,MATCH($A24,lifespans_all!$A$2:$A$56,0))*INDEX(SR_mission_minutes!M$2:M$43,MATCH($A24,SR_mission_minutes!$A$2:$A$43)),"-")</f>
        <v>-</v>
      </c>
      <c r="N24" s="105" t="str">
        <f>IFERROR(INDEX(lifespans_all!N$2:N$56,MATCH($A24,lifespans_all!$A$2:$A$56,0))*INDEX(SR_mission_minutes!N$2:N$43,MATCH($A24,SR_mission_minutes!$A$2:$A$43)),"-")</f>
        <v>-</v>
      </c>
      <c r="O24" s="105" t="str">
        <f>IFERROR(INDEX(lifespans_all!O$2:O$56,MATCH($A24,lifespans_all!$A$2:$A$56,0))*INDEX(SR_mission_minutes!O$2:O$43,MATCH($A24,SR_mission_minutes!$A$2:$A$43)),"-")</f>
        <v>-</v>
      </c>
      <c r="P24" s="105" t="str">
        <f>IFERROR(INDEX(lifespans_all!P$2:P$56,MATCH($A24,lifespans_all!$A$2:$A$56,0))*INDEX(SR_mission_minutes!P$2:P$43,MATCH($A24,SR_mission_minutes!$A$2:$A$43)),"-")</f>
        <v>-</v>
      </c>
      <c r="Q24" s="105" t="str">
        <f>IFERROR(INDEX(lifespans_all!Q$2:Q$56,MATCH($A24,lifespans_all!$A$2:$A$56,0))*INDEX(SR_mission_minutes!Q$2:Q$43,MATCH($A24,SR_mission_minutes!$A$2:$A$43)),"-")</f>
        <v>-</v>
      </c>
      <c r="R24" s="105" t="str">
        <f>IFERROR(INDEX(lifespans_all!R$2:R$56,MATCH($A24,lifespans_all!$A$2:$A$56,0))*INDEX(SR_mission_minutes!R$2:R$43,MATCH($A24,SR_mission_minutes!$A$2:$A$43)),"-")</f>
        <v>-</v>
      </c>
      <c r="S24" s="105" t="str">
        <f>IFERROR(INDEX(lifespans_all!S$2:S$56,MATCH($A24,lifespans_all!$A$2:$A$56,0))*INDEX(SR_mission_minutes!S$2:S$43,MATCH($A24,SR_mission_minutes!$A$2:$A$43)),"-")</f>
        <v>-</v>
      </c>
      <c r="T24" s="105" t="str">
        <f>IFERROR(INDEX(lifespans_all!T$2:T$56,MATCH($A24,lifespans_all!$A$2:$A$56,0))*INDEX(SR_mission_minutes!T$2:T$43,MATCH($A24,SR_mission_minutes!$A$2:$A$43)),"-")</f>
        <v>-</v>
      </c>
      <c r="U24" s="105" t="str">
        <f>IFERROR(INDEX(lifespans_all!U$2:U$56,MATCH($A24,lifespans_all!$A$2:$A$56,0))*INDEX(SR_mission_minutes!U$2:U$43,MATCH($A24,SR_mission_minutes!$A$2:$A$43)),"-")</f>
        <v>-</v>
      </c>
      <c r="V24" s="105" t="str">
        <f>IFERROR(INDEX(lifespans_all!V$2:V$56,MATCH($A24,lifespans_all!$A$2:$A$56,0))*INDEX(SR_mission_minutes!V$2:V$43,MATCH($A24,SR_mission_minutes!$A$2:$A$43)),"-")</f>
        <v>-</v>
      </c>
    </row>
    <row r="25" spans="1:22" x14ac:dyDescent="0.25">
      <c r="A25" s="29" t="s">
        <v>111</v>
      </c>
      <c r="B25" s="29" t="s">
        <v>40</v>
      </c>
      <c r="C25" s="105" t="str">
        <f>IFERROR(INDEX(lifespans_all!C$2:C$56,MATCH($A25,lifespans_all!$A$2:$A$56,0))*INDEX(SR_mission_minutes!C$2:C$43,MATCH($A25,SR_mission_minutes!$A$2:$A$43)),"-")</f>
        <v>-</v>
      </c>
      <c r="D25" s="105" t="str">
        <f>IFERROR(INDEX(lifespans_all!D$2:D$56,MATCH($A25,lifespans_all!$A$2:$A$56,0))*INDEX(SR_mission_minutes!D$2:D$43,MATCH($A25,SR_mission_minutes!$A$2:$A$43)),"-")</f>
        <v>-</v>
      </c>
      <c r="E25" s="105" t="str">
        <f>IFERROR(INDEX(lifespans_all!E$2:E$56,MATCH($A25,lifespans_all!$A$2:$A$56,0))*INDEX(SR_mission_minutes!E$2:E$43,MATCH($A25,SR_mission_minutes!$A$2:$A$43)),"-")</f>
        <v>-</v>
      </c>
      <c r="F25" s="105" t="str">
        <f>IFERROR(INDEX(lifespans_all!F$2:F$56,MATCH($A25,lifespans_all!$A$2:$A$56,0))*INDEX(SR_mission_minutes!F$2:F$43,MATCH($A25,SR_mission_minutes!$A$2:$A$43)),"-")</f>
        <v>-</v>
      </c>
      <c r="G25" s="105" t="str">
        <f>IFERROR(INDEX(lifespans_all!G$2:G$56,MATCH($A25,lifespans_all!$A$2:$A$56,0))*INDEX(SR_mission_minutes!G$2:G$43,MATCH($A25,SR_mission_minutes!$A$2:$A$43)),"-")</f>
        <v>-</v>
      </c>
      <c r="H25" s="105" t="str">
        <f>IFERROR(INDEX(lifespans_all!H$2:H$56,MATCH($A25,lifespans_all!$A$2:$A$56,0))*INDEX(SR_mission_minutes!H$2:H$43,MATCH($A25,SR_mission_minutes!$A$2:$A$43)),"-")</f>
        <v>-</v>
      </c>
      <c r="I25" s="105" t="str">
        <f>IFERROR(INDEX(lifespans_all!I$2:I$56,MATCH($A25,lifespans_all!$A$2:$A$56,0))*INDEX(SR_mission_minutes!I$2:I$43,MATCH($A25,SR_mission_minutes!$A$2:$A$43)),"-")</f>
        <v>-</v>
      </c>
      <c r="J25" s="105" t="str">
        <f>IFERROR(INDEX(lifespans_all!J$2:J$56,MATCH($A25,lifespans_all!$A$2:$A$56,0))*INDEX(SR_mission_minutes!J$2:J$43,MATCH($A25,SR_mission_minutes!$A$2:$A$43)),"-")</f>
        <v>-</v>
      </c>
      <c r="K25" s="105" t="str">
        <f>IFERROR(INDEX(lifespans_all!K$2:K$56,MATCH($A25,lifespans_all!$A$2:$A$56,0))*INDEX(SR_mission_minutes!K$2:K$43,MATCH($A25,SR_mission_minutes!$A$2:$A$43)),"-")</f>
        <v>-</v>
      </c>
      <c r="L25" s="105" t="str">
        <f>IFERROR(INDEX(lifespans_all!L$2:L$56,MATCH($A25,lifespans_all!$A$2:$A$56,0))*INDEX(SR_mission_minutes!L$2:L$43,MATCH($A25,SR_mission_minutes!$A$2:$A$43)),"-")</f>
        <v>-</v>
      </c>
      <c r="M25" s="105" t="str">
        <f>IFERROR(INDEX(lifespans_all!M$2:M$56,MATCH($A25,lifespans_all!$A$2:$A$56,0))*INDEX(SR_mission_minutes!M$2:M$43,MATCH($A25,SR_mission_minutes!$A$2:$A$43)),"-")</f>
        <v>-</v>
      </c>
      <c r="N25" s="105" t="str">
        <f>IFERROR(INDEX(lifespans_all!N$2:N$56,MATCH($A25,lifespans_all!$A$2:$A$56,0))*INDEX(SR_mission_minutes!N$2:N$43,MATCH($A25,SR_mission_minutes!$A$2:$A$43)),"-")</f>
        <v>-</v>
      </c>
      <c r="O25" s="105" t="str">
        <f>IFERROR(INDEX(lifespans_all!O$2:O$56,MATCH($A25,lifespans_all!$A$2:$A$56,0))*INDEX(SR_mission_minutes!O$2:O$43,MATCH($A25,SR_mission_minutes!$A$2:$A$43)),"-")</f>
        <v>-</v>
      </c>
      <c r="P25" s="105" t="str">
        <f>IFERROR(INDEX(lifespans_all!P$2:P$56,MATCH($A25,lifespans_all!$A$2:$A$56,0))*INDEX(SR_mission_minutes!P$2:P$43,MATCH($A25,SR_mission_minutes!$A$2:$A$43)),"-")</f>
        <v>-</v>
      </c>
      <c r="Q25" s="105" t="str">
        <f>IFERROR(INDEX(lifespans_all!Q$2:Q$56,MATCH($A25,lifespans_all!$A$2:$A$56,0))*INDEX(SR_mission_minutes!Q$2:Q$43,MATCH($A25,SR_mission_minutes!$A$2:$A$43)),"-")</f>
        <v>-</v>
      </c>
      <c r="R25" s="105" t="str">
        <f>IFERROR(INDEX(lifespans_all!R$2:R$56,MATCH($A25,lifespans_all!$A$2:$A$56,0))*INDEX(SR_mission_minutes!R$2:R$43,MATCH($A25,SR_mission_minutes!$A$2:$A$43)),"-")</f>
        <v>-</v>
      </c>
      <c r="S25" s="105" t="str">
        <f>IFERROR(INDEX(lifespans_all!S$2:S$56,MATCH($A25,lifespans_all!$A$2:$A$56,0))*INDEX(SR_mission_minutes!S$2:S$43,MATCH($A25,SR_mission_minutes!$A$2:$A$43)),"-")</f>
        <v>-</v>
      </c>
      <c r="T25" s="105" t="str">
        <f>IFERROR(INDEX(lifespans_all!T$2:T$56,MATCH($A25,lifespans_all!$A$2:$A$56,0))*INDEX(SR_mission_minutes!T$2:T$43,MATCH($A25,SR_mission_minutes!$A$2:$A$43)),"-")</f>
        <v>-</v>
      </c>
      <c r="U25" s="105" t="str">
        <f>IFERROR(INDEX(lifespans_all!U$2:U$56,MATCH($A25,lifespans_all!$A$2:$A$56,0))*INDEX(SR_mission_minutes!U$2:U$43,MATCH($A25,SR_mission_minutes!$A$2:$A$43)),"-")</f>
        <v>-</v>
      </c>
      <c r="V25" s="105" t="str">
        <f>IFERROR(INDEX(lifespans_all!V$2:V$56,MATCH($A25,lifespans_all!$A$2:$A$56,0))*INDEX(SR_mission_minutes!V$2:V$43,MATCH($A25,SR_mission_minutes!$A$2:$A$43)),"-")</f>
        <v>-</v>
      </c>
    </row>
    <row r="26" spans="1:22" x14ac:dyDescent="0.25">
      <c r="A26" s="29" t="s">
        <v>27</v>
      </c>
      <c r="B26" s="29" t="s">
        <v>45</v>
      </c>
      <c r="C26" s="105">
        <f>IFERROR(INDEX(lifespans_all!C$2:C$56,MATCH($A26,lifespans_all!$A$2:$A$56,0))*INDEX(SR_mission_minutes!C$2:C$43,MATCH($A26,SR_mission_minutes!$A$2:$A$43)),"-")</f>
        <v>33739.333333333336</v>
      </c>
      <c r="D26" s="105">
        <f>IFERROR(INDEX(lifespans_all!D$2:D$56,MATCH($A26,lifespans_all!$A$2:$A$56,0))*INDEX(SR_mission_minutes!D$2:D$43,MATCH($A26,SR_mission_minutes!$A$2:$A$43)),"-")</f>
        <v>0</v>
      </c>
      <c r="E26" s="105">
        <f>IFERROR(INDEX(lifespans_all!E$2:E$56,MATCH($A26,lifespans_all!$A$2:$A$56,0))*INDEX(SR_mission_minutes!E$2:E$43,MATCH($A26,SR_mission_minutes!$A$2:$A$43)),"-")</f>
        <v>0</v>
      </c>
      <c r="F26" s="105">
        <f>IFERROR(INDEX(lifespans_all!F$2:F$56,MATCH($A26,lifespans_all!$A$2:$A$56,0))*INDEX(SR_mission_minutes!F$2:F$43,MATCH($A26,SR_mission_minutes!$A$2:$A$43)),"-")</f>
        <v>0</v>
      </c>
      <c r="G26" s="105">
        <f>IFERROR(INDEX(lifespans_all!G$2:G$56,MATCH($A26,lifespans_all!$A$2:$A$56,0))*INDEX(SR_mission_minutes!G$2:G$43,MATCH($A26,SR_mission_minutes!$A$2:$A$43)),"-")</f>
        <v>0</v>
      </c>
      <c r="H26" s="105">
        <f>IFERROR(INDEX(lifespans_all!H$2:H$56,MATCH($A26,lifespans_all!$A$2:$A$56,0))*INDEX(SR_mission_minutes!H$2:H$43,MATCH($A26,SR_mission_minutes!$A$2:$A$43)),"-")</f>
        <v>0</v>
      </c>
      <c r="I26" s="105">
        <f>IFERROR(INDEX(lifespans_all!I$2:I$56,MATCH($A26,lifespans_all!$A$2:$A$56,0))*INDEX(SR_mission_minutes!I$2:I$43,MATCH($A26,SR_mission_minutes!$A$2:$A$43)),"-")</f>
        <v>0</v>
      </c>
      <c r="J26" s="105">
        <f>IFERROR(INDEX(lifespans_all!J$2:J$56,MATCH($A26,lifespans_all!$A$2:$A$56,0))*INDEX(SR_mission_minutes!J$2:J$43,MATCH($A26,SR_mission_minutes!$A$2:$A$43)),"-")</f>
        <v>0</v>
      </c>
      <c r="K26" s="105">
        <f>IFERROR(INDEX(lifespans_all!K$2:K$56,MATCH($A26,lifespans_all!$A$2:$A$56,0))*INDEX(SR_mission_minutes!K$2:K$43,MATCH($A26,SR_mission_minutes!$A$2:$A$43)),"-")</f>
        <v>0</v>
      </c>
      <c r="L26" s="105">
        <f>IFERROR(INDEX(lifespans_all!L$2:L$56,MATCH($A26,lifespans_all!$A$2:$A$56,0))*INDEX(SR_mission_minutes!L$2:L$43,MATCH($A26,SR_mission_minutes!$A$2:$A$43)),"-")</f>
        <v>0</v>
      </c>
      <c r="M26" s="105">
        <f>IFERROR(INDEX(lifespans_all!M$2:M$56,MATCH($A26,lifespans_all!$A$2:$A$56,0))*INDEX(SR_mission_minutes!M$2:M$43,MATCH($A26,SR_mission_minutes!$A$2:$A$43)),"-")</f>
        <v>0</v>
      </c>
      <c r="N26" s="105">
        <f>IFERROR(INDEX(lifespans_all!N$2:N$56,MATCH($A26,lifespans_all!$A$2:$A$56,0))*INDEX(SR_mission_minutes!N$2:N$43,MATCH($A26,SR_mission_minutes!$A$2:$A$43)),"-")</f>
        <v>0</v>
      </c>
      <c r="O26" s="105">
        <f>IFERROR(INDEX(lifespans_all!O$2:O$56,MATCH($A26,lifespans_all!$A$2:$A$56,0))*INDEX(SR_mission_minutes!O$2:O$43,MATCH($A26,SR_mission_minutes!$A$2:$A$43)),"-")</f>
        <v>0</v>
      </c>
      <c r="P26" s="105">
        <f>IFERROR(INDEX(lifespans_all!P$2:P$56,MATCH($A26,lifespans_all!$A$2:$A$56,0))*INDEX(SR_mission_minutes!P$2:P$43,MATCH($A26,SR_mission_minutes!$A$2:$A$43)),"-")</f>
        <v>0</v>
      </c>
      <c r="Q26" s="105">
        <f>IFERROR(INDEX(lifespans_all!Q$2:Q$56,MATCH($A26,lifespans_all!$A$2:$A$56,0))*INDEX(SR_mission_minutes!Q$2:Q$43,MATCH($A26,SR_mission_minutes!$A$2:$A$43)),"-")</f>
        <v>0</v>
      </c>
      <c r="R26" s="105">
        <f>IFERROR(INDEX(lifespans_all!R$2:R$56,MATCH($A26,lifespans_all!$A$2:$A$56,0))*INDEX(SR_mission_minutes!R$2:R$43,MATCH($A26,SR_mission_minutes!$A$2:$A$43)),"-")</f>
        <v>0</v>
      </c>
      <c r="S26" s="105">
        <f>IFERROR(INDEX(lifespans_all!S$2:S$56,MATCH($A26,lifespans_all!$A$2:$A$56,0))*INDEX(SR_mission_minutes!S$2:S$43,MATCH($A26,SR_mission_minutes!$A$2:$A$43)),"-")</f>
        <v>0</v>
      </c>
      <c r="T26" s="105">
        <f>IFERROR(INDEX(lifespans_all!T$2:T$56,MATCH($A26,lifespans_all!$A$2:$A$56,0))*INDEX(SR_mission_minutes!T$2:T$43,MATCH($A26,SR_mission_minutes!$A$2:$A$43)),"-")</f>
        <v>0</v>
      </c>
      <c r="U26" s="105">
        <f>IFERROR(INDEX(lifespans_all!U$2:U$56,MATCH($A26,lifespans_all!$A$2:$A$56,0))*INDEX(SR_mission_minutes!U$2:U$43,MATCH($A26,SR_mission_minutes!$A$2:$A$43)),"-")</f>
        <v>0</v>
      </c>
      <c r="V26" s="105">
        <f>IFERROR(INDEX(lifespans_all!V$2:V$56,MATCH($A26,lifespans_all!$A$2:$A$56,0))*INDEX(SR_mission_minutes!V$2:V$43,MATCH($A26,SR_mission_minutes!$A$2:$A$43)),"-")</f>
        <v>0</v>
      </c>
    </row>
    <row r="27" spans="1:22" x14ac:dyDescent="0.25">
      <c r="A27" s="29" t="s">
        <v>28</v>
      </c>
      <c r="B27" s="29" t="s">
        <v>41</v>
      </c>
      <c r="C27" s="105">
        <f>IFERROR(INDEX(lifespans_all!C$2:C$56,MATCH($A27,lifespans_all!$A$2:$A$56,0))*INDEX(SR_mission_minutes!C$2:C$43,MATCH($A27,SR_mission_minutes!$A$2:$A$43)),"-")</f>
        <v>66700.388888888891</v>
      </c>
      <c r="D27" s="105">
        <f>IFERROR(INDEX(lifespans_all!D$2:D$56,MATCH($A27,lifespans_all!$A$2:$A$56,0))*INDEX(SR_mission_minutes!D$2:D$43,MATCH($A27,SR_mission_minutes!$A$2:$A$43)),"-")</f>
        <v>0</v>
      </c>
      <c r="E27" s="105">
        <f>IFERROR(INDEX(lifespans_all!E$2:E$56,MATCH($A27,lifespans_all!$A$2:$A$56,0))*INDEX(SR_mission_minutes!E$2:E$43,MATCH($A27,SR_mission_minutes!$A$2:$A$43)),"-")</f>
        <v>0</v>
      </c>
      <c r="F27" s="105">
        <f>IFERROR(INDEX(lifespans_all!F$2:F$56,MATCH($A27,lifespans_all!$A$2:$A$56,0))*INDEX(SR_mission_minutes!F$2:F$43,MATCH($A27,SR_mission_minutes!$A$2:$A$43)),"-")</f>
        <v>0</v>
      </c>
      <c r="G27" s="105">
        <f>IFERROR(INDEX(lifespans_all!G$2:G$56,MATCH($A27,lifespans_all!$A$2:$A$56,0))*INDEX(SR_mission_minutes!G$2:G$43,MATCH($A27,SR_mission_minutes!$A$2:$A$43)),"-")</f>
        <v>0</v>
      </c>
      <c r="H27" s="105">
        <f>IFERROR(INDEX(lifespans_all!H$2:H$56,MATCH($A27,lifespans_all!$A$2:$A$56,0))*INDEX(SR_mission_minutes!H$2:H$43,MATCH($A27,SR_mission_minutes!$A$2:$A$43)),"-")</f>
        <v>0</v>
      </c>
      <c r="I27" s="105">
        <f>IFERROR(INDEX(lifespans_all!I$2:I$56,MATCH($A27,lifespans_all!$A$2:$A$56,0))*INDEX(SR_mission_minutes!I$2:I$43,MATCH($A27,SR_mission_minutes!$A$2:$A$43)),"-")</f>
        <v>0</v>
      </c>
      <c r="J27" s="105">
        <f>IFERROR(INDEX(lifespans_all!J$2:J$56,MATCH($A27,lifespans_all!$A$2:$A$56,0))*INDEX(SR_mission_minutes!J$2:J$43,MATCH($A27,SR_mission_minutes!$A$2:$A$43)),"-")</f>
        <v>0</v>
      </c>
      <c r="K27" s="105">
        <f>IFERROR(INDEX(lifespans_all!K$2:K$56,MATCH($A27,lifespans_all!$A$2:$A$56,0))*INDEX(SR_mission_minutes!K$2:K$43,MATCH($A27,SR_mission_minutes!$A$2:$A$43)),"-")</f>
        <v>0</v>
      </c>
      <c r="L27" s="105">
        <f>IFERROR(INDEX(lifespans_all!L$2:L$56,MATCH($A27,lifespans_all!$A$2:$A$56,0))*INDEX(SR_mission_minutes!L$2:L$43,MATCH($A27,SR_mission_minutes!$A$2:$A$43)),"-")</f>
        <v>0</v>
      </c>
      <c r="M27" s="105">
        <f>IFERROR(INDEX(lifespans_all!M$2:M$56,MATCH($A27,lifespans_all!$A$2:$A$56,0))*INDEX(SR_mission_minutes!M$2:M$43,MATCH($A27,SR_mission_minutes!$A$2:$A$43)),"-")</f>
        <v>0</v>
      </c>
      <c r="N27" s="105">
        <f>IFERROR(INDEX(lifespans_all!N$2:N$56,MATCH($A27,lifespans_all!$A$2:$A$56,0))*INDEX(SR_mission_minutes!N$2:N$43,MATCH($A27,SR_mission_minutes!$A$2:$A$43)),"-")</f>
        <v>0</v>
      </c>
      <c r="O27" s="105">
        <f>IFERROR(INDEX(lifespans_all!O$2:O$56,MATCH($A27,lifespans_all!$A$2:$A$56,0))*INDEX(SR_mission_minutes!O$2:O$43,MATCH($A27,SR_mission_minutes!$A$2:$A$43)),"-")</f>
        <v>0</v>
      </c>
      <c r="P27" s="105">
        <f>IFERROR(INDEX(lifespans_all!P$2:P$56,MATCH($A27,lifespans_all!$A$2:$A$56,0))*INDEX(SR_mission_minutes!P$2:P$43,MATCH($A27,SR_mission_minutes!$A$2:$A$43)),"-")</f>
        <v>0</v>
      </c>
      <c r="Q27" s="105">
        <f>IFERROR(INDEX(lifespans_all!Q$2:Q$56,MATCH($A27,lifespans_all!$A$2:$A$56,0))*INDEX(SR_mission_minutes!Q$2:Q$43,MATCH($A27,SR_mission_minutes!$A$2:$A$43)),"-")</f>
        <v>0</v>
      </c>
      <c r="R27" s="105">
        <f>IFERROR(INDEX(lifespans_all!R$2:R$56,MATCH($A27,lifespans_all!$A$2:$A$56,0))*INDEX(SR_mission_minutes!R$2:R$43,MATCH($A27,SR_mission_minutes!$A$2:$A$43)),"-")</f>
        <v>0</v>
      </c>
      <c r="S27" s="105">
        <f>IFERROR(INDEX(lifespans_all!S$2:S$56,MATCH($A27,lifespans_all!$A$2:$A$56,0))*INDEX(SR_mission_minutes!S$2:S$43,MATCH($A27,SR_mission_minutes!$A$2:$A$43)),"-")</f>
        <v>0</v>
      </c>
      <c r="T27" s="105">
        <f>IFERROR(INDEX(lifespans_all!T$2:T$56,MATCH($A27,lifespans_all!$A$2:$A$56,0))*INDEX(SR_mission_minutes!T$2:T$43,MATCH($A27,SR_mission_minutes!$A$2:$A$43)),"-")</f>
        <v>0</v>
      </c>
      <c r="U27" s="105">
        <f>IFERROR(INDEX(lifespans_all!U$2:U$56,MATCH($A27,lifespans_all!$A$2:$A$56,0))*INDEX(SR_mission_minutes!U$2:U$43,MATCH($A27,SR_mission_minutes!$A$2:$A$43)),"-")</f>
        <v>0</v>
      </c>
      <c r="V27" s="105">
        <f>IFERROR(INDEX(lifespans_all!V$2:V$56,MATCH($A27,lifespans_all!$A$2:$A$56,0))*INDEX(SR_mission_minutes!V$2:V$43,MATCH($A27,SR_mission_minutes!$A$2:$A$43)),"-")</f>
        <v>0</v>
      </c>
    </row>
    <row r="28" spans="1:22" x14ac:dyDescent="0.25">
      <c r="A28" s="29" t="s">
        <v>62</v>
      </c>
      <c r="B28" s="29" t="s">
        <v>41</v>
      </c>
      <c r="C28" s="105">
        <f>IFERROR(INDEX(lifespans_all!C$2:C$56,MATCH($A28,lifespans_all!$A$2:$A$56,0))*INDEX(SR_mission_minutes!C$2:C$43,MATCH($A28,SR_mission_minutes!$A$2:$A$43)),"-")</f>
        <v>66700.388888888891</v>
      </c>
      <c r="D28" s="105">
        <f>IFERROR(INDEX(lifespans_all!D$2:D$56,MATCH($A28,lifespans_all!$A$2:$A$56,0))*INDEX(SR_mission_minutes!D$2:D$43,MATCH($A28,SR_mission_minutes!$A$2:$A$43)),"-")</f>
        <v>66700.388888888891</v>
      </c>
      <c r="E28" s="105">
        <f>IFERROR(INDEX(lifespans_all!E$2:E$56,MATCH($A28,lifespans_all!$A$2:$A$56,0))*INDEX(SR_mission_minutes!E$2:E$43,MATCH($A28,SR_mission_minutes!$A$2:$A$43)),"-")</f>
        <v>66700.388888888891</v>
      </c>
      <c r="F28" s="105">
        <f>IFERROR(INDEX(lifespans_all!F$2:F$56,MATCH($A28,lifespans_all!$A$2:$A$56,0))*INDEX(SR_mission_minutes!F$2:F$43,MATCH($A28,SR_mission_minutes!$A$2:$A$43)),"-")</f>
        <v>66700.388888888891</v>
      </c>
      <c r="G28" s="105">
        <f>IFERROR(INDEX(lifespans_all!G$2:G$56,MATCH($A28,lifespans_all!$A$2:$A$56,0))*INDEX(SR_mission_minutes!G$2:G$43,MATCH($A28,SR_mission_minutes!$A$2:$A$43)),"-")</f>
        <v>66700.388888888891</v>
      </c>
      <c r="H28" s="105">
        <f>IFERROR(INDEX(lifespans_all!H$2:H$56,MATCH($A28,lifespans_all!$A$2:$A$56,0))*INDEX(SR_mission_minutes!H$2:H$43,MATCH($A28,SR_mission_minutes!$A$2:$A$43)),"-")</f>
        <v>0</v>
      </c>
      <c r="I28" s="105">
        <f>IFERROR(INDEX(lifespans_all!I$2:I$56,MATCH($A28,lifespans_all!$A$2:$A$56,0))*INDEX(SR_mission_minutes!I$2:I$43,MATCH($A28,SR_mission_minutes!$A$2:$A$43)),"-")</f>
        <v>0</v>
      </c>
      <c r="J28" s="105">
        <f>IFERROR(INDEX(lifespans_all!J$2:J$56,MATCH($A28,lifespans_all!$A$2:$A$56,0))*INDEX(SR_mission_minutes!J$2:J$43,MATCH($A28,SR_mission_minutes!$A$2:$A$43)),"-")</f>
        <v>0</v>
      </c>
      <c r="K28" s="105">
        <f>IFERROR(INDEX(lifespans_all!K$2:K$56,MATCH($A28,lifespans_all!$A$2:$A$56,0))*INDEX(SR_mission_minutes!K$2:K$43,MATCH($A28,SR_mission_minutes!$A$2:$A$43)),"-")</f>
        <v>0</v>
      </c>
      <c r="L28" s="105">
        <f>IFERROR(INDEX(lifespans_all!L$2:L$56,MATCH($A28,lifespans_all!$A$2:$A$56,0))*INDEX(SR_mission_minutes!L$2:L$43,MATCH($A28,SR_mission_minutes!$A$2:$A$43)),"-")</f>
        <v>0</v>
      </c>
      <c r="M28" s="105">
        <f>IFERROR(INDEX(lifespans_all!M$2:M$56,MATCH($A28,lifespans_all!$A$2:$A$56,0))*INDEX(SR_mission_minutes!M$2:M$43,MATCH($A28,SR_mission_minutes!$A$2:$A$43)),"-")</f>
        <v>0</v>
      </c>
      <c r="N28" s="105">
        <f>IFERROR(INDEX(lifespans_all!N$2:N$56,MATCH($A28,lifespans_all!$A$2:$A$56,0))*INDEX(SR_mission_minutes!N$2:N$43,MATCH($A28,SR_mission_minutes!$A$2:$A$43)),"-")</f>
        <v>0</v>
      </c>
      <c r="O28" s="105">
        <f>IFERROR(INDEX(lifespans_all!O$2:O$56,MATCH($A28,lifespans_all!$A$2:$A$56,0))*INDEX(SR_mission_minutes!O$2:O$43,MATCH($A28,SR_mission_minutes!$A$2:$A$43)),"-")</f>
        <v>0</v>
      </c>
      <c r="P28" s="105">
        <f>IFERROR(INDEX(lifespans_all!P$2:P$56,MATCH($A28,lifespans_all!$A$2:$A$56,0))*INDEX(SR_mission_minutes!P$2:P$43,MATCH($A28,SR_mission_minutes!$A$2:$A$43)),"-")</f>
        <v>0</v>
      </c>
      <c r="Q28" s="105">
        <f>IFERROR(INDEX(lifespans_all!Q$2:Q$56,MATCH($A28,lifespans_all!$A$2:$A$56,0))*INDEX(SR_mission_minutes!Q$2:Q$43,MATCH($A28,SR_mission_minutes!$A$2:$A$43)),"-")</f>
        <v>0</v>
      </c>
      <c r="R28" s="105">
        <f>IFERROR(INDEX(lifespans_all!R$2:R$56,MATCH($A28,lifespans_all!$A$2:$A$56,0))*INDEX(SR_mission_minutes!R$2:R$43,MATCH($A28,SR_mission_minutes!$A$2:$A$43)),"-")</f>
        <v>0</v>
      </c>
      <c r="S28" s="105">
        <f>IFERROR(INDEX(lifespans_all!S$2:S$56,MATCH($A28,lifespans_all!$A$2:$A$56,0))*INDEX(SR_mission_minutes!S$2:S$43,MATCH($A28,SR_mission_minutes!$A$2:$A$43)),"-")</f>
        <v>0</v>
      </c>
      <c r="T28" s="105">
        <f>IFERROR(INDEX(lifespans_all!T$2:T$56,MATCH($A28,lifespans_all!$A$2:$A$56,0))*INDEX(SR_mission_minutes!T$2:T$43,MATCH($A28,SR_mission_minutes!$A$2:$A$43)),"-")</f>
        <v>0</v>
      </c>
      <c r="U28" s="105">
        <f>IFERROR(INDEX(lifespans_all!U$2:U$56,MATCH($A28,lifespans_all!$A$2:$A$56,0))*INDEX(SR_mission_minutes!U$2:U$43,MATCH($A28,SR_mission_minutes!$A$2:$A$43)),"-")</f>
        <v>0</v>
      </c>
      <c r="V28" s="105">
        <f>IFERROR(INDEX(lifespans_all!V$2:V$56,MATCH($A28,lifespans_all!$A$2:$A$56,0))*INDEX(SR_mission_minutes!V$2:V$43,MATCH($A28,SR_mission_minutes!$A$2:$A$43)),"-")</f>
        <v>0</v>
      </c>
    </row>
    <row r="29" spans="1:22" x14ac:dyDescent="0.25">
      <c r="A29" s="29" t="s">
        <v>29</v>
      </c>
      <c r="B29" s="29" t="s">
        <v>41</v>
      </c>
      <c r="C29" s="105">
        <f>IFERROR(INDEX(lifespans_all!C$2:C$56,MATCH($A29,lifespans_all!$A$2:$A$56,0))*INDEX(SR_mission_minutes!C$2:C$43,MATCH($A29,SR_mission_minutes!$A$2:$A$43)),"-")</f>
        <v>66700.388888888891</v>
      </c>
      <c r="D29" s="105">
        <f>IFERROR(INDEX(lifespans_all!D$2:D$56,MATCH($A29,lifespans_all!$A$2:$A$56,0))*INDEX(SR_mission_minutes!D$2:D$43,MATCH($A29,SR_mission_minutes!$A$2:$A$43)),"-")</f>
        <v>66700.388888888891</v>
      </c>
      <c r="E29" s="105">
        <f>IFERROR(INDEX(lifespans_all!E$2:E$56,MATCH($A29,lifespans_all!$A$2:$A$56,0))*INDEX(SR_mission_minutes!E$2:E$43,MATCH($A29,SR_mission_minutes!$A$2:$A$43)),"-")</f>
        <v>66700.388888888891</v>
      </c>
      <c r="F29" s="105">
        <f>IFERROR(INDEX(lifespans_all!F$2:F$56,MATCH($A29,lifespans_all!$A$2:$A$56,0))*INDEX(SR_mission_minutes!F$2:F$43,MATCH($A29,SR_mission_minutes!$A$2:$A$43)),"-")</f>
        <v>0</v>
      </c>
      <c r="G29" s="105">
        <f>IFERROR(INDEX(lifespans_all!G$2:G$56,MATCH($A29,lifespans_all!$A$2:$A$56,0))*INDEX(SR_mission_minutes!G$2:G$43,MATCH($A29,SR_mission_minutes!$A$2:$A$43)),"-")</f>
        <v>0</v>
      </c>
      <c r="H29" s="105">
        <f>IFERROR(INDEX(lifespans_all!H$2:H$56,MATCH($A29,lifespans_all!$A$2:$A$56,0))*INDEX(SR_mission_minutes!H$2:H$43,MATCH($A29,SR_mission_minutes!$A$2:$A$43)),"-")</f>
        <v>0</v>
      </c>
      <c r="I29" s="105">
        <f>IFERROR(INDEX(lifespans_all!I$2:I$56,MATCH($A29,lifespans_all!$A$2:$A$56,0))*INDEX(SR_mission_minutes!I$2:I$43,MATCH($A29,SR_mission_minutes!$A$2:$A$43)),"-")</f>
        <v>0</v>
      </c>
      <c r="J29" s="105">
        <f>IFERROR(INDEX(lifespans_all!J$2:J$56,MATCH($A29,lifespans_all!$A$2:$A$56,0))*INDEX(SR_mission_minutes!J$2:J$43,MATCH($A29,SR_mission_minutes!$A$2:$A$43)),"-")</f>
        <v>0</v>
      </c>
      <c r="K29" s="105">
        <f>IFERROR(INDEX(lifespans_all!K$2:K$56,MATCH($A29,lifespans_all!$A$2:$A$56,0))*INDEX(SR_mission_minutes!K$2:K$43,MATCH($A29,SR_mission_minutes!$A$2:$A$43)),"-")</f>
        <v>0</v>
      </c>
      <c r="L29" s="105">
        <f>IFERROR(INDEX(lifespans_all!L$2:L$56,MATCH($A29,lifespans_all!$A$2:$A$56,0))*INDEX(SR_mission_minutes!L$2:L$43,MATCH($A29,SR_mission_minutes!$A$2:$A$43)),"-")</f>
        <v>0</v>
      </c>
      <c r="M29" s="105">
        <f>IFERROR(INDEX(lifespans_all!M$2:M$56,MATCH($A29,lifespans_all!$A$2:$A$56,0))*INDEX(SR_mission_minutes!M$2:M$43,MATCH($A29,SR_mission_minutes!$A$2:$A$43)),"-")</f>
        <v>0</v>
      </c>
      <c r="N29" s="105">
        <f>IFERROR(INDEX(lifespans_all!N$2:N$56,MATCH($A29,lifespans_all!$A$2:$A$56,0))*INDEX(SR_mission_minutes!N$2:N$43,MATCH($A29,SR_mission_minutes!$A$2:$A$43)),"-")</f>
        <v>0</v>
      </c>
      <c r="O29" s="105">
        <f>IFERROR(INDEX(lifespans_all!O$2:O$56,MATCH($A29,lifespans_all!$A$2:$A$56,0))*INDEX(SR_mission_minutes!O$2:O$43,MATCH($A29,SR_mission_minutes!$A$2:$A$43)),"-")</f>
        <v>0</v>
      </c>
      <c r="P29" s="105">
        <f>IFERROR(INDEX(lifespans_all!P$2:P$56,MATCH($A29,lifespans_all!$A$2:$A$56,0))*INDEX(SR_mission_minutes!P$2:P$43,MATCH($A29,SR_mission_minutes!$A$2:$A$43)),"-")</f>
        <v>0</v>
      </c>
      <c r="Q29" s="105">
        <f>IFERROR(INDEX(lifespans_all!Q$2:Q$56,MATCH($A29,lifespans_all!$A$2:$A$56,0))*INDEX(SR_mission_minutes!Q$2:Q$43,MATCH($A29,SR_mission_minutes!$A$2:$A$43)),"-")</f>
        <v>0</v>
      </c>
      <c r="R29" s="105">
        <f>IFERROR(INDEX(lifespans_all!R$2:R$56,MATCH($A29,lifespans_all!$A$2:$A$56,0))*INDEX(SR_mission_minutes!R$2:R$43,MATCH($A29,SR_mission_minutes!$A$2:$A$43)),"-")</f>
        <v>0</v>
      </c>
      <c r="S29" s="105">
        <f>IFERROR(INDEX(lifespans_all!S$2:S$56,MATCH($A29,lifespans_all!$A$2:$A$56,0))*INDEX(SR_mission_minutes!S$2:S$43,MATCH($A29,SR_mission_minutes!$A$2:$A$43)),"-")</f>
        <v>0</v>
      </c>
      <c r="T29" s="105">
        <f>IFERROR(INDEX(lifespans_all!T$2:T$56,MATCH($A29,lifespans_all!$A$2:$A$56,0))*INDEX(SR_mission_minutes!T$2:T$43,MATCH($A29,SR_mission_minutes!$A$2:$A$43)),"-")</f>
        <v>0</v>
      </c>
      <c r="U29" s="105">
        <f>IFERROR(INDEX(lifespans_all!U$2:U$56,MATCH($A29,lifespans_all!$A$2:$A$56,0))*INDEX(SR_mission_minutes!U$2:U$43,MATCH($A29,SR_mission_minutes!$A$2:$A$43)),"-")</f>
        <v>0</v>
      </c>
      <c r="V29" s="105">
        <f>IFERROR(INDEX(lifespans_all!V$2:V$56,MATCH($A29,lifespans_all!$A$2:$A$56,0))*INDEX(SR_mission_minutes!V$2:V$43,MATCH($A29,SR_mission_minutes!$A$2:$A$43)),"-")</f>
        <v>0</v>
      </c>
    </row>
    <row r="30" spans="1:22" x14ac:dyDescent="0.25">
      <c r="A30" s="29" t="s">
        <v>30</v>
      </c>
      <c r="B30" s="29" t="s">
        <v>43</v>
      </c>
      <c r="C30" s="105">
        <f>IFERROR(INDEX(lifespans_all!C$2:C$56,MATCH($A30,lifespans_all!$A$2:$A$56,0))*INDEX(SR_mission_minutes!C$2:C$43,MATCH($A30,SR_mission_minutes!$A$2:$A$43)),"-")</f>
        <v>114879</v>
      </c>
      <c r="D30" s="105">
        <f>IFERROR(INDEX(lifespans_all!D$2:D$56,MATCH($A30,lifespans_all!$A$2:$A$56,0))*INDEX(SR_mission_minutes!D$2:D$43,MATCH($A30,SR_mission_minutes!$A$2:$A$43)),"-")</f>
        <v>114879</v>
      </c>
      <c r="E30" s="105">
        <f>IFERROR(INDEX(lifespans_all!E$2:E$56,MATCH($A30,lifespans_all!$A$2:$A$56,0))*INDEX(SR_mission_minutes!E$2:E$43,MATCH($A30,SR_mission_minutes!$A$2:$A$43)),"-")</f>
        <v>114879</v>
      </c>
      <c r="F30" s="105">
        <f>IFERROR(INDEX(lifespans_all!F$2:F$56,MATCH($A30,lifespans_all!$A$2:$A$56,0))*INDEX(SR_mission_minutes!F$2:F$43,MATCH($A30,SR_mission_minutes!$A$2:$A$43)),"-")</f>
        <v>114879</v>
      </c>
      <c r="G30" s="105">
        <f>IFERROR(INDEX(lifespans_all!G$2:G$56,MATCH($A30,lifespans_all!$A$2:$A$56,0))*INDEX(SR_mission_minutes!G$2:G$43,MATCH($A30,SR_mission_minutes!$A$2:$A$43)),"-")</f>
        <v>114879</v>
      </c>
      <c r="H30" s="105">
        <f>IFERROR(INDEX(lifespans_all!H$2:H$56,MATCH($A30,lifespans_all!$A$2:$A$56,0))*INDEX(SR_mission_minutes!H$2:H$43,MATCH($A30,SR_mission_minutes!$A$2:$A$43)),"-")</f>
        <v>114879</v>
      </c>
      <c r="I30" s="105">
        <f>IFERROR(INDEX(lifespans_all!I$2:I$56,MATCH($A30,lifespans_all!$A$2:$A$56,0))*INDEX(SR_mission_minutes!I$2:I$43,MATCH($A30,SR_mission_minutes!$A$2:$A$43)),"-")</f>
        <v>114879</v>
      </c>
      <c r="J30" s="105">
        <f>IFERROR(INDEX(lifespans_all!J$2:J$56,MATCH($A30,lifespans_all!$A$2:$A$56,0))*INDEX(SR_mission_minutes!J$2:J$43,MATCH($A30,SR_mission_minutes!$A$2:$A$43)),"-")</f>
        <v>114879</v>
      </c>
      <c r="K30" s="105">
        <f>IFERROR(INDEX(lifespans_all!K$2:K$56,MATCH($A30,lifespans_all!$A$2:$A$56,0))*INDEX(SR_mission_minutes!K$2:K$43,MATCH($A30,SR_mission_minutes!$A$2:$A$43)),"-")</f>
        <v>114879</v>
      </c>
      <c r="L30" s="105">
        <f>IFERROR(INDEX(lifespans_all!L$2:L$56,MATCH($A30,lifespans_all!$A$2:$A$56,0))*INDEX(SR_mission_minutes!L$2:L$43,MATCH($A30,SR_mission_minutes!$A$2:$A$43)),"-")</f>
        <v>114879</v>
      </c>
      <c r="M30" s="105">
        <f>IFERROR(INDEX(lifespans_all!M$2:M$56,MATCH($A30,lifespans_all!$A$2:$A$56,0))*INDEX(SR_mission_minutes!M$2:M$43,MATCH($A30,SR_mission_minutes!$A$2:$A$43)),"-")</f>
        <v>114879</v>
      </c>
      <c r="N30" s="105">
        <f>IFERROR(INDEX(lifespans_all!N$2:N$56,MATCH($A30,lifespans_all!$A$2:$A$56,0))*INDEX(SR_mission_minutes!N$2:N$43,MATCH($A30,SR_mission_minutes!$A$2:$A$43)),"-")</f>
        <v>114879</v>
      </c>
      <c r="O30" s="105">
        <f>IFERROR(INDEX(lifespans_all!O$2:O$56,MATCH($A30,lifespans_all!$A$2:$A$56,0))*INDEX(SR_mission_minutes!O$2:O$43,MATCH($A30,SR_mission_minutes!$A$2:$A$43)),"-")</f>
        <v>114879</v>
      </c>
      <c r="P30" s="105">
        <f>IFERROR(INDEX(lifespans_all!P$2:P$56,MATCH($A30,lifespans_all!$A$2:$A$56,0))*INDEX(SR_mission_minutes!P$2:P$43,MATCH($A30,SR_mission_minutes!$A$2:$A$43)),"-")</f>
        <v>114879</v>
      </c>
      <c r="Q30" s="105">
        <f>IFERROR(INDEX(lifespans_all!Q$2:Q$56,MATCH($A30,lifespans_all!$A$2:$A$56,0))*INDEX(SR_mission_minutes!Q$2:Q$43,MATCH($A30,SR_mission_minutes!$A$2:$A$43)),"-")</f>
        <v>114879</v>
      </c>
      <c r="R30" s="105">
        <f>IFERROR(INDEX(lifespans_all!R$2:R$56,MATCH($A30,lifespans_all!$A$2:$A$56,0))*INDEX(SR_mission_minutes!R$2:R$43,MATCH($A30,SR_mission_minutes!$A$2:$A$43)),"-")</f>
        <v>114879</v>
      </c>
      <c r="S30" s="105">
        <f>IFERROR(INDEX(lifespans_all!S$2:S$56,MATCH($A30,lifespans_all!$A$2:$A$56,0))*INDEX(SR_mission_minutes!S$2:S$43,MATCH($A30,SR_mission_minutes!$A$2:$A$43)),"-")</f>
        <v>114879</v>
      </c>
      <c r="T30" s="105">
        <f>IFERROR(INDEX(lifespans_all!T$2:T$56,MATCH($A30,lifespans_all!$A$2:$A$56,0))*INDEX(SR_mission_minutes!T$2:T$43,MATCH($A30,SR_mission_minutes!$A$2:$A$43)),"-")</f>
        <v>114879</v>
      </c>
      <c r="U30" s="105">
        <f>IFERROR(INDEX(lifespans_all!U$2:U$56,MATCH($A30,lifespans_all!$A$2:$A$56,0))*INDEX(SR_mission_minutes!U$2:U$43,MATCH($A30,SR_mission_minutes!$A$2:$A$43)),"-")</f>
        <v>114879</v>
      </c>
      <c r="V30" s="105">
        <f>IFERROR(INDEX(lifespans_all!V$2:V$56,MATCH($A30,lifespans_all!$A$2:$A$56,0))*INDEX(SR_mission_minutes!V$2:V$43,MATCH($A30,SR_mission_minutes!$A$2:$A$43)),"-")</f>
        <v>114879</v>
      </c>
    </row>
    <row r="31" spans="1:22" x14ac:dyDescent="0.25">
      <c r="A31" s="29" t="s">
        <v>54</v>
      </c>
      <c r="B31" s="29" t="s">
        <v>43</v>
      </c>
      <c r="C31" s="105" t="str">
        <f>IFERROR(INDEX(lifespans_all!C$2:C$56,MATCH($A31,lifespans_all!$A$2:$A$56,0))*INDEX(SR_mission_minutes!C$2:C$43,MATCH($A31,SR_mission_minutes!$A$2:$A$43)),"-")</f>
        <v>-</v>
      </c>
      <c r="D31" s="105" t="str">
        <f>IFERROR(INDEX(lifespans_all!D$2:D$56,MATCH($A31,lifespans_all!$A$2:$A$56,0))*INDEX(SR_mission_minutes!D$2:D$43,MATCH($A31,SR_mission_minutes!$A$2:$A$43)),"-")</f>
        <v>-</v>
      </c>
      <c r="E31" s="105" t="str">
        <f>IFERROR(INDEX(lifespans_all!E$2:E$56,MATCH($A31,lifespans_all!$A$2:$A$56,0))*INDEX(SR_mission_minutes!E$2:E$43,MATCH($A31,SR_mission_minutes!$A$2:$A$43)),"-")</f>
        <v>-</v>
      </c>
      <c r="F31" s="105" t="str">
        <f>IFERROR(INDEX(lifespans_all!F$2:F$56,MATCH($A31,lifespans_all!$A$2:$A$56,0))*INDEX(SR_mission_minutes!F$2:F$43,MATCH($A31,SR_mission_minutes!$A$2:$A$43)),"-")</f>
        <v>-</v>
      </c>
      <c r="G31" s="105" t="str">
        <f>IFERROR(INDEX(lifespans_all!G$2:G$56,MATCH($A31,lifespans_all!$A$2:$A$56,0))*INDEX(SR_mission_minutes!G$2:G$43,MATCH($A31,SR_mission_minutes!$A$2:$A$43)),"-")</f>
        <v>-</v>
      </c>
      <c r="H31" s="105" t="str">
        <f>IFERROR(INDEX(lifespans_all!H$2:H$56,MATCH($A31,lifespans_all!$A$2:$A$56,0))*INDEX(SR_mission_minutes!H$2:H$43,MATCH($A31,SR_mission_minutes!$A$2:$A$43)),"-")</f>
        <v>-</v>
      </c>
      <c r="I31" s="105" t="str">
        <f>IFERROR(INDEX(lifespans_all!I$2:I$56,MATCH($A31,lifespans_all!$A$2:$A$56,0))*INDEX(SR_mission_minutes!I$2:I$43,MATCH($A31,SR_mission_minutes!$A$2:$A$43)),"-")</f>
        <v>-</v>
      </c>
      <c r="J31" s="105" t="str">
        <f>IFERROR(INDEX(lifespans_all!J$2:J$56,MATCH($A31,lifespans_all!$A$2:$A$56,0))*INDEX(SR_mission_minutes!J$2:J$43,MATCH($A31,SR_mission_minutes!$A$2:$A$43)),"-")</f>
        <v>-</v>
      </c>
      <c r="K31" s="105" t="str">
        <f>IFERROR(INDEX(lifespans_all!K$2:K$56,MATCH($A31,lifespans_all!$A$2:$A$56,0))*INDEX(SR_mission_minutes!K$2:K$43,MATCH($A31,SR_mission_minutes!$A$2:$A$43)),"-")</f>
        <v>-</v>
      </c>
      <c r="L31" s="105" t="str">
        <f>IFERROR(INDEX(lifespans_all!L$2:L$56,MATCH($A31,lifespans_all!$A$2:$A$56,0))*INDEX(SR_mission_minutes!L$2:L$43,MATCH($A31,SR_mission_minutes!$A$2:$A$43)),"-")</f>
        <v>-</v>
      </c>
      <c r="M31" s="105" t="str">
        <f>IFERROR(INDEX(lifespans_all!M$2:M$56,MATCH($A31,lifespans_all!$A$2:$A$56,0))*INDEX(SR_mission_minutes!M$2:M$43,MATCH($A31,SR_mission_minutes!$A$2:$A$43)),"-")</f>
        <v>-</v>
      </c>
      <c r="N31" s="105" t="str">
        <f>IFERROR(INDEX(lifespans_all!N$2:N$56,MATCH($A31,lifespans_all!$A$2:$A$56,0))*INDEX(SR_mission_minutes!N$2:N$43,MATCH($A31,SR_mission_minutes!$A$2:$A$43)),"-")</f>
        <v>-</v>
      </c>
      <c r="O31" s="105" t="str">
        <f>IFERROR(INDEX(lifespans_all!O$2:O$56,MATCH($A31,lifespans_all!$A$2:$A$56,0))*INDEX(SR_mission_minutes!O$2:O$43,MATCH($A31,SR_mission_minutes!$A$2:$A$43)),"-")</f>
        <v>-</v>
      </c>
      <c r="P31" s="105" t="str">
        <f>IFERROR(INDEX(lifespans_all!P$2:P$56,MATCH($A31,lifespans_all!$A$2:$A$56,0))*INDEX(SR_mission_minutes!P$2:P$43,MATCH($A31,SR_mission_minutes!$A$2:$A$43)),"-")</f>
        <v>-</v>
      </c>
      <c r="Q31" s="105" t="str">
        <f>IFERROR(INDEX(lifespans_all!Q$2:Q$56,MATCH($A31,lifespans_all!$A$2:$A$56,0))*INDEX(SR_mission_minutes!Q$2:Q$43,MATCH($A31,SR_mission_minutes!$A$2:$A$43)),"-")</f>
        <v>-</v>
      </c>
      <c r="R31" s="105" t="str">
        <f>IFERROR(INDEX(lifespans_all!R$2:R$56,MATCH($A31,lifespans_all!$A$2:$A$56,0))*INDEX(SR_mission_minutes!R$2:R$43,MATCH($A31,SR_mission_minutes!$A$2:$A$43)),"-")</f>
        <v>-</v>
      </c>
      <c r="S31" s="105" t="str">
        <f>IFERROR(INDEX(lifespans_all!S$2:S$56,MATCH($A31,lifespans_all!$A$2:$A$56,0))*INDEX(SR_mission_minutes!S$2:S$43,MATCH($A31,SR_mission_minutes!$A$2:$A$43)),"-")</f>
        <v>-</v>
      </c>
      <c r="T31" s="105" t="str">
        <f>IFERROR(INDEX(lifespans_all!T$2:T$56,MATCH($A31,lifespans_all!$A$2:$A$56,0))*INDEX(SR_mission_minutes!T$2:T$43,MATCH($A31,SR_mission_minutes!$A$2:$A$43)),"-")</f>
        <v>-</v>
      </c>
      <c r="U31" s="105" t="str">
        <f>IFERROR(INDEX(lifespans_all!U$2:U$56,MATCH($A31,lifespans_all!$A$2:$A$56,0))*INDEX(SR_mission_minutes!U$2:U$43,MATCH($A31,SR_mission_minutes!$A$2:$A$43)),"-")</f>
        <v>-</v>
      </c>
      <c r="V31" s="105" t="str">
        <f>IFERROR(INDEX(lifespans_all!V$2:V$56,MATCH($A31,lifespans_all!$A$2:$A$56,0))*INDEX(SR_mission_minutes!V$2:V$43,MATCH($A31,SR_mission_minutes!$A$2:$A$43)),"-")</f>
        <v>-</v>
      </c>
    </row>
    <row r="32" spans="1:22" x14ac:dyDescent="0.25">
      <c r="A32" s="29" t="s">
        <v>31</v>
      </c>
      <c r="B32" s="29" t="s">
        <v>48</v>
      </c>
      <c r="C32" s="105" t="str">
        <f>IFERROR(INDEX(lifespans_all!C$2:C$56,MATCH($A32,lifespans_all!$A$2:$A$56,0))*INDEX(SR_mission_minutes!C$2:C$43,MATCH($A32,SR_mission_minutes!$A$2:$A$43)),"-")</f>
        <v>-</v>
      </c>
      <c r="D32" s="105" t="str">
        <f>IFERROR(INDEX(lifespans_all!D$2:D$56,MATCH($A32,lifespans_all!$A$2:$A$56,0))*INDEX(SR_mission_minutes!D$2:D$43,MATCH($A32,SR_mission_minutes!$A$2:$A$43)),"-")</f>
        <v>-</v>
      </c>
      <c r="E32" s="105" t="str">
        <f>IFERROR(INDEX(lifespans_all!E$2:E$56,MATCH($A32,lifespans_all!$A$2:$A$56,0))*INDEX(SR_mission_minutes!E$2:E$43,MATCH($A32,SR_mission_minutes!$A$2:$A$43)),"-")</f>
        <v>-</v>
      </c>
      <c r="F32" s="105" t="str">
        <f>IFERROR(INDEX(lifespans_all!F$2:F$56,MATCH($A32,lifespans_all!$A$2:$A$56,0))*INDEX(SR_mission_minutes!F$2:F$43,MATCH($A32,SR_mission_minutes!$A$2:$A$43)),"-")</f>
        <v>-</v>
      </c>
      <c r="G32" s="105" t="str">
        <f>IFERROR(INDEX(lifespans_all!G$2:G$56,MATCH($A32,lifespans_all!$A$2:$A$56,0))*INDEX(SR_mission_minutes!G$2:G$43,MATCH($A32,SR_mission_minutes!$A$2:$A$43)),"-")</f>
        <v>-</v>
      </c>
      <c r="H32" s="105" t="str">
        <f>IFERROR(INDEX(lifespans_all!H$2:H$56,MATCH($A32,lifespans_all!$A$2:$A$56,0))*INDEX(SR_mission_minutes!H$2:H$43,MATCH($A32,SR_mission_minutes!$A$2:$A$43)),"-")</f>
        <v>-</v>
      </c>
      <c r="I32" s="105" t="str">
        <f>IFERROR(INDEX(lifespans_all!I$2:I$56,MATCH($A32,lifespans_all!$A$2:$A$56,0))*INDEX(SR_mission_minutes!I$2:I$43,MATCH($A32,SR_mission_minutes!$A$2:$A$43)),"-")</f>
        <v>-</v>
      </c>
      <c r="J32" s="105" t="str">
        <f>IFERROR(INDEX(lifespans_all!J$2:J$56,MATCH($A32,lifespans_all!$A$2:$A$56,0))*INDEX(SR_mission_minutes!J$2:J$43,MATCH($A32,SR_mission_minutes!$A$2:$A$43)),"-")</f>
        <v>-</v>
      </c>
      <c r="K32" s="105" t="str">
        <f>IFERROR(INDEX(lifespans_all!K$2:K$56,MATCH($A32,lifespans_all!$A$2:$A$56,0))*INDEX(SR_mission_minutes!K$2:K$43,MATCH($A32,SR_mission_minutes!$A$2:$A$43)),"-")</f>
        <v>-</v>
      </c>
      <c r="L32" s="105" t="str">
        <f>IFERROR(INDEX(lifespans_all!L$2:L$56,MATCH($A32,lifespans_all!$A$2:$A$56,0))*INDEX(SR_mission_minutes!L$2:L$43,MATCH($A32,SR_mission_minutes!$A$2:$A$43)),"-")</f>
        <v>-</v>
      </c>
      <c r="M32" s="105" t="str">
        <f>IFERROR(INDEX(lifespans_all!M$2:M$56,MATCH($A32,lifespans_all!$A$2:$A$56,0))*INDEX(SR_mission_minutes!M$2:M$43,MATCH($A32,SR_mission_minutes!$A$2:$A$43)),"-")</f>
        <v>-</v>
      </c>
      <c r="N32" s="105" t="str">
        <f>IFERROR(INDEX(lifespans_all!N$2:N$56,MATCH($A32,lifespans_all!$A$2:$A$56,0))*INDEX(SR_mission_minutes!N$2:N$43,MATCH($A32,SR_mission_minutes!$A$2:$A$43)),"-")</f>
        <v>-</v>
      </c>
      <c r="O32" s="105" t="str">
        <f>IFERROR(INDEX(lifespans_all!O$2:O$56,MATCH($A32,lifespans_all!$A$2:$A$56,0))*INDEX(SR_mission_minutes!O$2:O$43,MATCH($A32,SR_mission_minutes!$A$2:$A$43)),"-")</f>
        <v>-</v>
      </c>
      <c r="P32" s="105" t="str">
        <f>IFERROR(INDEX(lifespans_all!P$2:P$56,MATCH($A32,lifespans_all!$A$2:$A$56,0))*INDEX(SR_mission_minutes!P$2:P$43,MATCH($A32,SR_mission_minutes!$A$2:$A$43)),"-")</f>
        <v>-</v>
      </c>
      <c r="Q32" s="105" t="str">
        <f>IFERROR(INDEX(lifespans_all!Q$2:Q$56,MATCH($A32,lifespans_all!$A$2:$A$56,0))*INDEX(SR_mission_minutes!Q$2:Q$43,MATCH($A32,SR_mission_minutes!$A$2:$A$43)),"-")</f>
        <v>-</v>
      </c>
      <c r="R32" s="105" t="str">
        <f>IFERROR(INDEX(lifespans_all!R$2:R$56,MATCH($A32,lifespans_all!$A$2:$A$56,0))*INDEX(SR_mission_minutes!R$2:R$43,MATCH($A32,SR_mission_minutes!$A$2:$A$43)),"-")</f>
        <v>-</v>
      </c>
      <c r="S32" s="105" t="str">
        <f>IFERROR(INDEX(lifespans_all!S$2:S$56,MATCH($A32,lifespans_all!$A$2:$A$56,0))*INDEX(SR_mission_minutes!S$2:S$43,MATCH($A32,SR_mission_minutes!$A$2:$A$43)),"-")</f>
        <v>-</v>
      </c>
      <c r="T32" s="105" t="str">
        <f>IFERROR(INDEX(lifespans_all!T$2:T$56,MATCH($A32,lifespans_all!$A$2:$A$56,0))*INDEX(SR_mission_minutes!T$2:T$43,MATCH($A32,SR_mission_minutes!$A$2:$A$43)),"-")</f>
        <v>-</v>
      </c>
      <c r="U32" s="105" t="str">
        <f>IFERROR(INDEX(lifespans_all!U$2:U$56,MATCH($A32,lifespans_all!$A$2:$A$56,0))*INDEX(SR_mission_minutes!U$2:U$43,MATCH($A32,SR_mission_minutes!$A$2:$A$43)),"-")</f>
        <v>-</v>
      </c>
      <c r="V32" s="105" t="str">
        <f>IFERROR(INDEX(lifespans_all!V$2:V$56,MATCH($A32,lifespans_all!$A$2:$A$56,0))*INDEX(SR_mission_minutes!V$2:V$43,MATCH($A32,SR_mission_minutes!$A$2:$A$43)),"-")</f>
        <v>-</v>
      </c>
    </row>
    <row r="33" spans="1:22" x14ac:dyDescent="0.25">
      <c r="A33" s="29" t="s">
        <v>32</v>
      </c>
      <c r="B33" s="29" t="s">
        <v>48</v>
      </c>
      <c r="C33" s="105" t="str">
        <f>IFERROR(INDEX(lifespans_all!C$2:C$56,MATCH($A33,lifespans_all!$A$2:$A$56,0))*INDEX(SR_mission_minutes!C$2:C$43,MATCH($A33,SR_mission_minutes!$A$2:$A$43)),"-")</f>
        <v>-</v>
      </c>
      <c r="D33" s="105" t="str">
        <f>IFERROR(INDEX(lifespans_all!D$2:D$56,MATCH($A33,lifespans_all!$A$2:$A$56,0))*INDEX(SR_mission_minutes!D$2:D$43,MATCH($A33,SR_mission_minutes!$A$2:$A$43)),"-")</f>
        <v>-</v>
      </c>
      <c r="E33" s="105" t="str">
        <f>IFERROR(INDEX(lifespans_all!E$2:E$56,MATCH($A33,lifespans_all!$A$2:$A$56,0))*INDEX(SR_mission_minutes!E$2:E$43,MATCH($A33,SR_mission_minutes!$A$2:$A$43)),"-")</f>
        <v>-</v>
      </c>
      <c r="F33" s="105" t="str">
        <f>IFERROR(INDEX(lifespans_all!F$2:F$56,MATCH($A33,lifespans_all!$A$2:$A$56,0))*INDEX(SR_mission_minutes!F$2:F$43,MATCH($A33,SR_mission_minutes!$A$2:$A$43)),"-")</f>
        <v>-</v>
      </c>
      <c r="G33" s="105" t="str">
        <f>IFERROR(INDEX(lifespans_all!G$2:G$56,MATCH($A33,lifespans_all!$A$2:$A$56,0))*INDEX(SR_mission_minutes!G$2:G$43,MATCH($A33,SR_mission_minutes!$A$2:$A$43)),"-")</f>
        <v>-</v>
      </c>
      <c r="H33" s="105" t="str">
        <f>IFERROR(INDEX(lifespans_all!H$2:H$56,MATCH($A33,lifespans_all!$A$2:$A$56,0))*INDEX(SR_mission_minutes!H$2:H$43,MATCH($A33,SR_mission_minutes!$A$2:$A$43)),"-")</f>
        <v>-</v>
      </c>
      <c r="I33" s="105" t="str">
        <f>IFERROR(INDEX(lifespans_all!I$2:I$56,MATCH($A33,lifespans_all!$A$2:$A$56,0))*INDEX(SR_mission_minutes!I$2:I$43,MATCH($A33,SR_mission_minutes!$A$2:$A$43)),"-")</f>
        <v>-</v>
      </c>
      <c r="J33" s="105" t="str">
        <f>IFERROR(INDEX(lifespans_all!J$2:J$56,MATCH($A33,lifespans_all!$A$2:$A$56,0))*INDEX(SR_mission_minutes!J$2:J$43,MATCH($A33,SR_mission_minutes!$A$2:$A$43)),"-")</f>
        <v>-</v>
      </c>
      <c r="K33" s="105" t="str">
        <f>IFERROR(INDEX(lifespans_all!K$2:K$56,MATCH($A33,lifespans_all!$A$2:$A$56,0))*INDEX(SR_mission_minutes!K$2:K$43,MATCH($A33,SR_mission_minutes!$A$2:$A$43)),"-")</f>
        <v>-</v>
      </c>
      <c r="L33" s="105" t="str">
        <f>IFERROR(INDEX(lifespans_all!L$2:L$56,MATCH($A33,lifespans_all!$A$2:$A$56,0))*INDEX(SR_mission_minutes!L$2:L$43,MATCH($A33,SR_mission_minutes!$A$2:$A$43)),"-")</f>
        <v>-</v>
      </c>
      <c r="M33" s="105" t="str">
        <f>IFERROR(INDEX(lifespans_all!M$2:M$56,MATCH($A33,lifespans_all!$A$2:$A$56,0))*INDEX(SR_mission_minutes!M$2:M$43,MATCH($A33,SR_mission_minutes!$A$2:$A$43)),"-")</f>
        <v>-</v>
      </c>
      <c r="N33" s="105" t="str">
        <f>IFERROR(INDEX(lifespans_all!N$2:N$56,MATCH($A33,lifespans_all!$A$2:$A$56,0))*INDEX(SR_mission_minutes!N$2:N$43,MATCH($A33,SR_mission_minutes!$A$2:$A$43)),"-")</f>
        <v>-</v>
      </c>
      <c r="O33" s="105" t="str">
        <f>IFERROR(INDEX(lifespans_all!O$2:O$56,MATCH($A33,lifespans_all!$A$2:$A$56,0))*INDEX(SR_mission_minutes!O$2:O$43,MATCH($A33,SR_mission_minutes!$A$2:$A$43)),"-")</f>
        <v>-</v>
      </c>
      <c r="P33" s="105" t="str">
        <f>IFERROR(INDEX(lifespans_all!P$2:P$56,MATCH($A33,lifespans_all!$A$2:$A$56,0))*INDEX(SR_mission_minutes!P$2:P$43,MATCH($A33,SR_mission_minutes!$A$2:$A$43)),"-")</f>
        <v>-</v>
      </c>
      <c r="Q33" s="105" t="str">
        <f>IFERROR(INDEX(lifespans_all!Q$2:Q$56,MATCH($A33,lifespans_all!$A$2:$A$56,0))*INDEX(SR_mission_minutes!Q$2:Q$43,MATCH($A33,SR_mission_minutes!$A$2:$A$43)),"-")</f>
        <v>-</v>
      </c>
      <c r="R33" s="105" t="str">
        <f>IFERROR(INDEX(lifespans_all!R$2:R$56,MATCH($A33,lifespans_all!$A$2:$A$56,0))*INDEX(SR_mission_minutes!R$2:R$43,MATCH($A33,SR_mission_minutes!$A$2:$A$43)),"-")</f>
        <v>-</v>
      </c>
      <c r="S33" s="105" t="str">
        <f>IFERROR(INDEX(lifespans_all!S$2:S$56,MATCH($A33,lifespans_all!$A$2:$A$56,0))*INDEX(SR_mission_minutes!S$2:S$43,MATCH($A33,SR_mission_minutes!$A$2:$A$43)),"-")</f>
        <v>-</v>
      </c>
      <c r="T33" s="105" t="str">
        <f>IFERROR(INDEX(lifespans_all!T$2:T$56,MATCH($A33,lifespans_all!$A$2:$A$56,0))*INDEX(SR_mission_minutes!T$2:T$43,MATCH($A33,SR_mission_minutes!$A$2:$A$43)),"-")</f>
        <v>-</v>
      </c>
      <c r="U33" s="105" t="str">
        <f>IFERROR(INDEX(lifespans_all!U$2:U$56,MATCH($A33,lifespans_all!$A$2:$A$56,0))*INDEX(SR_mission_minutes!U$2:U$43,MATCH($A33,SR_mission_minutes!$A$2:$A$43)),"-")</f>
        <v>-</v>
      </c>
      <c r="V33" s="105" t="str">
        <f>IFERROR(INDEX(lifespans_all!V$2:V$56,MATCH($A33,lifespans_all!$A$2:$A$56,0))*INDEX(SR_mission_minutes!V$2:V$43,MATCH($A33,SR_mission_minutes!$A$2:$A$43)),"-")</f>
        <v>-</v>
      </c>
    </row>
    <row r="34" spans="1:22" x14ac:dyDescent="0.25">
      <c r="A34" s="29" t="s">
        <v>33</v>
      </c>
      <c r="B34" s="29" t="s">
        <v>41</v>
      </c>
      <c r="C34" s="105">
        <f>IFERROR(INDEX(lifespans_all!C$2:C$56,MATCH($A34,lifespans_all!$A$2:$A$56,0))*INDEX(SR_mission_minutes!C$2:C$43,MATCH($A34,SR_mission_minutes!$A$2:$A$43)),"-")</f>
        <v>0</v>
      </c>
      <c r="D34" s="105">
        <f>IFERROR(INDEX(lifespans_all!D$2:D$56,MATCH($A34,lifespans_all!$A$2:$A$56,0))*INDEX(SR_mission_minutes!D$2:D$43,MATCH($A34,SR_mission_minutes!$A$2:$A$43)),"-")</f>
        <v>0</v>
      </c>
      <c r="E34" s="105">
        <f>IFERROR(INDEX(lifespans_all!E$2:E$56,MATCH($A34,lifespans_all!$A$2:$A$56,0))*INDEX(SR_mission_minutes!E$2:E$43,MATCH($A34,SR_mission_minutes!$A$2:$A$43)),"-")</f>
        <v>0</v>
      </c>
      <c r="F34" s="105">
        <f>IFERROR(INDEX(lifespans_all!F$2:F$56,MATCH($A34,lifespans_all!$A$2:$A$56,0))*INDEX(SR_mission_minutes!F$2:F$43,MATCH($A34,SR_mission_minutes!$A$2:$A$43)),"-")</f>
        <v>0</v>
      </c>
      <c r="G34" s="105">
        <f>IFERROR(INDEX(lifespans_all!G$2:G$56,MATCH($A34,lifespans_all!$A$2:$A$56,0))*INDEX(SR_mission_minutes!G$2:G$43,MATCH($A34,SR_mission_minutes!$A$2:$A$43)),"-")</f>
        <v>0</v>
      </c>
      <c r="H34" s="105">
        <f>IFERROR(INDEX(lifespans_all!H$2:H$56,MATCH($A34,lifespans_all!$A$2:$A$56,0))*INDEX(SR_mission_minutes!H$2:H$43,MATCH($A34,SR_mission_minutes!$A$2:$A$43)),"-")</f>
        <v>0</v>
      </c>
      <c r="I34" s="105">
        <f>IFERROR(INDEX(lifespans_all!I$2:I$56,MATCH($A34,lifespans_all!$A$2:$A$56,0))*INDEX(SR_mission_minutes!I$2:I$43,MATCH($A34,SR_mission_minutes!$A$2:$A$43)),"-")</f>
        <v>0</v>
      </c>
      <c r="J34" s="105">
        <f>IFERROR(INDEX(lifespans_all!J$2:J$56,MATCH($A34,lifespans_all!$A$2:$A$56,0))*INDEX(SR_mission_minutes!J$2:J$43,MATCH($A34,SR_mission_minutes!$A$2:$A$43)),"-")</f>
        <v>0</v>
      </c>
      <c r="K34" s="105">
        <f>IFERROR(INDEX(lifespans_all!K$2:K$56,MATCH($A34,lifespans_all!$A$2:$A$56,0))*INDEX(SR_mission_minutes!K$2:K$43,MATCH($A34,SR_mission_minutes!$A$2:$A$43)),"-")</f>
        <v>0</v>
      </c>
      <c r="L34" s="105">
        <f>IFERROR(INDEX(lifespans_all!L$2:L$56,MATCH($A34,lifespans_all!$A$2:$A$56,0))*INDEX(SR_mission_minutes!L$2:L$43,MATCH($A34,SR_mission_minutes!$A$2:$A$43)),"-")</f>
        <v>0</v>
      </c>
      <c r="M34" s="105">
        <f>IFERROR(INDEX(lifespans_all!M$2:M$56,MATCH($A34,lifespans_all!$A$2:$A$56,0))*INDEX(SR_mission_minutes!M$2:M$43,MATCH($A34,SR_mission_minutes!$A$2:$A$43)),"-")</f>
        <v>0</v>
      </c>
      <c r="N34" s="105">
        <f>IFERROR(INDEX(lifespans_all!N$2:N$56,MATCH($A34,lifespans_all!$A$2:$A$56,0))*INDEX(SR_mission_minutes!N$2:N$43,MATCH($A34,SR_mission_minutes!$A$2:$A$43)),"-")</f>
        <v>0</v>
      </c>
      <c r="O34" s="105">
        <f>IFERROR(INDEX(lifespans_all!O$2:O$56,MATCH($A34,lifespans_all!$A$2:$A$56,0))*INDEX(SR_mission_minutes!O$2:O$43,MATCH($A34,SR_mission_minutes!$A$2:$A$43)),"-")</f>
        <v>0</v>
      </c>
      <c r="P34" s="105">
        <f>IFERROR(INDEX(lifespans_all!P$2:P$56,MATCH($A34,lifespans_all!$A$2:$A$56,0))*INDEX(SR_mission_minutes!P$2:P$43,MATCH($A34,SR_mission_minutes!$A$2:$A$43)),"-")</f>
        <v>0</v>
      </c>
      <c r="Q34" s="105">
        <f>IFERROR(INDEX(lifespans_all!Q$2:Q$56,MATCH($A34,lifespans_all!$A$2:$A$56,0))*INDEX(SR_mission_minutes!Q$2:Q$43,MATCH($A34,SR_mission_minutes!$A$2:$A$43)),"-")</f>
        <v>0</v>
      </c>
      <c r="R34" s="105">
        <f>IFERROR(INDEX(lifespans_all!R$2:R$56,MATCH($A34,lifespans_all!$A$2:$A$56,0))*INDEX(SR_mission_minutes!R$2:R$43,MATCH($A34,SR_mission_minutes!$A$2:$A$43)),"-")</f>
        <v>0</v>
      </c>
      <c r="S34" s="105">
        <f>IFERROR(INDEX(lifespans_all!S$2:S$56,MATCH($A34,lifespans_all!$A$2:$A$56,0))*INDEX(SR_mission_minutes!S$2:S$43,MATCH($A34,SR_mission_minutes!$A$2:$A$43)),"-")</f>
        <v>0</v>
      </c>
      <c r="T34" s="105">
        <f>IFERROR(INDEX(lifespans_all!T$2:T$56,MATCH($A34,lifespans_all!$A$2:$A$56,0))*INDEX(SR_mission_minutes!T$2:T$43,MATCH($A34,SR_mission_minutes!$A$2:$A$43)),"-")</f>
        <v>0</v>
      </c>
      <c r="U34" s="105">
        <f>IFERROR(INDEX(lifespans_all!U$2:U$56,MATCH($A34,lifespans_all!$A$2:$A$56,0))*INDEX(SR_mission_minutes!U$2:U$43,MATCH($A34,SR_mission_minutes!$A$2:$A$43)),"-")</f>
        <v>0</v>
      </c>
      <c r="V34" s="105">
        <f>IFERROR(INDEX(lifespans_all!V$2:V$56,MATCH($A34,lifespans_all!$A$2:$A$56,0))*INDEX(SR_mission_minutes!V$2:V$43,MATCH($A34,SR_mission_minutes!$A$2:$A$43)),"-")</f>
        <v>0</v>
      </c>
    </row>
    <row r="35" spans="1:22" x14ac:dyDescent="0.25">
      <c r="A35" s="29" t="s">
        <v>34</v>
      </c>
      <c r="B35" s="29" t="s">
        <v>45</v>
      </c>
      <c r="C35" s="105">
        <f>IFERROR(INDEX(lifespans_all!C$2:C$56,MATCH($A35,lifespans_all!$A$2:$A$56,0))*INDEX(SR_mission_minutes!C$2:C$43,MATCH($A35,SR_mission_minutes!$A$2:$A$43)),"-")</f>
        <v>33739.333333333336</v>
      </c>
      <c r="D35" s="105">
        <f>IFERROR(INDEX(lifespans_all!D$2:D$56,MATCH($A35,lifespans_all!$A$2:$A$56,0))*INDEX(SR_mission_minutes!D$2:D$43,MATCH($A35,SR_mission_minutes!$A$2:$A$43)),"-")</f>
        <v>33739.333333333336</v>
      </c>
      <c r="E35" s="105">
        <f>IFERROR(INDEX(lifespans_all!E$2:E$56,MATCH($A35,lifespans_all!$A$2:$A$56,0))*INDEX(SR_mission_minutes!E$2:E$43,MATCH($A35,SR_mission_minutes!$A$2:$A$43)),"-")</f>
        <v>33739.333333333336</v>
      </c>
      <c r="F35" s="105">
        <f>IFERROR(INDEX(lifespans_all!F$2:F$56,MATCH($A35,lifespans_all!$A$2:$A$56,0))*INDEX(SR_mission_minutes!F$2:F$43,MATCH($A35,SR_mission_minutes!$A$2:$A$43)),"-")</f>
        <v>33739.333333333336</v>
      </c>
      <c r="G35" s="105">
        <f>IFERROR(INDEX(lifespans_all!G$2:G$56,MATCH($A35,lifespans_all!$A$2:$A$56,0))*INDEX(SR_mission_minutes!G$2:G$43,MATCH($A35,SR_mission_minutes!$A$2:$A$43)),"-")</f>
        <v>33739.333333333336</v>
      </c>
      <c r="H35" s="105">
        <f>IFERROR(INDEX(lifespans_all!H$2:H$56,MATCH($A35,lifespans_all!$A$2:$A$56,0))*INDEX(SR_mission_minutes!H$2:H$43,MATCH($A35,SR_mission_minutes!$A$2:$A$43)),"-")</f>
        <v>0</v>
      </c>
      <c r="I35" s="105">
        <f>IFERROR(INDEX(lifespans_all!I$2:I$56,MATCH($A35,lifespans_all!$A$2:$A$56,0))*INDEX(SR_mission_minutes!I$2:I$43,MATCH($A35,SR_mission_minutes!$A$2:$A$43)),"-")</f>
        <v>0</v>
      </c>
      <c r="J35" s="105">
        <f>IFERROR(INDEX(lifespans_all!J$2:J$56,MATCH($A35,lifespans_all!$A$2:$A$56,0))*INDEX(SR_mission_minutes!J$2:J$43,MATCH($A35,SR_mission_minutes!$A$2:$A$43)),"-")</f>
        <v>0</v>
      </c>
      <c r="K35" s="105">
        <f>IFERROR(INDEX(lifespans_all!K$2:K$56,MATCH($A35,lifespans_all!$A$2:$A$56,0))*INDEX(SR_mission_minutes!K$2:K$43,MATCH($A35,SR_mission_minutes!$A$2:$A$43)),"-")</f>
        <v>0</v>
      </c>
      <c r="L35" s="105">
        <f>IFERROR(INDEX(lifespans_all!L$2:L$56,MATCH($A35,lifespans_all!$A$2:$A$56,0))*INDEX(SR_mission_minutes!L$2:L$43,MATCH($A35,SR_mission_minutes!$A$2:$A$43)),"-")</f>
        <v>0</v>
      </c>
      <c r="M35" s="105">
        <f>IFERROR(INDEX(lifespans_all!M$2:M$56,MATCH($A35,lifespans_all!$A$2:$A$56,0))*INDEX(SR_mission_minutes!M$2:M$43,MATCH($A35,SR_mission_minutes!$A$2:$A$43)),"-")</f>
        <v>0</v>
      </c>
      <c r="N35" s="105">
        <f>IFERROR(INDEX(lifespans_all!N$2:N$56,MATCH($A35,lifespans_all!$A$2:$A$56,0))*INDEX(SR_mission_minutes!N$2:N$43,MATCH($A35,SR_mission_minutes!$A$2:$A$43)),"-")</f>
        <v>0</v>
      </c>
      <c r="O35" s="105">
        <f>IFERROR(INDEX(lifespans_all!O$2:O$56,MATCH($A35,lifespans_all!$A$2:$A$56,0))*INDEX(SR_mission_minutes!O$2:O$43,MATCH($A35,SR_mission_minutes!$A$2:$A$43)),"-")</f>
        <v>0</v>
      </c>
      <c r="P35" s="105">
        <f>IFERROR(INDEX(lifespans_all!P$2:P$56,MATCH($A35,lifespans_all!$A$2:$A$56,0))*INDEX(SR_mission_minutes!P$2:P$43,MATCH($A35,SR_mission_minutes!$A$2:$A$43)),"-")</f>
        <v>0</v>
      </c>
      <c r="Q35" s="105">
        <f>IFERROR(INDEX(lifespans_all!Q$2:Q$56,MATCH($A35,lifespans_all!$A$2:$A$56,0))*INDEX(SR_mission_minutes!Q$2:Q$43,MATCH($A35,SR_mission_minutes!$A$2:$A$43)),"-")</f>
        <v>0</v>
      </c>
      <c r="R35" s="105">
        <f>IFERROR(INDEX(lifespans_all!R$2:R$56,MATCH($A35,lifespans_all!$A$2:$A$56,0))*INDEX(SR_mission_minutes!R$2:R$43,MATCH($A35,SR_mission_minutes!$A$2:$A$43)),"-")</f>
        <v>0</v>
      </c>
      <c r="S35" s="105">
        <f>IFERROR(INDEX(lifespans_all!S$2:S$56,MATCH($A35,lifespans_all!$A$2:$A$56,0))*INDEX(SR_mission_minutes!S$2:S$43,MATCH($A35,SR_mission_minutes!$A$2:$A$43)),"-")</f>
        <v>0</v>
      </c>
      <c r="T35" s="105">
        <f>IFERROR(INDEX(lifespans_all!T$2:T$56,MATCH($A35,lifespans_all!$A$2:$A$56,0))*INDEX(SR_mission_minutes!T$2:T$43,MATCH($A35,SR_mission_minutes!$A$2:$A$43)),"-")</f>
        <v>0</v>
      </c>
      <c r="U35" s="105">
        <f>IFERROR(INDEX(lifespans_all!U$2:U$56,MATCH($A35,lifespans_all!$A$2:$A$56,0))*INDEX(SR_mission_minutes!U$2:U$43,MATCH($A35,SR_mission_minutes!$A$2:$A$43)),"-")</f>
        <v>0</v>
      </c>
      <c r="V35" s="105">
        <f>IFERROR(INDEX(lifespans_all!V$2:V$56,MATCH($A35,lifespans_all!$A$2:$A$56,0))*INDEX(SR_mission_minutes!V$2:V$43,MATCH($A35,SR_mission_minutes!$A$2:$A$43)),"-")</f>
        <v>0</v>
      </c>
    </row>
    <row r="36" spans="1:22" x14ac:dyDescent="0.25">
      <c r="A36" s="29" t="s">
        <v>63</v>
      </c>
      <c r="B36" s="29" t="s">
        <v>43</v>
      </c>
      <c r="C36" s="105">
        <f>IFERROR(INDEX(lifespans_all!C$2:C$56,MATCH($A36,lifespans_all!$A$2:$A$56,0))*INDEX(SR_mission_minutes!C$2:C$43,MATCH($A36,SR_mission_minutes!$A$2:$A$43)),"-")</f>
        <v>114879</v>
      </c>
      <c r="D36" s="105">
        <f>IFERROR(INDEX(lifespans_all!D$2:D$56,MATCH($A36,lifespans_all!$A$2:$A$56,0))*INDEX(SR_mission_minutes!D$2:D$43,MATCH($A36,SR_mission_minutes!$A$2:$A$43)),"-")</f>
        <v>114879</v>
      </c>
      <c r="E36" s="105">
        <f>IFERROR(INDEX(lifespans_all!E$2:E$56,MATCH($A36,lifespans_all!$A$2:$A$56,0))*INDEX(SR_mission_minutes!E$2:E$43,MATCH($A36,SR_mission_minutes!$A$2:$A$43)),"-")</f>
        <v>114879</v>
      </c>
      <c r="F36" s="105">
        <f>IFERROR(INDEX(lifespans_all!F$2:F$56,MATCH($A36,lifespans_all!$A$2:$A$56,0))*INDEX(SR_mission_minutes!F$2:F$43,MATCH($A36,SR_mission_minutes!$A$2:$A$43)),"-")</f>
        <v>114879</v>
      </c>
      <c r="G36" s="105">
        <f>IFERROR(INDEX(lifespans_all!G$2:G$56,MATCH($A36,lifespans_all!$A$2:$A$56,0))*INDEX(SR_mission_minutes!G$2:G$43,MATCH($A36,SR_mission_minutes!$A$2:$A$43)),"-")</f>
        <v>114879</v>
      </c>
      <c r="H36" s="105">
        <f>IFERROR(INDEX(lifespans_all!H$2:H$56,MATCH($A36,lifespans_all!$A$2:$A$56,0))*INDEX(SR_mission_minutes!H$2:H$43,MATCH($A36,SR_mission_minutes!$A$2:$A$43)),"-")</f>
        <v>114879</v>
      </c>
      <c r="I36" s="105">
        <f>IFERROR(INDEX(lifespans_all!I$2:I$56,MATCH($A36,lifespans_all!$A$2:$A$56,0))*INDEX(SR_mission_minutes!I$2:I$43,MATCH($A36,SR_mission_minutes!$A$2:$A$43)),"-")</f>
        <v>114879</v>
      </c>
      <c r="J36" s="105">
        <f>IFERROR(INDEX(lifespans_all!J$2:J$56,MATCH($A36,lifespans_all!$A$2:$A$56,0))*INDEX(SR_mission_minutes!J$2:J$43,MATCH($A36,SR_mission_minutes!$A$2:$A$43)),"-")</f>
        <v>114879</v>
      </c>
      <c r="K36" s="105">
        <f>IFERROR(INDEX(lifespans_all!K$2:K$56,MATCH($A36,lifespans_all!$A$2:$A$56,0))*INDEX(SR_mission_minutes!K$2:K$43,MATCH($A36,SR_mission_minutes!$A$2:$A$43)),"-")</f>
        <v>114879</v>
      </c>
      <c r="L36" s="105">
        <f>IFERROR(INDEX(lifespans_all!L$2:L$56,MATCH($A36,lifespans_all!$A$2:$A$56,0))*INDEX(SR_mission_minutes!L$2:L$43,MATCH($A36,SR_mission_minutes!$A$2:$A$43)),"-")</f>
        <v>114879</v>
      </c>
      <c r="M36" s="105">
        <f>IFERROR(INDEX(lifespans_all!M$2:M$56,MATCH($A36,lifespans_all!$A$2:$A$56,0))*INDEX(SR_mission_minutes!M$2:M$43,MATCH($A36,SR_mission_minutes!$A$2:$A$43)),"-")</f>
        <v>114879</v>
      </c>
      <c r="N36" s="105">
        <f>IFERROR(INDEX(lifespans_all!N$2:N$56,MATCH($A36,lifespans_all!$A$2:$A$56,0))*INDEX(SR_mission_minutes!N$2:N$43,MATCH($A36,SR_mission_minutes!$A$2:$A$43)),"-")</f>
        <v>114879</v>
      </c>
      <c r="O36" s="105">
        <f>IFERROR(INDEX(lifespans_all!O$2:O$56,MATCH($A36,lifespans_all!$A$2:$A$56,0))*INDEX(SR_mission_minutes!O$2:O$43,MATCH($A36,SR_mission_minutes!$A$2:$A$43)),"-")</f>
        <v>114879</v>
      </c>
      <c r="P36" s="105">
        <f>IFERROR(INDEX(lifespans_all!P$2:P$56,MATCH($A36,lifespans_all!$A$2:$A$56,0))*INDEX(SR_mission_minutes!P$2:P$43,MATCH($A36,SR_mission_minutes!$A$2:$A$43)),"-")</f>
        <v>114879</v>
      </c>
      <c r="Q36" s="105">
        <f>IFERROR(INDEX(lifespans_all!Q$2:Q$56,MATCH($A36,lifespans_all!$A$2:$A$56,0))*INDEX(SR_mission_minutes!Q$2:Q$43,MATCH($A36,SR_mission_minutes!$A$2:$A$43)),"-")</f>
        <v>114879</v>
      </c>
      <c r="R36" s="105">
        <f>IFERROR(INDEX(lifespans_all!R$2:R$56,MATCH($A36,lifespans_all!$A$2:$A$56,0))*INDEX(SR_mission_minutes!R$2:R$43,MATCH($A36,SR_mission_minutes!$A$2:$A$43)),"-")</f>
        <v>114879</v>
      </c>
      <c r="S36" s="105">
        <f>IFERROR(INDEX(lifespans_all!S$2:S$56,MATCH($A36,lifespans_all!$A$2:$A$56,0))*INDEX(SR_mission_minutes!S$2:S$43,MATCH($A36,SR_mission_minutes!$A$2:$A$43)),"-")</f>
        <v>114879</v>
      </c>
      <c r="T36" s="105">
        <f>IFERROR(INDEX(lifespans_all!T$2:T$56,MATCH($A36,lifespans_all!$A$2:$A$56,0))*INDEX(SR_mission_minutes!T$2:T$43,MATCH($A36,SR_mission_minutes!$A$2:$A$43)),"-")</f>
        <v>114879</v>
      </c>
      <c r="U36" s="105">
        <f>IFERROR(INDEX(lifespans_all!U$2:U$56,MATCH($A36,lifespans_all!$A$2:$A$56,0))*INDEX(SR_mission_minutes!U$2:U$43,MATCH($A36,SR_mission_minutes!$A$2:$A$43)),"-")</f>
        <v>114879</v>
      </c>
      <c r="V36" s="105">
        <f>IFERROR(INDEX(lifespans_all!V$2:V$56,MATCH($A36,lifespans_all!$A$2:$A$56,0))*INDEX(SR_mission_minutes!V$2:V$43,MATCH($A36,SR_mission_minutes!$A$2:$A$43)),"-")</f>
        <v>114879</v>
      </c>
    </row>
    <row r="37" spans="1:22" x14ac:dyDescent="0.25">
      <c r="A37" s="29" t="s">
        <v>64</v>
      </c>
      <c r="B37" s="29" t="s">
        <v>46</v>
      </c>
      <c r="C37" s="105" t="str">
        <f>IFERROR(INDEX(lifespans_all!C$2:C$56,MATCH($A37,lifespans_all!$A$2:$A$56,0))*INDEX(SR_mission_minutes!C$2:C$43,MATCH($A37,SR_mission_minutes!$A$2:$A$43)),"-")</f>
        <v>-</v>
      </c>
      <c r="D37" s="105" t="str">
        <f>IFERROR(INDEX(lifespans_all!D$2:D$56,MATCH($A37,lifespans_all!$A$2:$A$56,0))*INDEX(SR_mission_minutes!D$2:D$43,MATCH($A37,SR_mission_minutes!$A$2:$A$43)),"-")</f>
        <v>-</v>
      </c>
      <c r="E37" s="105" t="str">
        <f>IFERROR(INDEX(lifespans_all!E$2:E$56,MATCH($A37,lifespans_all!$A$2:$A$56,0))*INDEX(SR_mission_minutes!E$2:E$43,MATCH($A37,SR_mission_minutes!$A$2:$A$43)),"-")</f>
        <v>-</v>
      </c>
      <c r="F37" s="105" t="str">
        <f>IFERROR(INDEX(lifespans_all!F$2:F$56,MATCH($A37,lifespans_all!$A$2:$A$56,0))*INDEX(SR_mission_minutes!F$2:F$43,MATCH($A37,SR_mission_minutes!$A$2:$A$43)),"-")</f>
        <v>-</v>
      </c>
      <c r="G37" s="105" t="str">
        <f>IFERROR(INDEX(lifespans_all!G$2:G$56,MATCH($A37,lifespans_all!$A$2:$A$56,0))*INDEX(SR_mission_minutes!G$2:G$43,MATCH($A37,SR_mission_minutes!$A$2:$A$43)),"-")</f>
        <v>-</v>
      </c>
      <c r="H37" s="105" t="str">
        <f>IFERROR(INDEX(lifespans_all!H$2:H$56,MATCH($A37,lifespans_all!$A$2:$A$56,0))*INDEX(SR_mission_minutes!H$2:H$43,MATCH($A37,SR_mission_minutes!$A$2:$A$43)),"-")</f>
        <v>-</v>
      </c>
      <c r="I37" s="105" t="str">
        <f>IFERROR(INDEX(lifespans_all!I$2:I$56,MATCH($A37,lifespans_all!$A$2:$A$56,0))*INDEX(SR_mission_minutes!I$2:I$43,MATCH($A37,SR_mission_minutes!$A$2:$A$43)),"-")</f>
        <v>-</v>
      </c>
      <c r="J37" s="105" t="str">
        <f>IFERROR(INDEX(lifespans_all!J$2:J$56,MATCH($A37,lifespans_all!$A$2:$A$56,0))*INDEX(SR_mission_minutes!J$2:J$43,MATCH($A37,SR_mission_minutes!$A$2:$A$43)),"-")</f>
        <v>-</v>
      </c>
      <c r="K37" s="105" t="str">
        <f>IFERROR(INDEX(lifespans_all!K$2:K$56,MATCH($A37,lifespans_all!$A$2:$A$56,0))*INDEX(SR_mission_minutes!K$2:K$43,MATCH($A37,SR_mission_minutes!$A$2:$A$43)),"-")</f>
        <v>-</v>
      </c>
      <c r="L37" s="105" t="str">
        <f>IFERROR(INDEX(lifespans_all!L$2:L$56,MATCH($A37,lifespans_all!$A$2:$A$56,0))*INDEX(SR_mission_minutes!L$2:L$43,MATCH($A37,SR_mission_minutes!$A$2:$A$43)),"-")</f>
        <v>-</v>
      </c>
      <c r="M37" s="105" t="str">
        <f>IFERROR(INDEX(lifespans_all!M$2:M$56,MATCH($A37,lifespans_all!$A$2:$A$56,0))*INDEX(SR_mission_minutes!M$2:M$43,MATCH($A37,SR_mission_minutes!$A$2:$A$43)),"-")</f>
        <v>-</v>
      </c>
      <c r="N37" s="105" t="str">
        <f>IFERROR(INDEX(lifespans_all!N$2:N$56,MATCH($A37,lifespans_all!$A$2:$A$56,0))*INDEX(SR_mission_minutes!N$2:N$43,MATCH($A37,SR_mission_minutes!$A$2:$A$43)),"-")</f>
        <v>-</v>
      </c>
      <c r="O37" s="105" t="str">
        <f>IFERROR(INDEX(lifespans_all!O$2:O$56,MATCH($A37,lifespans_all!$A$2:$A$56,0))*INDEX(SR_mission_minutes!O$2:O$43,MATCH($A37,SR_mission_minutes!$A$2:$A$43)),"-")</f>
        <v>-</v>
      </c>
      <c r="P37" s="105" t="str">
        <f>IFERROR(INDEX(lifespans_all!P$2:P$56,MATCH($A37,lifespans_all!$A$2:$A$56,0))*INDEX(SR_mission_minutes!P$2:P$43,MATCH($A37,SR_mission_minutes!$A$2:$A$43)),"-")</f>
        <v>-</v>
      </c>
      <c r="Q37" s="105" t="str">
        <f>IFERROR(INDEX(lifespans_all!Q$2:Q$56,MATCH($A37,lifespans_all!$A$2:$A$56,0))*INDEX(SR_mission_minutes!Q$2:Q$43,MATCH($A37,SR_mission_minutes!$A$2:$A$43)),"-")</f>
        <v>-</v>
      </c>
      <c r="R37" s="105" t="str">
        <f>IFERROR(INDEX(lifespans_all!R$2:R$56,MATCH($A37,lifespans_all!$A$2:$A$56,0))*INDEX(SR_mission_minutes!R$2:R$43,MATCH($A37,SR_mission_minutes!$A$2:$A$43)),"-")</f>
        <v>-</v>
      </c>
      <c r="S37" s="105" t="str">
        <f>IFERROR(INDEX(lifespans_all!S$2:S$56,MATCH($A37,lifespans_all!$A$2:$A$56,0))*INDEX(SR_mission_minutes!S$2:S$43,MATCH($A37,SR_mission_minutes!$A$2:$A$43)),"-")</f>
        <v>-</v>
      </c>
      <c r="T37" s="105" t="str">
        <f>IFERROR(INDEX(lifespans_all!T$2:T$56,MATCH($A37,lifespans_all!$A$2:$A$56,0))*INDEX(SR_mission_minutes!T$2:T$43,MATCH($A37,SR_mission_minutes!$A$2:$A$43)),"-")</f>
        <v>-</v>
      </c>
      <c r="U37" s="105" t="str">
        <f>IFERROR(INDEX(lifespans_all!U$2:U$56,MATCH($A37,lifespans_all!$A$2:$A$56,0))*INDEX(SR_mission_minutes!U$2:U$43,MATCH($A37,SR_mission_minutes!$A$2:$A$43)),"-")</f>
        <v>-</v>
      </c>
      <c r="V37" s="105" t="str">
        <f>IFERROR(INDEX(lifespans_all!V$2:V$56,MATCH($A37,lifespans_all!$A$2:$A$56,0))*INDEX(SR_mission_minutes!V$2:V$43,MATCH($A37,SR_mission_minutes!$A$2:$A$43)),"-")</f>
        <v>-</v>
      </c>
    </row>
    <row r="38" spans="1:22" x14ac:dyDescent="0.25">
      <c r="A38" s="29" t="s">
        <v>65</v>
      </c>
      <c r="B38" s="29" t="s">
        <v>41</v>
      </c>
      <c r="C38" s="105">
        <f>IFERROR(INDEX(lifespans_all!C$2:C$56,MATCH($A38,lifespans_all!$A$2:$A$56,0))*INDEX(SR_mission_minutes!C$2:C$43,MATCH($A38,SR_mission_minutes!$A$2:$A$43)),"-")</f>
        <v>66700.388888888891</v>
      </c>
      <c r="D38" s="105">
        <f>IFERROR(INDEX(lifespans_all!D$2:D$56,MATCH($A38,lifespans_all!$A$2:$A$56,0))*INDEX(SR_mission_minutes!D$2:D$43,MATCH($A38,SR_mission_minutes!$A$2:$A$43)),"-")</f>
        <v>66700.388888888891</v>
      </c>
      <c r="E38" s="105">
        <f>IFERROR(INDEX(lifespans_all!E$2:E$56,MATCH($A38,lifespans_all!$A$2:$A$56,0))*INDEX(SR_mission_minutes!E$2:E$43,MATCH($A38,SR_mission_minutes!$A$2:$A$43)),"-")</f>
        <v>66700.388888888891</v>
      </c>
      <c r="F38" s="105">
        <f>IFERROR(INDEX(lifespans_all!F$2:F$56,MATCH($A38,lifespans_all!$A$2:$A$56,0))*INDEX(SR_mission_minutes!F$2:F$43,MATCH($A38,SR_mission_minutes!$A$2:$A$43)),"-")</f>
        <v>66700.388888888891</v>
      </c>
      <c r="G38" s="105">
        <f>IFERROR(INDEX(lifespans_all!G$2:G$56,MATCH($A38,lifespans_all!$A$2:$A$56,0))*INDEX(SR_mission_minutes!G$2:G$43,MATCH($A38,SR_mission_minutes!$A$2:$A$43)),"-")</f>
        <v>66700.388888888891</v>
      </c>
      <c r="H38" s="105">
        <f>IFERROR(INDEX(lifespans_all!H$2:H$56,MATCH($A38,lifespans_all!$A$2:$A$56,0))*INDEX(SR_mission_minutes!H$2:H$43,MATCH($A38,SR_mission_minutes!$A$2:$A$43)),"-")</f>
        <v>66700.388888888891</v>
      </c>
      <c r="I38" s="105">
        <f>IFERROR(INDEX(lifespans_all!I$2:I$56,MATCH($A38,lifespans_all!$A$2:$A$56,0))*INDEX(SR_mission_minutes!I$2:I$43,MATCH($A38,SR_mission_minutes!$A$2:$A$43)),"-")</f>
        <v>66700.388888888891</v>
      </c>
      <c r="J38" s="105">
        <f>IFERROR(INDEX(lifespans_all!J$2:J$56,MATCH($A38,lifespans_all!$A$2:$A$56,0))*INDEX(SR_mission_minutes!J$2:J$43,MATCH($A38,SR_mission_minutes!$A$2:$A$43)),"-")</f>
        <v>0</v>
      </c>
      <c r="K38" s="105">
        <f>IFERROR(INDEX(lifespans_all!K$2:K$56,MATCH($A38,lifespans_all!$A$2:$A$56,0))*INDEX(SR_mission_minutes!K$2:K$43,MATCH($A38,SR_mission_minutes!$A$2:$A$43)),"-")</f>
        <v>0</v>
      </c>
      <c r="L38" s="105">
        <f>IFERROR(INDEX(lifespans_all!L$2:L$56,MATCH($A38,lifespans_all!$A$2:$A$56,0))*INDEX(SR_mission_minutes!L$2:L$43,MATCH($A38,SR_mission_minutes!$A$2:$A$43)),"-")</f>
        <v>0</v>
      </c>
      <c r="M38" s="105">
        <f>IFERROR(INDEX(lifespans_all!M$2:M$56,MATCH($A38,lifespans_all!$A$2:$A$56,0))*INDEX(SR_mission_minutes!M$2:M$43,MATCH($A38,SR_mission_minutes!$A$2:$A$43)),"-")</f>
        <v>0</v>
      </c>
      <c r="N38" s="105">
        <f>IFERROR(INDEX(lifespans_all!N$2:N$56,MATCH($A38,lifespans_all!$A$2:$A$56,0))*INDEX(SR_mission_minutes!N$2:N$43,MATCH($A38,SR_mission_minutes!$A$2:$A$43)),"-")</f>
        <v>0</v>
      </c>
      <c r="O38" s="105">
        <f>IFERROR(INDEX(lifespans_all!O$2:O$56,MATCH($A38,lifespans_all!$A$2:$A$56,0))*INDEX(SR_mission_minutes!O$2:O$43,MATCH($A38,SR_mission_minutes!$A$2:$A$43)),"-")</f>
        <v>0</v>
      </c>
      <c r="P38" s="105">
        <f>IFERROR(INDEX(lifespans_all!P$2:P$56,MATCH($A38,lifespans_all!$A$2:$A$56,0))*INDEX(SR_mission_minutes!P$2:P$43,MATCH($A38,SR_mission_minutes!$A$2:$A$43)),"-")</f>
        <v>0</v>
      </c>
      <c r="Q38" s="105">
        <f>IFERROR(INDEX(lifespans_all!Q$2:Q$56,MATCH($A38,lifespans_all!$A$2:$A$56,0))*INDEX(SR_mission_minutes!Q$2:Q$43,MATCH($A38,SR_mission_minutes!$A$2:$A$43)),"-")</f>
        <v>0</v>
      </c>
      <c r="R38" s="105">
        <f>IFERROR(INDEX(lifespans_all!R$2:R$56,MATCH($A38,lifespans_all!$A$2:$A$56,0))*INDEX(SR_mission_minutes!R$2:R$43,MATCH($A38,SR_mission_minutes!$A$2:$A$43)),"-")</f>
        <v>0</v>
      </c>
      <c r="S38" s="105">
        <f>IFERROR(INDEX(lifespans_all!S$2:S$56,MATCH($A38,lifespans_all!$A$2:$A$56,0))*INDEX(SR_mission_minutes!S$2:S$43,MATCH($A38,SR_mission_minutes!$A$2:$A$43)),"-")</f>
        <v>0</v>
      </c>
      <c r="T38" s="105">
        <f>IFERROR(INDEX(lifespans_all!T$2:T$56,MATCH($A38,lifespans_all!$A$2:$A$56,0))*INDEX(SR_mission_minutes!T$2:T$43,MATCH($A38,SR_mission_minutes!$A$2:$A$43)),"-")</f>
        <v>0</v>
      </c>
      <c r="U38" s="105">
        <f>IFERROR(INDEX(lifespans_all!U$2:U$56,MATCH($A38,lifespans_all!$A$2:$A$56,0))*INDEX(SR_mission_minutes!U$2:U$43,MATCH($A38,SR_mission_minutes!$A$2:$A$43)),"-")</f>
        <v>0</v>
      </c>
      <c r="V38" s="105">
        <f>IFERROR(INDEX(lifespans_all!V$2:V$56,MATCH($A38,lifespans_all!$A$2:$A$56,0))*INDEX(SR_mission_minutes!V$2:V$43,MATCH($A38,SR_mission_minutes!$A$2:$A$43)),"-")</f>
        <v>0</v>
      </c>
    </row>
    <row r="39" spans="1:22" x14ac:dyDescent="0.25">
      <c r="A39" s="29" t="s">
        <v>35</v>
      </c>
      <c r="B39" s="29" t="s">
        <v>40</v>
      </c>
      <c r="C39" s="105">
        <f>IFERROR(INDEX(lifespans_all!C$2:C$56,MATCH($A39,lifespans_all!$A$2:$A$56,0))*INDEX(SR_mission_minutes!C$2:C$43,MATCH($A39,SR_mission_minutes!$A$2:$A$43)),"-")</f>
        <v>2364.2857142857142</v>
      </c>
      <c r="D39" s="105">
        <f>IFERROR(INDEX(lifespans_all!D$2:D$56,MATCH($A39,lifespans_all!$A$2:$A$56,0))*INDEX(SR_mission_minutes!D$2:D$43,MATCH($A39,SR_mission_minutes!$A$2:$A$43)),"-")</f>
        <v>2364.2857142857142</v>
      </c>
      <c r="E39" s="105">
        <f>IFERROR(INDEX(lifespans_all!E$2:E$56,MATCH($A39,lifespans_all!$A$2:$A$56,0))*INDEX(SR_mission_minutes!E$2:E$43,MATCH($A39,SR_mission_minutes!$A$2:$A$43)),"-")</f>
        <v>0</v>
      </c>
      <c r="F39" s="105">
        <f>IFERROR(INDEX(lifespans_all!F$2:F$56,MATCH($A39,lifespans_all!$A$2:$A$56,0))*INDEX(SR_mission_minutes!F$2:F$43,MATCH($A39,SR_mission_minutes!$A$2:$A$43)),"-")</f>
        <v>0</v>
      </c>
      <c r="G39" s="105">
        <f>IFERROR(INDEX(lifespans_all!G$2:G$56,MATCH($A39,lifespans_all!$A$2:$A$56,0))*INDEX(SR_mission_minutes!G$2:G$43,MATCH($A39,SR_mission_minutes!$A$2:$A$43)),"-")</f>
        <v>0</v>
      </c>
      <c r="H39" s="105">
        <f>IFERROR(INDEX(lifespans_all!H$2:H$56,MATCH($A39,lifespans_all!$A$2:$A$56,0))*INDEX(SR_mission_minutes!H$2:H$43,MATCH($A39,SR_mission_minutes!$A$2:$A$43)),"-")</f>
        <v>0</v>
      </c>
      <c r="I39" s="105">
        <f>IFERROR(INDEX(lifespans_all!I$2:I$56,MATCH($A39,lifespans_all!$A$2:$A$56,0))*INDEX(SR_mission_minutes!I$2:I$43,MATCH($A39,SR_mission_minutes!$A$2:$A$43)),"-")</f>
        <v>0</v>
      </c>
      <c r="J39" s="105">
        <f>IFERROR(INDEX(lifespans_all!J$2:J$56,MATCH($A39,lifespans_all!$A$2:$A$56,0))*INDEX(SR_mission_minutes!J$2:J$43,MATCH($A39,SR_mission_minutes!$A$2:$A$43)),"-")</f>
        <v>0</v>
      </c>
      <c r="K39" s="105">
        <f>IFERROR(INDEX(lifespans_all!K$2:K$56,MATCH($A39,lifespans_all!$A$2:$A$56,0))*INDEX(SR_mission_minutes!K$2:K$43,MATCH($A39,SR_mission_minutes!$A$2:$A$43)),"-")</f>
        <v>0</v>
      </c>
      <c r="L39" s="105">
        <f>IFERROR(INDEX(lifespans_all!L$2:L$56,MATCH($A39,lifespans_all!$A$2:$A$56,0))*INDEX(SR_mission_minutes!L$2:L$43,MATCH($A39,SR_mission_minutes!$A$2:$A$43)),"-")</f>
        <v>0</v>
      </c>
      <c r="M39" s="105">
        <f>IFERROR(INDEX(lifespans_all!M$2:M$56,MATCH($A39,lifespans_all!$A$2:$A$56,0))*INDEX(SR_mission_minutes!M$2:M$43,MATCH($A39,SR_mission_minutes!$A$2:$A$43)),"-")</f>
        <v>0</v>
      </c>
      <c r="N39" s="105">
        <f>IFERROR(INDEX(lifespans_all!N$2:N$56,MATCH($A39,lifespans_all!$A$2:$A$56,0))*INDEX(SR_mission_minutes!N$2:N$43,MATCH($A39,SR_mission_minutes!$A$2:$A$43)),"-")</f>
        <v>0</v>
      </c>
      <c r="O39" s="105">
        <f>IFERROR(INDEX(lifespans_all!O$2:O$56,MATCH($A39,lifespans_all!$A$2:$A$56,0))*INDEX(SR_mission_minutes!O$2:O$43,MATCH($A39,SR_mission_minutes!$A$2:$A$43)),"-")</f>
        <v>0</v>
      </c>
      <c r="P39" s="105">
        <f>IFERROR(INDEX(lifespans_all!P$2:P$56,MATCH($A39,lifespans_all!$A$2:$A$56,0))*INDEX(SR_mission_minutes!P$2:P$43,MATCH($A39,SR_mission_minutes!$A$2:$A$43)),"-")</f>
        <v>0</v>
      </c>
      <c r="Q39" s="105">
        <f>IFERROR(INDEX(lifespans_all!Q$2:Q$56,MATCH($A39,lifespans_all!$A$2:$A$56,0))*INDEX(SR_mission_minutes!Q$2:Q$43,MATCH($A39,SR_mission_minutes!$A$2:$A$43)),"-")</f>
        <v>0</v>
      </c>
      <c r="R39" s="105">
        <f>IFERROR(INDEX(lifespans_all!R$2:R$56,MATCH($A39,lifespans_all!$A$2:$A$56,0))*INDEX(SR_mission_minutes!R$2:R$43,MATCH($A39,SR_mission_minutes!$A$2:$A$43)),"-")</f>
        <v>0</v>
      </c>
      <c r="S39" s="105">
        <f>IFERROR(INDEX(lifespans_all!S$2:S$56,MATCH($A39,lifespans_all!$A$2:$A$56,0))*INDEX(SR_mission_minutes!S$2:S$43,MATCH($A39,SR_mission_minutes!$A$2:$A$43)),"-")</f>
        <v>0</v>
      </c>
      <c r="T39" s="105">
        <f>IFERROR(INDEX(lifespans_all!T$2:T$56,MATCH($A39,lifespans_all!$A$2:$A$56,0))*INDEX(SR_mission_minutes!T$2:T$43,MATCH($A39,SR_mission_minutes!$A$2:$A$43)),"-")</f>
        <v>0</v>
      </c>
      <c r="U39" s="105">
        <f>IFERROR(INDEX(lifespans_all!U$2:U$56,MATCH($A39,lifespans_all!$A$2:$A$56,0))*INDEX(SR_mission_minutes!U$2:U$43,MATCH($A39,SR_mission_minutes!$A$2:$A$43)),"-")</f>
        <v>0</v>
      </c>
      <c r="V39" s="105">
        <f>IFERROR(INDEX(lifespans_all!V$2:V$56,MATCH($A39,lifespans_all!$A$2:$A$56,0))*INDEX(SR_mission_minutes!V$2:V$43,MATCH($A39,SR_mission_minutes!$A$2:$A$43)),"-")</f>
        <v>0</v>
      </c>
    </row>
    <row r="40" spans="1:22" x14ac:dyDescent="0.25">
      <c r="A40" s="29" t="s">
        <v>36</v>
      </c>
      <c r="B40" s="29" t="s">
        <v>40</v>
      </c>
      <c r="C40" s="105">
        <f>IFERROR(INDEX(lifespans_all!C$2:C$56,MATCH($A40,lifespans_all!$A$2:$A$56,0))*INDEX(SR_mission_minutes!C$2:C$43,MATCH($A40,SR_mission_minutes!$A$2:$A$43)),"-")</f>
        <v>2364.2857142857142</v>
      </c>
      <c r="D40" s="105">
        <f>IFERROR(INDEX(lifespans_all!D$2:D$56,MATCH($A40,lifespans_all!$A$2:$A$56,0))*INDEX(SR_mission_minutes!D$2:D$43,MATCH($A40,SR_mission_minutes!$A$2:$A$43)),"-")</f>
        <v>2364.2857142857142</v>
      </c>
      <c r="E40" s="105">
        <f>IFERROR(INDEX(lifespans_all!E$2:E$56,MATCH($A40,lifespans_all!$A$2:$A$56,0))*INDEX(SR_mission_minutes!E$2:E$43,MATCH($A40,SR_mission_minutes!$A$2:$A$43)),"-")</f>
        <v>0</v>
      </c>
      <c r="F40" s="105">
        <f>IFERROR(INDEX(lifespans_all!F$2:F$56,MATCH($A40,lifespans_all!$A$2:$A$56,0))*INDEX(SR_mission_minutes!F$2:F$43,MATCH($A40,SR_mission_minutes!$A$2:$A$43)),"-")</f>
        <v>0</v>
      </c>
      <c r="G40" s="105">
        <f>IFERROR(INDEX(lifespans_all!G$2:G$56,MATCH($A40,lifespans_all!$A$2:$A$56,0))*INDEX(SR_mission_minutes!G$2:G$43,MATCH($A40,SR_mission_minutes!$A$2:$A$43)),"-")</f>
        <v>0</v>
      </c>
      <c r="H40" s="105">
        <f>IFERROR(INDEX(lifespans_all!H$2:H$56,MATCH($A40,lifespans_all!$A$2:$A$56,0))*INDEX(SR_mission_minutes!H$2:H$43,MATCH($A40,SR_mission_minutes!$A$2:$A$43)),"-")</f>
        <v>0</v>
      </c>
      <c r="I40" s="105">
        <f>IFERROR(INDEX(lifespans_all!I$2:I$56,MATCH($A40,lifespans_all!$A$2:$A$56,0))*INDEX(SR_mission_minutes!I$2:I$43,MATCH($A40,SR_mission_minutes!$A$2:$A$43)),"-")</f>
        <v>0</v>
      </c>
      <c r="J40" s="105">
        <f>IFERROR(INDEX(lifespans_all!J$2:J$56,MATCH($A40,lifespans_all!$A$2:$A$56,0))*INDEX(SR_mission_minutes!J$2:J$43,MATCH($A40,SR_mission_minutes!$A$2:$A$43)),"-")</f>
        <v>0</v>
      </c>
      <c r="K40" s="105">
        <f>IFERROR(INDEX(lifespans_all!K$2:K$56,MATCH($A40,lifespans_all!$A$2:$A$56,0))*INDEX(SR_mission_minutes!K$2:K$43,MATCH($A40,SR_mission_minutes!$A$2:$A$43)),"-")</f>
        <v>0</v>
      </c>
      <c r="L40" s="105">
        <f>IFERROR(INDEX(lifespans_all!L$2:L$56,MATCH($A40,lifespans_all!$A$2:$A$56,0))*INDEX(SR_mission_minutes!L$2:L$43,MATCH($A40,SR_mission_minutes!$A$2:$A$43)),"-")</f>
        <v>0</v>
      </c>
      <c r="M40" s="105">
        <f>IFERROR(INDEX(lifespans_all!M$2:M$56,MATCH($A40,lifespans_all!$A$2:$A$56,0))*INDEX(SR_mission_minutes!M$2:M$43,MATCH($A40,SR_mission_minutes!$A$2:$A$43)),"-")</f>
        <v>0</v>
      </c>
      <c r="N40" s="105">
        <f>IFERROR(INDEX(lifespans_all!N$2:N$56,MATCH($A40,lifespans_all!$A$2:$A$56,0))*INDEX(SR_mission_minutes!N$2:N$43,MATCH($A40,SR_mission_minutes!$A$2:$A$43)),"-")</f>
        <v>0</v>
      </c>
      <c r="O40" s="105">
        <f>IFERROR(INDEX(lifespans_all!O$2:O$56,MATCH($A40,lifespans_all!$A$2:$A$56,0))*INDEX(SR_mission_minutes!O$2:O$43,MATCH($A40,SR_mission_minutes!$A$2:$A$43)),"-")</f>
        <v>0</v>
      </c>
      <c r="P40" s="105">
        <f>IFERROR(INDEX(lifespans_all!P$2:P$56,MATCH($A40,lifespans_all!$A$2:$A$56,0))*INDEX(SR_mission_minutes!P$2:P$43,MATCH($A40,SR_mission_minutes!$A$2:$A$43)),"-")</f>
        <v>0</v>
      </c>
      <c r="Q40" s="105">
        <f>IFERROR(INDEX(lifespans_all!Q$2:Q$56,MATCH($A40,lifespans_all!$A$2:$A$56,0))*INDEX(SR_mission_minutes!Q$2:Q$43,MATCH($A40,SR_mission_minutes!$A$2:$A$43)),"-")</f>
        <v>0</v>
      </c>
      <c r="R40" s="105">
        <f>IFERROR(INDEX(lifespans_all!R$2:R$56,MATCH($A40,lifespans_all!$A$2:$A$56,0))*INDEX(SR_mission_minutes!R$2:R$43,MATCH($A40,SR_mission_minutes!$A$2:$A$43)),"-")</f>
        <v>0</v>
      </c>
      <c r="S40" s="105">
        <f>IFERROR(INDEX(lifespans_all!S$2:S$56,MATCH($A40,lifespans_all!$A$2:$A$56,0))*INDEX(SR_mission_minutes!S$2:S$43,MATCH($A40,SR_mission_minutes!$A$2:$A$43)),"-")</f>
        <v>0</v>
      </c>
      <c r="T40" s="105">
        <f>IFERROR(INDEX(lifespans_all!T$2:T$56,MATCH($A40,lifespans_all!$A$2:$A$56,0))*INDEX(SR_mission_minutes!T$2:T$43,MATCH($A40,SR_mission_minutes!$A$2:$A$43)),"-")</f>
        <v>0</v>
      </c>
      <c r="U40" s="105">
        <f>IFERROR(INDEX(lifespans_all!U$2:U$56,MATCH($A40,lifespans_all!$A$2:$A$56,0))*INDEX(SR_mission_minutes!U$2:U$43,MATCH($A40,SR_mission_minutes!$A$2:$A$43)),"-")</f>
        <v>0</v>
      </c>
      <c r="V40" s="105">
        <f>IFERROR(INDEX(lifespans_all!V$2:V$56,MATCH($A40,lifespans_all!$A$2:$A$56,0))*INDEX(SR_mission_minutes!V$2:V$43,MATCH($A40,SR_mission_minutes!$A$2:$A$43)),"-")</f>
        <v>0</v>
      </c>
    </row>
    <row r="41" spans="1:22" x14ac:dyDescent="0.25">
      <c r="A41" s="29" t="s">
        <v>37</v>
      </c>
      <c r="B41" s="29" t="s">
        <v>40</v>
      </c>
      <c r="C41" s="105">
        <f>IFERROR(INDEX(lifespans_all!C$2:C$56,MATCH($A41,lifespans_all!$A$2:$A$56,0))*INDEX(SR_mission_minutes!C$2:C$43,MATCH($A41,SR_mission_minutes!$A$2:$A$43)),"-")</f>
        <v>2364.2857142857142</v>
      </c>
      <c r="D41" s="105">
        <f>IFERROR(INDEX(lifespans_all!D$2:D$56,MATCH($A41,lifespans_all!$A$2:$A$56,0))*INDEX(SR_mission_minutes!D$2:D$43,MATCH($A41,SR_mission_minutes!$A$2:$A$43)),"-")</f>
        <v>2364.2857142857142</v>
      </c>
      <c r="E41" s="105">
        <f>IFERROR(INDEX(lifespans_all!E$2:E$56,MATCH($A41,lifespans_all!$A$2:$A$56,0))*INDEX(SR_mission_minutes!E$2:E$43,MATCH($A41,SR_mission_minutes!$A$2:$A$43)),"-")</f>
        <v>0</v>
      </c>
      <c r="F41" s="105">
        <f>IFERROR(INDEX(lifespans_all!F$2:F$56,MATCH($A41,lifespans_all!$A$2:$A$56,0))*INDEX(SR_mission_minutes!F$2:F$43,MATCH($A41,SR_mission_minutes!$A$2:$A$43)),"-")</f>
        <v>0</v>
      </c>
      <c r="G41" s="105">
        <f>IFERROR(INDEX(lifespans_all!G$2:G$56,MATCH($A41,lifespans_all!$A$2:$A$56,0))*INDEX(SR_mission_minutes!G$2:G$43,MATCH($A41,SR_mission_minutes!$A$2:$A$43)),"-")</f>
        <v>0</v>
      </c>
      <c r="H41" s="105">
        <f>IFERROR(INDEX(lifespans_all!H$2:H$56,MATCH($A41,lifespans_all!$A$2:$A$56,0))*INDEX(SR_mission_minutes!H$2:H$43,MATCH($A41,SR_mission_minutes!$A$2:$A$43)),"-")</f>
        <v>0</v>
      </c>
      <c r="I41" s="105">
        <f>IFERROR(INDEX(lifespans_all!I$2:I$56,MATCH($A41,lifespans_all!$A$2:$A$56,0))*INDEX(SR_mission_minutes!I$2:I$43,MATCH($A41,SR_mission_minutes!$A$2:$A$43)),"-")</f>
        <v>0</v>
      </c>
      <c r="J41" s="105">
        <f>IFERROR(INDEX(lifespans_all!J$2:J$56,MATCH($A41,lifespans_all!$A$2:$A$56,0))*INDEX(SR_mission_minutes!J$2:J$43,MATCH($A41,SR_mission_minutes!$A$2:$A$43)),"-")</f>
        <v>0</v>
      </c>
      <c r="K41" s="105">
        <f>IFERROR(INDEX(lifespans_all!K$2:K$56,MATCH($A41,lifespans_all!$A$2:$A$56,0))*INDEX(SR_mission_minutes!K$2:K$43,MATCH($A41,SR_mission_minutes!$A$2:$A$43)),"-")</f>
        <v>0</v>
      </c>
      <c r="L41" s="105">
        <f>IFERROR(INDEX(lifespans_all!L$2:L$56,MATCH($A41,lifespans_all!$A$2:$A$56,0))*INDEX(SR_mission_minutes!L$2:L$43,MATCH($A41,SR_mission_minutes!$A$2:$A$43)),"-")</f>
        <v>0</v>
      </c>
      <c r="M41" s="105">
        <f>IFERROR(INDEX(lifespans_all!M$2:M$56,MATCH($A41,lifespans_all!$A$2:$A$56,0))*INDEX(SR_mission_minutes!M$2:M$43,MATCH($A41,SR_mission_minutes!$A$2:$A$43)),"-")</f>
        <v>0</v>
      </c>
      <c r="N41" s="105">
        <f>IFERROR(INDEX(lifespans_all!N$2:N$56,MATCH($A41,lifespans_all!$A$2:$A$56,0))*INDEX(SR_mission_minutes!N$2:N$43,MATCH($A41,SR_mission_minutes!$A$2:$A$43)),"-")</f>
        <v>0</v>
      </c>
      <c r="O41" s="105">
        <f>IFERROR(INDEX(lifespans_all!O$2:O$56,MATCH($A41,lifespans_all!$A$2:$A$56,0))*INDEX(SR_mission_minutes!O$2:O$43,MATCH($A41,SR_mission_minutes!$A$2:$A$43)),"-")</f>
        <v>0</v>
      </c>
      <c r="P41" s="105">
        <f>IFERROR(INDEX(lifespans_all!P$2:P$56,MATCH($A41,lifespans_all!$A$2:$A$56,0))*INDEX(SR_mission_minutes!P$2:P$43,MATCH($A41,SR_mission_minutes!$A$2:$A$43)),"-")</f>
        <v>0</v>
      </c>
      <c r="Q41" s="105">
        <f>IFERROR(INDEX(lifespans_all!Q$2:Q$56,MATCH($A41,lifespans_all!$A$2:$A$56,0))*INDEX(SR_mission_minutes!Q$2:Q$43,MATCH($A41,SR_mission_minutes!$A$2:$A$43)),"-")</f>
        <v>0</v>
      </c>
      <c r="R41" s="105">
        <f>IFERROR(INDEX(lifespans_all!R$2:R$56,MATCH($A41,lifespans_all!$A$2:$A$56,0))*INDEX(SR_mission_minutes!R$2:R$43,MATCH($A41,SR_mission_minutes!$A$2:$A$43)),"-")</f>
        <v>0</v>
      </c>
      <c r="S41" s="105">
        <f>IFERROR(INDEX(lifespans_all!S$2:S$56,MATCH($A41,lifespans_all!$A$2:$A$56,0))*INDEX(SR_mission_minutes!S$2:S$43,MATCH($A41,SR_mission_minutes!$A$2:$A$43)),"-")</f>
        <v>0</v>
      </c>
      <c r="T41" s="105">
        <f>IFERROR(INDEX(lifespans_all!T$2:T$56,MATCH($A41,lifespans_all!$A$2:$A$56,0))*INDEX(SR_mission_minutes!T$2:T$43,MATCH($A41,SR_mission_minutes!$A$2:$A$43)),"-")</f>
        <v>0</v>
      </c>
      <c r="U41" s="105">
        <f>IFERROR(INDEX(lifespans_all!U$2:U$56,MATCH($A41,lifespans_all!$A$2:$A$56,0))*INDEX(SR_mission_minutes!U$2:U$43,MATCH($A41,SR_mission_minutes!$A$2:$A$43)),"-")</f>
        <v>0</v>
      </c>
      <c r="V41" s="105">
        <f>IFERROR(INDEX(lifespans_all!V$2:V$56,MATCH($A41,lifespans_all!$A$2:$A$56,0))*INDEX(SR_mission_minutes!V$2:V$43,MATCH($A41,SR_mission_minutes!$A$2:$A$43)),"-")</f>
        <v>0</v>
      </c>
    </row>
    <row r="42" spans="1:22" x14ac:dyDescent="0.25">
      <c r="A42" s="29" t="s">
        <v>38</v>
      </c>
      <c r="B42" s="29" t="s">
        <v>41</v>
      </c>
      <c r="C42" s="105">
        <f>IFERROR(INDEX(lifespans_all!C$2:C$56,MATCH($A42,lifespans_all!$A$2:$A$56,0))*INDEX(SR_mission_minutes!C$2:C$43,MATCH($A42,SR_mission_minutes!$A$2:$A$43)),"-")</f>
        <v>66700.388888888891</v>
      </c>
      <c r="D42" s="105">
        <f>IFERROR(INDEX(lifespans_all!D$2:D$56,MATCH($A42,lifespans_all!$A$2:$A$56,0))*INDEX(SR_mission_minutes!D$2:D$43,MATCH($A42,SR_mission_minutes!$A$2:$A$43)),"-")</f>
        <v>0</v>
      </c>
      <c r="E42" s="105">
        <f>IFERROR(INDEX(lifespans_all!E$2:E$56,MATCH($A42,lifespans_all!$A$2:$A$56,0))*INDEX(SR_mission_minutes!E$2:E$43,MATCH($A42,SR_mission_minutes!$A$2:$A$43)),"-")</f>
        <v>0</v>
      </c>
      <c r="F42" s="105">
        <f>IFERROR(INDEX(lifespans_all!F$2:F$56,MATCH($A42,lifespans_all!$A$2:$A$56,0))*INDEX(SR_mission_minutes!F$2:F$43,MATCH($A42,SR_mission_minutes!$A$2:$A$43)),"-")</f>
        <v>0</v>
      </c>
      <c r="G42" s="105">
        <f>IFERROR(INDEX(lifespans_all!G$2:G$56,MATCH($A42,lifespans_all!$A$2:$A$56,0))*INDEX(SR_mission_minutes!G$2:G$43,MATCH($A42,SR_mission_minutes!$A$2:$A$43)),"-")</f>
        <v>0</v>
      </c>
      <c r="H42" s="105">
        <f>IFERROR(INDEX(lifespans_all!H$2:H$56,MATCH($A42,lifespans_all!$A$2:$A$56,0))*INDEX(SR_mission_minutes!H$2:H$43,MATCH($A42,SR_mission_minutes!$A$2:$A$43)),"-")</f>
        <v>0</v>
      </c>
      <c r="I42" s="105">
        <f>IFERROR(INDEX(lifespans_all!I$2:I$56,MATCH($A42,lifespans_all!$A$2:$A$56,0))*INDEX(SR_mission_minutes!I$2:I$43,MATCH($A42,SR_mission_minutes!$A$2:$A$43)),"-")</f>
        <v>0</v>
      </c>
      <c r="J42" s="105">
        <f>IFERROR(INDEX(lifespans_all!J$2:J$56,MATCH($A42,lifespans_all!$A$2:$A$56,0))*INDEX(SR_mission_minutes!J$2:J$43,MATCH($A42,SR_mission_minutes!$A$2:$A$43)),"-")</f>
        <v>0</v>
      </c>
      <c r="K42" s="105">
        <f>IFERROR(INDEX(lifespans_all!K$2:K$56,MATCH($A42,lifespans_all!$A$2:$A$56,0))*INDEX(SR_mission_minutes!K$2:K$43,MATCH($A42,SR_mission_minutes!$A$2:$A$43)),"-")</f>
        <v>0</v>
      </c>
      <c r="L42" s="105">
        <f>IFERROR(INDEX(lifespans_all!L$2:L$56,MATCH($A42,lifespans_all!$A$2:$A$56,0))*INDEX(SR_mission_minutes!L$2:L$43,MATCH($A42,SR_mission_minutes!$A$2:$A$43)),"-")</f>
        <v>0</v>
      </c>
      <c r="M42" s="105">
        <f>IFERROR(INDEX(lifespans_all!M$2:M$56,MATCH($A42,lifespans_all!$A$2:$A$56,0))*INDEX(SR_mission_minutes!M$2:M$43,MATCH($A42,SR_mission_minutes!$A$2:$A$43)),"-")</f>
        <v>0</v>
      </c>
      <c r="N42" s="105">
        <f>IFERROR(INDEX(lifespans_all!N$2:N$56,MATCH($A42,lifespans_all!$A$2:$A$56,0))*INDEX(SR_mission_minutes!N$2:N$43,MATCH($A42,SR_mission_minutes!$A$2:$A$43)),"-")</f>
        <v>0</v>
      </c>
      <c r="O42" s="105">
        <f>IFERROR(INDEX(lifespans_all!O$2:O$56,MATCH($A42,lifespans_all!$A$2:$A$56,0))*INDEX(SR_mission_minutes!O$2:O$43,MATCH($A42,SR_mission_minutes!$A$2:$A$43)),"-")</f>
        <v>0</v>
      </c>
      <c r="P42" s="105">
        <f>IFERROR(INDEX(lifespans_all!P$2:P$56,MATCH($A42,lifespans_all!$A$2:$A$56,0))*INDEX(SR_mission_minutes!P$2:P$43,MATCH($A42,SR_mission_minutes!$A$2:$A$43)),"-")</f>
        <v>0</v>
      </c>
      <c r="Q42" s="105">
        <f>IFERROR(INDEX(lifespans_all!Q$2:Q$56,MATCH($A42,lifespans_all!$A$2:$A$56,0))*INDEX(SR_mission_minutes!Q$2:Q$43,MATCH($A42,SR_mission_minutes!$A$2:$A$43)),"-")</f>
        <v>0</v>
      </c>
      <c r="R42" s="105">
        <f>IFERROR(INDEX(lifespans_all!R$2:R$56,MATCH($A42,lifespans_all!$A$2:$A$56,0))*INDEX(SR_mission_minutes!R$2:R$43,MATCH($A42,SR_mission_minutes!$A$2:$A$43)),"-")</f>
        <v>0</v>
      </c>
      <c r="S42" s="105">
        <f>IFERROR(INDEX(lifespans_all!S$2:S$56,MATCH($A42,lifespans_all!$A$2:$A$56,0))*INDEX(SR_mission_minutes!S$2:S$43,MATCH($A42,SR_mission_minutes!$A$2:$A$43)),"-")</f>
        <v>0</v>
      </c>
      <c r="T42" s="105">
        <f>IFERROR(INDEX(lifespans_all!T$2:T$56,MATCH($A42,lifespans_all!$A$2:$A$56,0))*INDEX(SR_mission_minutes!T$2:T$43,MATCH($A42,SR_mission_minutes!$A$2:$A$43)),"-")</f>
        <v>0</v>
      </c>
      <c r="U42" s="105">
        <f>IFERROR(INDEX(lifespans_all!U$2:U$56,MATCH($A42,lifespans_all!$A$2:$A$56,0))*INDEX(SR_mission_minutes!U$2:U$43,MATCH($A42,SR_mission_minutes!$A$2:$A$43)),"-")</f>
        <v>0</v>
      </c>
      <c r="V42" s="105">
        <f>IFERROR(INDEX(lifespans_all!V$2:V$56,MATCH($A42,lifespans_all!$A$2:$A$56,0))*INDEX(SR_mission_minutes!V$2:V$43,MATCH($A42,SR_mission_minutes!$A$2:$A$43)),"-")</f>
        <v>0</v>
      </c>
    </row>
    <row r="43" spans="1:22" x14ac:dyDescent="0.25">
      <c r="A43" s="29" t="s">
        <v>39</v>
      </c>
      <c r="B43" s="29" t="s">
        <v>41</v>
      </c>
      <c r="C43" s="105">
        <f>IFERROR(INDEX(lifespans_all!C$2:C$56,MATCH($A43,lifespans_all!$A$2:$A$56,0))*INDEX(SR_mission_minutes!C$2:C$43,MATCH($A43,SR_mission_minutes!$A$2:$A$43)),"-")</f>
        <v>33739.333333333336</v>
      </c>
      <c r="D43" s="105">
        <f>IFERROR(INDEX(lifespans_all!D$2:D$56,MATCH($A43,lifespans_all!$A$2:$A$56,0))*INDEX(SR_mission_minutes!D$2:D$43,MATCH($A43,SR_mission_minutes!$A$2:$A$43)),"-")</f>
        <v>33739.333333333336</v>
      </c>
      <c r="E43" s="105">
        <f>IFERROR(INDEX(lifespans_all!E$2:E$56,MATCH($A43,lifespans_all!$A$2:$A$56,0))*INDEX(SR_mission_minutes!E$2:E$43,MATCH($A43,SR_mission_minutes!$A$2:$A$43)),"-")</f>
        <v>33739.333333333336</v>
      </c>
      <c r="F43" s="105">
        <f>IFERROR(INDEX(lifespans_all!F$2:F$56,MATCH($A43,lifespans_all!$A$2:$A$56,0))*INDEX(SR_mission_minutes!F$2:F$43,MATCH($A43,SR_mission_minutes!$A$2:$A$43)),"-")</f>
        <v>33739.333333333336</v>
      </c>
      <c r="G43" s="105">
        <f>IFERROR(INDEX(lifespans_all!G$2:G$56,MATCH($A43,lifespans_all!$A$2:$A$56,0))*INDEX(SR_mission_minutes!G$2:G$43,MATCH($A43,SR_mission_minutes!$A$2:$A$43)),"-")</f>
        <v>0</v>
      </c>
      <c r="H43" s="105">
        <f>IFERROR(INDEX(lifespans_all!H$2:H$56,MATCH($A43,lifespans_all!$A$2:$A$56,0))*INDEX(SR_mission_minutes!H$2:H$43,MATCH($A43,SR_mission_minutes!$A$2:$A$43)),"-")</f>
        <v>0</v>
      </c>
      <c r="I43" s="105">
        <f>IFERROR(INDEX(lifespans_all!I$2:I$56,MATCH($A43,lifespans_all!$A$2:$A$56,0))*INDEX(SR_mission_minutes!I$2:I$43,MATCH($A43,SR_mission_minutes!$A$2:$A$43)),"-")</f>
        <v>0</v>
      </c>
      <c r="J43" s="105">
        <f>IFERROR(INDEX(lifespans_all!J$2:J$56,MATCH($A43,lifespans_all!$A$2:$A$56,0))*INDEX(SR_mission_minutes!J$2:J$43,MATCH($A43,SR_mission_minutes!$A$2:$A$43)),"-")</f>
        <v>0</v>
      </c>
      <c r="K43" s="105">
        <f>IFERROR(INDEX(lifespans_all!K$2:K$56,MATCH($A43,lifespans_all!$A$2:$A$56,0))*INDEX(SR_mission_minutes!K$2:K$43,MATCH($A43,SR_mission_minutes!$A$2:$A$43)),"-")</f>
        <v>0</v>
      </c>
      <c r="L43" s="105">
        <f>IFERROR(INDEX(lifespans_all!L$2:L$56,MATCH($A43,lifespans_all!$A$2:$A$56,0))*INDEX(SR_mission_minutes!L$2:L$43,MATCH($A43,SR_mission_minutes!$A$2:$A$43)),"-")</f>
        <v>0</v>
      </c>
      <c r="M43" s="105">
        <f>IFERROR(INDEX(lifespans_all!M$2:M$56,MATCH($A43,lifespans_all!$A$2:$A$56,0))*INDEX(SR_mission_minutes!M$2:M$43,MATCH($A43,SR_mission_minutes!$A$2:$A$43)),"-")</f>
        <v>0</v>
      </c>
      <c r="N43" s="105">
        <f>IFERROR(INDEX(lifespans_all!N$2:N$56,MATCH($A43,lifespans_all!$A$2:$A$56,0))*INDEX(SR_mission_minutes!N$2:N$43,MATCH($A43,SR_mission_minutes!$A$2:$A$43)),"-")</f>
        <v>0</v>
      </c>
      <c r="O43" s="105">
        <f>IFERROR(INDEX(lifespans_all!O$2:O$56,MATCH($A43,lifespans_all!$A$2:$A$56,0))*INDEX(SR_mission_minutes!O$2:O$43,MATCH($A43,SR_mission_minutes!$A$2:$A$43)),"-")</f>
        <v>0</v>
      </c>
      <c r="P43" s="105">
        <f>IFERROR(INDEX(lifespans_all!P$2:P$56,MATCH($A43,lifespans_all!$A$2:$A$56,0))*INDEX(SR_mission_minutes!P$2:P$43,MATCH($A43,SR_mission_minutes!$A$2:$A$43)),"-")</f>
        <v>0</v>
      </c>
      <c r="Q43" s="105">
        <f>IFERROR(INDEX(lifespans_all!Q$2:Q$56,MATCH($A43,lifespans_all!$A$2:$A$56,0))*INDEX(SR_mission_minutes!Q$2:Q$43,MATCH($A43,SR_mission_minutes!$A$2:$A$43)),"-")</f>
        <v>0</v>
      </c>
      <c r="R43" s="105">
        <f>IFERROR(INDEX(lifespans_all!R$2:R$56,MATCH($A43,lifespans_all!$A$2:$A$56,0))*INDEX(SR_mission_minutes!R$2:R$43,MATCH($A43,SR_mission_minutes!$A$2:$A$43)),"-")</f>
        <v>0</v>
      </c>
      <c r="S43" s="105">
        <f>IFERROR(INDEX(lifespans_all!S$2:S$56,MATCH($A43,lifespans_all!$A$2:$A$56,0))*INDEX(SR_mission_minutes!S$2:S$43,MATCH($A43,SR_mission_minutes!$A$2:$A$43)),"-")</f>
        <v>0</v>
      </c>
      <c r="T43" s="105">
        <f>IFERROR(INDEX(lifespans_all!T$2:T$56,MATCH($A43,lifespans_all!$A$2:$A$56,0))*INDEX(SR_mission_minutes!T$2:T$43,MATCH($A43,SR_mission_minutes!$A$2:$A$43)),"-")</f>
        <v>0</v>
      </c>
      <c r="U43" s="105">
        <f>IFERROR(INDEX(lifespans_all!U$2:U$56,MATCH($A43,lifespans_all!$A$2:$A$56,0))*INDEX(SR_mission_minutes!U$2:U$43,MATCH($A43,SR_mission_minutes!$A$2:$A$43)),"-")</f>
        <v>0</v>
      </c>
      <c r="V43" s="105">
        <f>IFERROR(INDEX(lifespans_all!V$2:V$56,MATCH($A43,lifespans_all!$A$2:$A$56,0))*INDEX(SR_mission_minutes!V$2:V$43,MATCH($A43,SR_mission_minutes!$A$2:$A$43)),"-")</f>
        <v>0</v>
      </c>
    </row>
    <row r="44" spans="1:22" x14ac:dyDescent="0.25">
      <c r="A44" s="21" t="s">
        <v>88</v>
      </c>
      <c r="B44" s="20" t="s">
        <v>43</v>
      </c>
      <c r="C44" s="105" t="str">
        <f>IFERROR((INDEX(lifespans_all!C$49:C$56,MATCH($B44,lifespans_all!$B$49:$B$56,0))*SR_mission_minutes!C44)*POWER(1+(#REF!/100),C$1-2021),"-")</f>
        <v>-</v>
      </c>
      <c r="D44" s="105" t="str">
        <f>IFERROR((INDEX(lifespans_all!D$49:D$56,MATCH($B44,lifespans_all!$B$49:$B$56,0))*SR_mission_minutes!D44)*POWER(1+(#REF!/100),D$1-2021),"-")</f>
        <v>-</v>
      </c>
      <c r="E44" s="105" t="str">
        <f>IFERROR((INDEX(lifespans_all!E$49:E$56,MATCH($B44,lifespans_all!$B$49:$B$56,0))*SR_mission_minutes!E44)*POWER(1+(#REF!/100),E$1-2021),"-")</f>
        <v>-</v>
      </c>
      <c r="F44" s="105" t="str">
        <f>IFERROR((INDEX(lifespans_all!F$49:F$56,MATCH($B44,lifespans_all!$B$49:$B$56,0))*SR_mission_minutes!F44)*POWER(1+(#REF!/100),F$1-2021),"-")</f>
        <v>-</v>
      </c>
      <c r="G44" s="105" t="str">
        <f>IFERROR((INDEX(lifespans_all!G$49:G$56,MATCH($B44,lifespans_all!$B$49:$B$56,0))*SR_mission_minutes!G44)*POWER(1+(#REF!/100),G$1-2021),"-")</f>
        <v>-</v>
      </c>
      <c r="H44" s="105" t="str">
        <f>IFERROR((INDEX(lifespans_all!H$49:H$56,MATCH($B44,lifespans_all!$B$49:$B$56,0))*SR_mission_minutes!H44)*POWER(1+(#REF!/100),H$1-2021),"-")</f>
        <v>-</v>
      </c>
      <c r="I44" s="105" t="str">
        <f>IFERROR((INDEX(lifespans_all!I$49:I$56,MATCH($B44,lifespans_all!$B$49:$B$56,0))*SR_mission_minutes!I44)*POWER(1+(#REF!/100),I$1-2021),"-")</f>
        <v>-</v>
      </c>
      <c r="J44" s="105" t="str">
        <f>IFERROR((INDEX(lifespans_all!J$49:J$56,MATCH($B44,lifespans_all!$B$49:$B$56,0))*SR_mission_minutes!J44)*POWER(1+(#REF!/100),J$1-2021),"-")</f>
        <v>-</v>
      </c>
      <c r="K44" s="105" t="str">
        <f>IFERROR((INDEX(lifespans_all!K$49:K$56,MATCH($B44,lifespans_all!$B$49:$B$56,0))*SR_mission_minutes!K44)*POWER(1+(#REF!/100),K$1-2021),"-")</f>
        <v>-</v>
      </c>
      <c r="L44" s="105" t="str">
        <f>IFERROR((INDEX(lifespans_all!L$49:L$56,MATCH($B44,lifespans_all!$B$49:$B$56,0))*SR_mission_minutes!L44)*POWER(1+(#REF!/100),L$1-2021),"-")</f>
        <v>-</v>
      </c>
      <c r="M44" s="105" t="str">
        <f>IFERROR((INDEX(lifespans_all!M$49:M$56,MATCH($B44,lifespans_all!$B$49:$B$56,0))*SR_mission_minutes!M44)*POWER(1+(#REF!/100),M$1-2021),"-")</f>
        <v>-</v>
      </c>
      <c r="N44" s="105" t="str">
        <f>IFERROR((INDEX(lifespans_all!N$49:N$56,MATCH($B44,lifespans_all!$B$49:$B$56,0))*SR_mission_minutes!N44)*POWER(1+(#REF!/100),N$1-2021),"-")</f>
        <v>-</v>
      </c>
      <c r="O44" s="105" t="str">
        <f>IFERROR((INDEX(lifespans_all!O$49:O$56,MATCH($B44,lifespans_all!$B$49:$B$56,0))*SR_mission_minutes!O44)*POWER(1+(#REF!/100),O$1-2021),"-")</f>
        <v>-</v>
      </c>
      <c r="P44" s="105" t="str">
        <f>IFERROR((INDEX(lifespans_all!P$49:P$56,MATCH($B44,lifespans_all!$B$49:$B$56,0))*SR_mission_minutes!P44)*POWER(1+(#REF!/100),P$1-2021),"-")</f>
        <v>-</v>
      </c>
      <c r="Q44" s="105" t="str">
        <f>IFERROR((INDEX(lifespans_all!Q$49:Q$56,MATCH($B44,lifespans_all!$B$49:$B$56,0))*SR_mission_minutes!Q44)*POWER(1+(#REF!/100),Q$1-2021),"-")</f>
        <v>-</v>
      </c>
      <c r="R44" s="105" t="str">
        <f>IFERROR((INDEX(lifespans_all!R$49:R$56,MATCH($B44,lifespans_all!$B$49:$B$56,0))*SR_mission_minutes!R44)*POWER(1+(#REF!/100),R$1-2021),"-")</f>
        <v>-</v>
      </c>
      <c r="S44" s="105" t="str">
        <f>IFERROR((INDEX(lifespans_all!S$49:S$56,MATCH($B44,lifespans_all!$B$49:$B$56,0))*SR_mission_minutes!S44)*POWER(1+(#REF!/100),S$1-2021),"-")</f>
        <v>-</v>
      </c>
      <c r="T44" s="105" t="str">
        <f>IFERROR((INDEX(lifespans_all!T$49:T$56,MATCH($B44,lifespans_all!$B$49:$B$56,0))*SR_mission_minutes!T44)*POWER(1+(#REF!/100),T$1-2021),"-")</f>
        <v>-</v>
      </c>
      <c r="U44" s="105" t="str">
        <f>IFERROR((INDEX(lifespans_all!U$49:U$56,MATCH($B44,lifespans_all!$B$49:$B$56,0))*SR_mission_minutes!U44)*POWER(1+(#REF!/100),U$1-2021),"-")</f>
        <v>-</v>
      </c>
      <c r="V44" s="105" t="str">
        <f>IFERROR((INDEX(lifespans_all!V$49:V$56,MATCH($B44,lifespans_all!$B$49:$B$56,0))*SR_mission_minutes!V44)*POWER(1+(#REF!/100),V$1-2021),"-")</f>
        <v>-</v>
      </c>
    </row>
    <row r="45" spans="1:22" x14ac:dyDescent="0.25">
      <c r="A45" s="21" t="s">
        <v>88</v>
      </c>
      <c r="B45" s="20" t="s">
        <v>41</v>
      </c>
      <c r="C45" s="105" t="str">
        <f>IFERROR((INDEX(lifespans_all!C$49:C$56,MATCH($B45,lifespans_all!$B$49:$B$56,0))*SR_mission_minutes!C45)*POWER(1+(#REF!/100),C$1-2021),"-")</f>
        <v>-</v>
      </c>
      <c r="D45" s="105" t="str">
        <f>IFERROR((INDEX(lifespans_all!D$49:D$56,MATCH($B45,lifespans_all!$B$49:$B$56,0))*SR_mission_minutes!D45)*POWER(1+(#REF!/100),D$1-2021),"-")</f>
        <v>-</v>
      </c>
      <c r="E45" s="105" t="str">
        <f>IFERROR((INDEX(lifespans_all!E$49:E$56,MATCH($B45,lifespans_all!$B$49:$B$56,0))*SR_mission_minutes!E45)*POWER(1+(#REF!/100),E$1-2021),"-")</f>
        <v>-</v>
      </c>
      <c r="F45" s="105" t="str">
        <f>IFERROR((INDEX(lifespans_all!F$49:F$56,MATCH($B45,lifespans_all!$B$49:$B$56,0))*SR_mission_minutes!F45)*POWER(1+(#REF!/100),F$1-2021),"-")</f>
        <v>-</v>
      </c>
      <c r="G45" s="105" t="str">
        <f>IFERROR((INDEX(lifespans_all!G$49:G$56,MATCH($B45,lifespans_all!$B$49:$B$56,0))*SR_mission_minutes!G45)*POWER(1+(#REF!/100),G$1-2021),"-")</f>
        <v>-</v>
      </c>
      <c r="H45" s="105" t="str">
        <f>IFERROR((INDEX(lifespans_all!H$49:H$56,MATCH($B45,lifespans_all!$B$49:$B$56,0))*SR_mission_minutes!H45)*POWER(1+(#REF!/100),H$1-2021),"-")</f>
        <v>-</v>
      </c>
      <c r="I45" s="105" t="str">
        <f>IFERROR((INDEX(lifespans_all!I$49:I$56,MATCH($B45,lifespans_all!$B$49:$B$56,0))*SR_mission_minutes!I45)*POWER(1+(#REF!/100),I$1-2021),"-")</f>
        <v>-</v>
      </c>
      <c r="J45" s="105" t="str">
        <f>IFERROR((INDEX(lifespans_all!J$49:J$56,MATCH($B45,lifespans_all!$B$49:$B$56,0))*SR_mission_minutes!J45)*POWER(1+(#REF!/100),J$1-2021),"-")</f>
        <v>-</v>
      </c>
      <c r="K45" s="105" t="str">
        <f>IFERROR((INDEX(lifespans_all!K$49:K$56,MATCH($B45,lifespans_all!$B$49:$B$56,0))*SR_mission_minutes!K45)*POWER(1+(#REF!/100),K$1-2021),"-")</f>
        <v>-</v>
      </c>
      <c r="L45" s="105" t="str">
        <f>IFERROR((INDEX(lifespans_all!L$49:L$56,MATCH($B45,lifespans_all!$B$49:$B$56,0))*SR_mission_minutes!L45)*POWER(1+(#REF!/100),L$1-2021),"-")</f>
        <v>-</v>
      </c>
      <c r="M45" s="105" t="str">
        <f>IFERROR((INDEX(lifespans_all!M$49:M$56,MATCH($B45,lifespans_all!$B$49:$B$56,0))*SR_mission_minutes!M45)*POWER(1+(#REF!/100),M$1-2021),"-")</f>
        <v>-</v>
      </c>
      <c r="N45" s="105" t="str">
        <f>IFERROR((INDEX(lifespans_all!N$49:N$56,MATCH($B45,lifespans_all!$B$49:$B$56,0))*SR_mission_minutes!N45)*POWER(1+(#REF!/100),N$1-2021),"-")</f>
        <v>-</v>
      </c>
      <c r="O45" s="105" t="str">
        <f>IFERROR((INDEX(lifespans_all!O$49:O$56,MATCH($B45,lifespans_all!$B$49:$B$56,0))*SR_mission_minutes!O45)*POWER(1+(#REF!/100),O$1-2021),"-")</f>
        <v>-</v>
      </c>
      <c r="P45" s="105" t="str">
        <f>IFERROR((INDEX(lifespans_all!P$49:P$56,MATCH($B45,lifespans_all!$B$49:$B$56,0))*SR_mission_minutes!P45)*POWER(1+(#REF!/100),P$1-2021),"-")</f>
        <v>-</v>
      </c>
      <c r="Q45" s="105" t="str">
        <f>IFERROR((INDEX(lifespans_all!Q$49:Q$56,MATCH($B45,lifespans_all!$B$49:$B$56,0))*SR_mission_minutes!Q45)*POWER(1+(#REF!/100),Q$1-2021),"-")</f>
        <v>-</v>
      </c>
      <c r="R45" s="105" t="str">
        <f>IFERROR((INDEX(lifespans_all!R$49:R$56,MATCH($B45,lifespans_all!$B$49:$B$56,0))*SR_mission_minutes!R45)*POWER(1+(#REF!/100),R$1-2021),"-")</f>
        <v>-</v>
      </c>
      <c r="S45" s="105" t="str">
        <f>IFERROR((INDEX(lifespans_all!S$49:S$56,MATCH($B45,lifespans_all!$B$49:$B$56,0))*SR_mission_minutes!S45)*POWER(1+(#REF!/100),S$1-2021),"-")</f>
        <v>-</v>
      </c>
      <c r="T45" s="105" t="str">
        <f>IFERROR((INDEX(lifespans_all!T$49:T$56,MATCH($B45,lifespans_all!$B$49:$B$56,0))*SR_mission_minutes!T45)*POWER(1+(#REF!/100),T$1-2021),"-")</f>
        <v>-</v>
      </c>
      <c r="U45" s="105" t="str">
        <f>IFERROR((INDEX(lifespans_all!U$49:U$56,MATCH($B45,lifespans_all!$B$49:$B$56,0))*SR_mission_minutes!U45)*POWER(1+(#REF!/100),U$1-2021),"-")</f>
        <v>-</v>
      </c>
      <c r="V45" s="105" t="str">
        <f>IFERROR((INDEX(lifespans_all!V$49:V$56,MATCH($B45,lifespans_all!$B$49:$B$56,0))*SR_mission_minutes!V45)*POWER(1+(#REF!/100),V$1-2021),"-")</f>
        <v>-</v>
      </c>
    </row>
    <row r="46" spans="1:22" x14ac:dyDescent="0.25">
      <c r="A46" s="21" t="s">
        <v>88</v>
      </c>
      <c r="B46" s="20" t="s">
        <v>40</v>
      </c>
      <c r="C46" s="105" t="str">
        <f>IFERROR((INDEX(lifespans_all!C$49:C$56,MATCH($B46,lifespans_all!$B$49:$B$56,0))*SR_mission_minutes!C46)*POWER(1+(#REF!/100),C$1-2021),"-")</f>
        <v>-</v>
      </c>
      <c r="D46" s="105" t="str">
        <f>IFERROR((INDEX(lifespans_all!D$49:D$56,MATCH($B46,lifespans_all!$B$49:$B$56,0))*SR_mission_minutes!D46)*POWER(1+(#REF!/100),D$1-2021),"-")</f>
        <v>-</v>
      </c>
      <c r="E46" s="105" t="str">
        <f>IFERROR((INDEX(lifespans_all!E$49:E$56,MATCH($B46,lifespans_all!$B$49:$B$56,0))*SR_mission_minutes!E46)*POWER(1+(#REF!/100),E$1-2021),"-")</f>
        <v>-</v>
      </c>
      <c r="F46" s="105" t="str">
        <f>IFERROR((INDEX(lifespans_all!F$49:F$56,MATCH($B46,lifespans_all!$B$49:$B$56,0))*SR_mission_minutes!F46)*POWER(1+(#REF!/100),F$1-2021),"-")</f>
        <v>-</v>
      </c>
      <c r="G46" s="105" t="str">
        <f>IFERROR((INDEX(lifespans_all!G$49:G$56,MATCH($B46,lifespans_all!$B$49:$B$56,0))*SR_mission_minutes!G46)*POWER(1+(#REF!/100),G$1-2021),"-")</f>
        <v>-</v>
      </c>
      <c r="H46" s="105" t="str">
        <f>IFERROR((INDEX(lifespans_all!H$49:H$56,MATCH($B46,lifespans_all!$B$49:$B$56,0))*SR_mission_minutes!H46)*POWER(1+(#REF!/100),H$1-2021),"-")</f>
        <v>-</v>
      </c>
      <c r="I46" s="105" t="str">
        <f>IFERROR((INDEX(lifespans_all!I$49:I$56,MATCH($B46,lifespans_all!$B$49:$B$56,0))*SR_mission_minutes!I46)*POWER(1+(#REF!/100),I$1-2021),"-")</f>
        <v>-</v>
      </c>
      <c r="J46" s="105" t="str">
        <f>IFERROR((INDEX(lifespans_all!J$49:J$56,MATCH($B46,lifespans_all!$B$49:$B$56,0))*SR_mission_minutes!J46)*POWER(1+(#REF!/100),J$1-2021),"-")</f>
        <v>-</v>
      </c>
      <c r="K46" s="105" t="str">
        <f>IFERROR((INDEX(lifespans_all!K$49:K$56,MATCH($B46,lifespans_all!$B$49:$B$56,0))*SR_mission_minutes!K46)*POWER(1+(#REF!/100),K$1-2021),"-")</f>
        <v>-</v>
      </c>
      <c r="L46" s="105" t="str">
        <f>IFERROR((INDEX(lifespans_all!L$49:L$56,MATCH($B46,lifespans_all!$B$49:$B$56,0))*SR_mission_minutes!L46)*POWER(1+(#REF!/100),L$1-2021),"-")</f>
        <v>-</v>
      </c>
      <c r="M46" s="105" t="str">
        <f>IFERROR((INDEX(lifespans_all!M$49:M$56,MATCH($B46,lifespans_all!$B$49:$B$56,0))*SR_mission_minutes!M46)*POWER(1+(#REF!/100),M$1-2021),"-")</f>
        <v>-</v>
      </c>
      <c r="N46" s="105" t="str">
        <f>IFERROR((INDEX(lifespans_all!N$49:N$56,MATCH($B46,lifespans_all!$B$49:$B$56,0))*SR_mission_minutes!N46)*POWER(1+(#REF!/100),N$1-2021),"-")</f>
        <v>-</v>
      </c>
      <c r="O46" s="105" t="str">
        <f>IFERROR((INDEX(lifespans_all!O$49:O$56,MATCH($B46,lifespans_all!$B$49:$B$56,0))*SR_mission_minutes!O46)*POWER(1+(#REF!/100),O$1-2021),"-")</f>
        <v>-</v>
      </c>
      <c r="P46" s="105" t="str">
        <f>IFERROR((INDEX(lifespans_all!P$49:P$56,MATCH($B46,lifespans_all!$B$49:$B$56,0))*SR_mission_minutes!P46)*POWER(1+(#REF!/100),P$1-2021),"-")</f>
        <v>-</v>
      </c>
      <c r="Q46" s="105" t="str">
        <f>IFERROR((INDEX(lifespans_all!Q$49:Q$56,MATCH($B46,lifespans_all!$B$49:$B$56,0))*SR_mission_minutes!Q46)*POWER(1+(#REF!/100),Q$1-2021),"-")</f>
        <v>-</v>
      </c>
      <c r="R46" s="105" t="str">
        <f>IFERROR((INDEX(lifespans_all!R$49:R$56,MATCH($B46,lifespans_all!$B$49:$B$56,0))*SR_mission_minutes!R46)*POWER(1+(#REF!/100),R$1-2021),"-")</f>
        <v>-</v>
      </c>
      <c r="S46" s="105" t="str">
        <f>IFERROR((INDEX(lifespans_all!S$49:S$56,MATCH($B46,lifespans_all!$B$49:$B$56,0))*SR_mission_minutes!S46)*POWER(1+(#REF!/100),S$1-2021),"-")</f>
        <v>-</v>
      </c>
      <c r="T46" s="105" t="str">
        <f>IFERROR((INDEX(lifespans_all!T$49:T$56,MATCH($B46,lifespans_all!$B$49:$B$56,0))*SR_mission_minutes!T46)*POWER(1+(#REF!/100),T$1-2021),"-")</f>
        <v>-</v>
      </c>
      <c r="U46" s="105" t="str">
        <f>IFERROR((INDEX(lifespans_all!U$49:U$56,MATCH($B46,lifespans_all!$B$49:$B$56,0))*SR_mission_minutes!U46)*POWER(1+(#REF!/100),U$1-2021),"-")</f>
        <v>-</v>
      </c>
      <c r="V46" s="105" t="str">
        <f>IFERROR((INDEX(lifespans_all!V$49:V$56,MATCH($B46,lifespans_all!$B$49:$B$56,0))*SR_mission_minutes!V46)*POWER(1+(#REF!/100),V$1-2021),"-")</f>
        <v>-</v>
      </c>
    </row>
    <row r="47" spans="1:22" x14ac:dyDescent="0.25">
      <c r="A47" s="21" t="s">
        <v>88</v>
      </c>
      <c r="B47" s="20" t="s">
        <v>80</v>
      </c>
      <c r="C47" s="105" t="str">
        <f>IFERROR((INDEX(lifespans_all!C$49:C$56,MATCH($B47,lifespans_all!$B$49:$B$56,0))*SR_mission_minutes!C47)*POWER(1+(#REF!/100),C$1-2021),"-")</f>
        <v>-</v>
      </c>
      <c r="D47" s="105" t="str">
        <f>IFERROR((INDEX(lifespans_all!D$49:D$56,MATCH($B47,lifespans_all!$B$49:$B$56,0))*SR_mission_minutes!D47)*POWER(1+(#REF!/100),D$1-2021),"-")</f>
        <v>-</v>
      </c>
      <c r="E47" s="105" t="str">
        <f>IFERROR((INDEX(lifespans_all!E$49:E$56,MATCH($B47,lifespans_all!$B$49:$B$56,0))*SR_mission_minutes!E47)*POWER(1+(#REF!/100),E$1-2021),"-")</f>
        <v>-</v>
      </c>
      <c r="F47" s="105" t="str">
        <f>IFERROR((INDEX(lifespans_all!F$49:F$56,MATCH($B47,lifespans_all!$B$49:$B$56,0))*SR_mission_minutes!F47)*POWER(1+(#REF!/100),F$1-2021),"-")</f>
        <v>-</v>
      </c>
      <c r="G47" s="105" t="str">
        <f>IFERROR((INDEX(lifespans_all!G$49:G$56,MATCH($B47,lifespans_all!$B$49:$B$56,0))*SR_mission_minutes!G47)*POWER(1+(#REF!/100),G$1-2021),"-")</f>
        <v>-</v>
      </c>
      <c r="H47" s="105" t="str">
        <f>IFERROR((INDEX(lifespans_all!H$49:H$56,MATCH($B47,lifespans_all!$B$49:$B$56,0))*SR_mission_minutes!H47)*POWER(1+(#REF!/100),H$1-2021),"-")</f>
        <v>-</v>
      </c>
      <c r="I47" s="105" t="str">
        <f>IFERROR((INDEX(lifespans_all!I$49:I$56,MATCH($B47,lifespans_all!$B$49:$B$56,0))*SR_mission_minutes!I47)*POWER(1+(#REF!/100),I$1-2021),"-")</f>
        <v>-</v>
      </c>
      <c r="J47" s="105" t="str">
        <f>IFERROR((INDEX(lifespans_all!J$49:J$56,MATCH($B47,lifespans_all!$B$49:$B$56,0))*SR_mission_minutes!J47)*POWER(1+(#REF!/100),J$1-2021),"-")</f>
        <v>-</v>
      </c>
      <c r="K47" s="105" t="str">
        <f>IFERROR((INDEX(lifespans_all!K$49:K$56,MATCH($B47,lifespans_all!$B$49:$B$56,0))*SR_mission_minutes!K47)*POWER(1+(#REF!/100),K$1-2021),"-")</f>
        <v>-</v>
      </c>
      <c r="L47" s="105" t="str">
        <f>IFERROR((INDEX(lifespans_all!L$49:L$56,MATCH($B47,lifespans_all!$B$49:$B$56,0))*SR_mission_minutes!L47)*POWER(1+(#REF!/100),L$1-2021),"-")</f>
        <v>-</v>
      </c>
      <c r="M47" s="105" t="str">
        <f>IFERROR((INDEX(lifespans_all!M$49:M$56,MATCH($B47,lifespans_all!$B$49:$B$56,0))*SR_mission_minutes!M47)*POWER(1+(#REF!/100),M$1-2021),"-")</f>
        <v>-</v>
      </c>
      <c r="N47" s="105" t="str">
        <f>IFERROR((INDEX(lifespans_all!N$49:N$56,MATCH($B47,lifespans_all!$B$49:$B$56,0))*SR_mission_minutes!N47)*POWER(1+(#REF!/100),N$1-2021),"-")</f>
        <v>-</v>
      </c>
      <c r="O47" s="105" t="str">
        <f>IFERROR((INDEX(lifespans_all!O$49:O$56,MATCH($B47,lifespans_all!$B$49:$B$56,0))*SR_mission_minutes!O47)*POWER(1+(#REF!/100),O$1-2021),"-")</f>
        <v>-</v>
      </c>
      <c r="P47" s="105" t="str">
        <f>IFERROR((INDEX(lifespans_all!P$49:P$56,MATCH($B47,lifespans_all!$B$49:$B$56,0))*SR_mission_minutes!P47)*POWER(1+(#REF!/100),P$1-2021),"-")</f>
        <v>-</v>
      </c>
      <c r="Q47" s="105" t="str">
        <f>IFERROR((INDEX(lifespans_all!Q$49:Q$56,MATCH($B47,lifespans_all!$B$49:$B$56,0))*SR_mission_minutes!Q47)*POWER(1+(#REF!/100),Q$1-2021),"-")</f>
        <v>-</v>
      </c>
      <c r="R47" s="105" t="str">
        <f>IFERROR((INDEX(lifespans_all!R$49:R$56,MATCH($B47,lifespans_all!$B$49:$B$56,0))*SR_mission_minutes!R47)*POWER(1+(#REF!/100),R$1-2021),"-")</f>
        <v>-</v>
      </c>
      <c r="S47" s="105" t="str">
        <f>IFERROR((INDEX(lifespans_all!S$49:S$56,MATCH($B47,lifespans_all!$B$49:$B$56,0))*SR_mission_minutes!S47)*POWER(1+(#REF!/100),S$1-2021),"-")</f>
        <v>-</v>
      </c>
      <c r="T47" s="105" t="str">
        <f>IFERROR((INDEX(lifespans_all!T$49:T$56,MATCH($B47,lifespans_all!$B$49:$B$56,0))*SR_mission_minutes!T47)*POWER(1+(#REF!/100),T$1-2021),"-")</f>
        <v>-</v>
      </c>
      <c r="U47" s="105" t="str">
        <f>IFERROR((INDEX(lifespans_all!U$49:U$56,MATCH($B47,lifespans_all!$B$49:$B$56,0))*SR_mission_minutes!U47)*POWER(1+(#REF!/100),U$1-2021),"-")</f>
        <v>-</v>
      </c>
      <c r="V47" s="105" t="str">
        <f>IFERROR((INDEX(lifespans_all!V$49:V$56,MATCH($B47,lifespans_all!$B$49:$B$56,0))*SR_mission_minutes!V47)*POWER(1+(#REF!/100),V$1-2021),"-")</f>
        <v>-</v>
      </c>
    </row>
    <row r="48" spans="1:22" x14ac:dyDescent="0.25">
      <c r="A48" s="21" t="s">
        <v>88</v>
      </c>
      <c r="B48" s="20" t="s">
        <v>44</v>
      </c>
      <c r="C48" s="105" t="str">
        <f>IFERROR((INDEX(lifespans_all!C$49:C$56,MATCH($B48,lifespans_all!$B$49:$B$56,0))*SR_mission_minutes!C48)*POWER(1+(#REF!/100),C$1-2021),"-")</f>
        <v>-</v>
      </c>
      <c r="D48" s="105" t="str">
        <f>IFERROR((INDEX(lifespans_all!D$49:D$56,MATCH($B48,lifespans_all!$B$49:$B$56,0))*SR_mission_minutes!D48)*POWER(1+(#REF!/100),D$1-2021),"-")</f>
        <v>-</v>
      </c>
      <c r="E48" s="105" t="str">
        <f>IFERROR((INDEX(lifespans_all!E$49:E$56,MATCH($B48,lifespans_all!$B$49:$B$56,0))*SR_mission_minutes!E48)*POWER(1+(#REF!/100),E$1-2021),"-")</f>
        <v>-</v>
      </c>
      <c r="F48" s="105" t="str">
        <f>IFERROR((INDEX(lifespans_all!F$49:F$56,MATCH($B48,lifespans_all!$B$49:$B$56,0))*SR_mission_minutes!F48)*POWER(1+(#REF!/100),F$1-2021),"-")</f>
        <v>-</v>
      </c>
      <c r="G48" s="105" t="str">
        <f>IFERROR((INDEX(lifespans_all!G$49:G$56,MATCH($B48,lifespans_all!$B$49:$B$56,0))*SR_mission_minutes!G48)*POWER(1+(#REF!/100),G$1-2021),"-")</f>
        <v>-</v>
      </c>
      <c r="H48" s="105" t="str">
        <f>IFERROR((INDEX(lifespans_all!H$49:H$56,MATCH($B48,lifespans_all!$B$49:$B$56,0))*SR_mission_minutes!H48)*POWER(1+(#REF!/100),H$1-2021),"-")</f>
        <v>-</v>
      </c>
      <c r="I48" s="105" t="str">
        <f>IFERROR((INDEX(lifespans_all!I$49:I$56,MATCH($B48,lifespans_all!$B$49:$B$56,0))*SR_mission_minutes!I48)*POWER(1+(#REF!/100),I$1-2021),"-")</f>
        <v>-</v>
      </c>
      <c r="J48" s="105" t="str">
        <f>IFERROR((INDEX(lifespans_all!J$49:J$56,MATCH($B48,lifespans_all!$B$49:$B$56,0))*SR_mission_minutes!J48)*POWER(1+(#REF!/100),J$1-2021),"-")</f>
        <v>-</v>
      </c>
      <c r="K48" s="105" t="str">
        <f>IFERROR((INDEX(lifespans_all!K$49:K$56,MATCH($B48,lifespans_all!$B$49:$B$56,0))*SR_mission_minutes!K48)*POWER(1+(#REF!/100),K$1-2021),"-")</f>
        <v>-</v>
      </c>
      <c r="L48" s="105" t="str">
        <f>IFERROR((INDEX(lifespans_all!L$49:L$56,MATCH($B48,lifespans_all!$B$49:$B$56,0))*SR_mission_minutes!L48)*POWER(1+(#REF!/100),L$1-2021),"-")</f>
        <v>-</v>
      </c>
      <c r="M48" s="105" t="str">
        <f>IFERROR((INDEX(lifespans_all!M$49:M$56,MATCH($B48,lifespans_all!$B$49:$B$56,0))*SR_mission_minutes!M48)*POWER(1+(#REF!/100),M$1-2021),"-")</f>
        <v>-</v>
      </c>
      <c r="N48" s="105" t="str">
        <f>IFERROR((INDEX(lifespans_all!N$49:N$56,MATCH($B48,lifespans_all!$B$49:$B$56,0))*SR_mission_minutes!N48)*POWER(1+(#REF!/100),N$1-2021),"-")</f>
        <v>-</v>
      </c>
      <c r="O48" s="105" t="str">
        <f>IFERROR((INDEX(lifespans_all!O$49:O$56,MATCH($B48,lifespans_all!$B$49:$B$56,0))*SR_mission_minutes!O48)*POWER(1+(#REF!/100),O$1-2021),"-")</f>
        <v>-</v>
      </c>
      <c r="P48" s="105" t="str">
        <f>IFERROR((INDEX(lifespans_all!P$49:P$56,MATCH($B48,lifespans_all!$B$49:$B$56,0))*SR_mission_minutes!P48)*POWER(1+(#REF!/100),P$1-2021),"-")</f>
        <v>-</v>
      </c>
      <c r="Q48" s="105" t="str">
        <f>IFERROR((INDEX(lifespans_all!Q$49:Q$56,MATCH($B48,lifespans_all!$B$49:$B$56,0))*SR_mission_minutes!Q48)*POWER(1+(#REF!/100),Q$1-2021),"-")</f>
        <v>-</v>
      </c>
      <c r="R48" s="105" t="str">
        <f>IFERROR((INDEX(lifespans_all!R$49:R$56,MATCH($B48,lifespans_all!$B$49:$B$56,0))*SR_mission_minutes!R48)*POWER(1+(#REF!/100),R$1-2021),"-")</f>
        <v>-</v>
      </c>
      <c r="S48" s="105" t="str">
        <f>IFERROR((INDEX(lifespans_all!S$49:S$56,MATCH($B48,lifespans_all!$B$49:$B$56,0))*SR_mission_minutes!S48)*POWER(1+(#REF!/100),S$1-2021),"-")</f>
        <v>-</v>
      </c>
      <c r="T48" s="105" t="str">
        <f>IFERROR((INDEX(lifespans_all!T$49:T$56,MATCH($B48,lifespans_all!$B$49:$B$56,0))*SR_mission_minutes!T48)*POWER(1+(#REF!/100),T$1-2021),"-")</f>
        <v>-</v>
      </c>
      <c r="U48" s="105" t="str">
        <f>IFERROR((INDEX(lifespans_all!U$49:U$56,MATCH($B48,lifespans_all!$B$49:$B$56,0))*SR_mission_minutes!U48)*POWER(1+(#REF!/100),U$1-2021),"-")</f>
        <v>-</v>
      </c>
      <c r="V48" s="105" t="str">
        <f>IFERROR((INDEX(lifespans_all!V$49:V$56,MATCH($B48,lifespans_all!$B$49:$B$56,0))*SR_mission_minutes!V48)*POWER(1+(#REF!/100),V$1-2021),"-")</f>
        <v>-</v>
      </c>
    </row>
    <row r="49" spans="1:22" x14ac:dyDescent="0.25">
      <c r="A49" s="21" t="s">
        <v>88</v>
      </c>
      <c r="B49" s="20" t="s">
        <v>81</v>
      </c>
      <c r="C49" s="105" t="str">
        <f>IFERROR((INDEX(lifespans_all!C$49:C$56,MATCH($B49,lifespans_all!$B$49:$B$56,0))*SR_mission_minutes!C49)*POWER(1+(#REF!/100),C$1-2021),"-")</f>
        <v>-</v>
      </c>
      <c r="D49" s="105" t="str">
        <f>IFERROR((INDEX(lifespans_all!D$49:D$56,MATCH($B49,lifespans_all!$B$49:$B$56,0))*SR_mission_minutes!D49)*POWER(1+(#REF!/100),D$1-2021),"-")</f>
        <v>-</v>
      </c>
      <c r="E49" s="105" t="str">
        <f>IFERROR((INDEX(lifespans_all!E$49:E$56,MATCH($B49,lifespans_all!$B$49:$B$56,0))*SR_mission_minutes!E49)*POWER(1+(#REF!/100),E$1-2021),"-")</f>
        <v>-</v>
      </c>
      <c r="F49" s="105" t="str">
        <f>IFERROR((INDEX(lifespans_all!F$49:F$56,MATCH($B49,lifespans_all!$B$49:$B$56,0))*SR_mission_minutes!F49)*POWER(1+(#REF!/100),F$1-2021),"-")</f>
        <v>-</v>
      </c>
      <c r="G49" s="105" t="str">
        <f>IFERROR((INDEX(lifespans_all!G$49:G$56,MATCH($B49,lifespans_all!$B$49:$B$56,0))*SR_mission_minutes!G49)*POWER(1+(#REF!/100),G$1-2021),"-")</f>
        <v>-</v>
      </c>
      <c r="H49" s="105" t="str">
        <f>IFERROR((INDEX(lifespans_all!H$49:H$56,MATCH($B49,lifespans_all!$B$49:$B$56,0))*SR_mission_minutes!H49)*POWER(1+(#REF!/100),H$1-2021),"-")</f>
        <v>-</v>
      </c>
      <c r="I49" s="105" t="str">
        <f>IFERROR((INDEX(lifespans_all!I$49:I$56,MATCH($B49,lifespans_all!$B$49:$B$56,0))*SR_mission_minutes!I49)*POWER(1+(#REF!/100),I$1-2021),"-")</f>
        <v>-</v>
      </c>
      <c r="J49" s="105" t="str">
        <f>IFERROR((INDEX(lifespans_all!J$49:J$56,MATCH($B49,lifespans_all!$B$49:$B$56,0))*SR_mission_minutes!J49)*POWER(1+(#REF!/100),J$1-2021),"-")</f>
        <v>-</v>
      </c>
      <c r="K49" s="105" t="str">
        <f>IFERROR((INDEX(lifespans_all!K$49:K$56,MATCH($B49,lifespans_all!$B$49:$B$56,0))*SR_mission_minutes!K49)*POWER(1+(#REF!/100),K$1-2021),"-")</f>
        <v>-</v>
      </c>
      <c r="L49" s="105" t="str">
        <f>IFERROR((INDEX(lifespans_all!L$49:L$56,MATCH($B49,lifespans_all!$B$49:$B$56,0))*SR_mission_minutes!L49)*POWER(1+(#REF!/100),L$1-2021),"-")</f>
        <v>-</v>
      </c>
      <c r="M49" s="105" t="str">
        <f>IFERROR((INDEX(lifespans_all!M$49:M$56,MATCH($B49,lifespans_all!$B$49:$B$56,0))*SR_mission_minutes!M49)*POWER(1+(#REF!/100),M$1-2021),"-")</f>
        <v>-</v>
      </c>
      <c r="N49" s="105" t="str">
        <f>IFERROR((INDEX(lifespans_all!N$49:N$56,MATCH($B49,lifespans_all!$B$49:$B$56,0))*SR_mission_minutes!N49)*POWER(1+(#REF!/100),N$1-2021),"-")</f>
        <v>-</v>
      </c>
      <c r="O49" s="105" t="str">
        <f>IFERROR((INDEX(lifespans_all!O$49:O$56,MATCH($B49,lifespans_all!$B$49:$B$56,0))*SR_mission_minutes!O49)*POWER(1+(#REF!/100),O$1-2021),"-")</f>
        <v>-</v>
      </c>
      <c r="P49" s="105" t="str">
        <f>IFERROR((INDEX(lifespans_all!P$49:P$56,MATCH($B49,lifespans_all!$B$49:$B$56,0))*SR_mission_minutes!P49)*POWER(1+(#REF!/100),P$1-2021),"-")</f>
        <v>-</v>
      </c>
      <c r="Q49" s="105" t="str">
        <f>IFERROR((INDEX(lifespans_all!Q$49:Q$56,MATCH($B49,lifespans_all!$B$49:$B$56,0))*SR_mission_minutes!Q49)*POWER(1+(#REF!/100),Q$1-2021),"-")</f>
        <v>-</v>
      </c>
      <c r="R49" s="105" t="str">
        <f>IFERROR((INDEX(lifespans_all!R$49:R$56,MATCH($B49,lifespans_all!$B$49:$B$56,0))*SR_mission_minutes!R49)*POWER(1+(#REF!/100),R$1-2021),"-")</f>
        <v>-</v>
      </c>
      <c r="S49" s="105" t="str">
        <f>IFERROR((INDEX(lifespans_all!S$49:S$56,MATCH($B49,lifespans_all!$B$49:$B$56,0))*SR_mission_minutes!S49)*POWER(1+(#REF!/100),S$1-2021),"-")</f>
        <v>-</v>
      </c>
      <c r="T49" s="105" t="str">
        <f>IFERROR((INDEX(lifespans_all!T$49:T$56,MATCH($B49,lifespans_all!$B$49:$B$56,0))*SR_mission_minutes!T49)*POWER(1+(#REF!/100),T$1-2021),"-")</f>
        <v>-</v>
      </c>
      <c r="U49" s="105" t="str">
        <f>IFERROR((INDEX(lifespans_all!U$49:U$56,MATCH($B49,lifespans_all!$B$49:$B$56,0))*SR_mission_minutes!U49)*POWER(1+(#REF!/100),U$1-2021),"-")</f>
        <v>-</v>
      </c>
      <c r="V49" s="105" t="str">
        <f>IFERROR((INDEX(lifespans_all!V$49:V$56,MATCH($B49,lifespans_all!$B$49:$B$56,0))*SR_mission_minutes!V49)*POWER(1+(#REF!/100),V$1-2021),"-")</f>
        <v>-</v>
      </c>
    </row>
    <row r="50" spans="1:22" x14ac:dyDescent="0.25">
      <c r="A50" s="21" t="s">
        <v>88</v>
      </c>
      <c r="B50" s="20" t="s">
        <v>42</v>
      </c>
      <c r="C50" s="105" t="str">
        <f>IFERROR((INDEX(lifespans_all!C$49:C$56,MATCH($B50,lifespans_all!$B$49:$B$56,0))*SR_mission_minutes!C50)*POWER(1+(#REF!/100),C$1-2021),"-")</f>
        <v>-</v>
      </c>
      <c r="D50" s="105" t="str">
        <f>IFERROR((INDEX(lifespans_all!D$49:D$56,MATCH($B50,lifespans_all!$B$49:$B$56,0))*SR_mission_minutes!D50)*POWER(1+(#REF!/100),D$1-2021),"-")</f>
        <v>-</v>
      </c>
      <c r="E50" s="105" t="str">
        <f>IFERROR((INDEX(lifespans_all!E$49:E$56,MATCH($B50,lifespans_all!$B$49:$B$56,0))*SR_mission_minutes!E50)*POWER(1+(#REF!/100),E$1-2021),"-")</f>
        <v>-</v>
      </c>
      <c r="F50" s="105" t="str">
        <f>IFERROR((INDEX(lifespans_all!F$49:F$56,MATCH($B50,lifespans_all!$B$49:$B$56,0))*SR_mission_minutes!F50)*POWER(1+(#REF!/100),F$1-2021),"-")</f>
        <v>-</v>
      </c>
      <c r="G50" s="105" t="str">
        <f>IFERROR((INDEX(lifespans_all!G$49:G$56,MATCH($B50,lifespans_all!$B$49:$B$56,0))*SR_mission_minutes!G50)*POWER(1+(#REF!/100),G$1-2021),"-")</f>
        <v>-</v>
      </c>
      <c r="H50" s="105" t="str">
        <f>IFERROR((INDEX(lifespans_all!H$49:H$56,MATCH($B50,lifespans_all!$B$49:$B$56,0))*SR_mission_minutes!H50)*POWER(1+(#REF!/100),H$1-2021),"-")</f>
        <v>-</v>
      </c>
      <c r="I50" s="105" t="str">
        <f>IFERROR((INDEX(lifespans_all!I$49:I$56,MATCH($B50,lifespans_all!$B$49:$B$56,0))*SR_mission_minutes!I50)*POWER(1+(#REF!/100),I$1-2021),"-")</f>
        <v>-</v>
      </c>
      <c r="J50" s="105" t="str">
        <f>IFERROR((INDEX(lifespans_all!J$49:J$56,MATCH($B50,lifespans_all!$B$49:$B$56,0))*SR_mission_minutes!J50)*POWER(1+(#REF!/100),J$1-2021),"-")</f>
        <v>-</v>
      </c>
      <c r="K50" s="105" t="str">
        <f>IFERROR((INDEX(lifespans_all!K$49:K$56,MATCH($B50,lifespans_all!$B$49:$B$56,0))*SR_mission_minutes!K50)*POWER(1+(#REF!/100),K$1-2021),"-")</f>
        <v>-</v>
      </c>
      <c r="L50" s="105" t="str">
        <f>IFERROR((INDEX(lifespans_all!L$49:L$56,MATCH($B50,lifespans_all!$B$49:$B$56,0))*SR_mission_minutes!L50)*POWER(1+(#REF!/100),L$1-2021),"-")</f>
        <v>-</v>
      </c>
      <c r="M50" s="105" t="str">
        <f>IFERROR((INDEX(lifespans_all!M$49:M$56,MATCH($B50,lifespans_all!$B$49:$B$56,0))*SR_mission_minutes!M50)*POWER(1+(#REF!/100),M$1-2021),"-")</f>
        <v>-</v>
      </c>
      <c r="N50" s="105" t="str">
        <f>IFERROR((INDEX(lifespans_all!N$49:N$56,MATCH($B50,lifespans_all!$B$49:$B$56,0))*SR_mission_minutes!N50)*POWER(1+(#REF!/100),N$1-2021),"-")</f>
        <v>-</v>
      </c>
      <c r="O50" s="105" t="str">
        <f>IFERROR((INDEX(lifespans_all!O$49:O$56,MATCH($B50,lifespans_all!$B$49:$B$56,0))*SR_mission_minutes!O50)*POWER(1+(#REF!/100),O$1-2021),"-")</f>
        <v>-</v>
      </c>
      <c r="P50" s="105" t="str">
        <f>IFERROR((INDEX(lifespans_all!P$49:P$56,MATCH($B50,lifespans_all!$B$49:$B$56,0))*SR_mission_minutes!P50)*POWER(1+(#REF!/100),P$1-2021),"-")</f>
        <v>-</v>
      </c>
      <c r="Q50" s="105" t="str">
        <f>IFERROR((INDEX(lifespans_all!Q$49:Q$56,MATCH($B50,lifespans_all!$B$49:$B$56,0))*SR_mission_minutes!Q50)*POWER(1+(#REF!/100),Q$1-2021),"-")</f>
        <v>-</v>
      </c>
      <c r="R50" s="105" t="str">
        <f>IFERROR((INDEX(lifespans_all!R$49:R$56,MATCH($B50,lifespans_all!$B$49:$B$56,0))*SR_mission_minutes!R50)*POWER(1+(#REF!/100),R$1-2021),"-")</f>
        <v>-</v>
      </c>
      <c r="S50" s="105" t="str">
        <f>IFERROR((INDEX(lifespans_all!S$49:S$56,MATCH($B50,lifespans_all!$B$49:$B$56,0))*SR_mission_minutes!S50)*POWER(1+(#REF!/100),S$1-2021),"-")</f>
        <v>-</v>
      </c>
      <c r="T50" s="105" t="str">
        <f>IFERROR((INDEX(lifespans_all!T$49:T$56,MATCH($B50,lifespans_all!$B$49:$B$56,0))*SR_mission_minutes!T50)*POWER(1+(#REF!/100),T$1-2021),"-")</f>
        <v>-</v>
      </c>
      <c r="U50" s="105" t="str">
        <f>IFERROR((INDEX(lifespans_all!U$49:U$56,MATCH($B50,lifespans_all!$B$49:$B$56,0))*SR_mission_minutes!U50)*POWER(1+(#REF!/100),U$1-2021),"-")</f>
        <v>-</v>
      </c>
      <c r="V50" s="105" t="str">
        <f>IFERROR((INDEX(lifespans_all!V$49:V$56,MATCH($B50,lifespans_all!$B$49:$B$56,0))*SR_mission_minutes!V50)*POWER(1+(#REF!/100),V$1-2021),"-")</f>
        <v>-</v>
      </c>
    </row>
    <row r="51" spans="1:22" x14ac:dyDescent="0.25">
      <c r="A51" s="21" t="s">
        <v>88</v>
      </c>
      <c r="B51" s="20" t="s">
        <v>45</v>
      </c>
      <c r="C51" s="105" t="str">
        <f>IFERROR((INDEX(lifespans_all!C$49:C$56,MATCH($B51,lifespans_all!$B$49:$B$56,0))*SR_mission_minutes!C51)*POWER(1+(#REF!/100),C$1-2021),"-")</f>
        <v>-</v>
      </c>
      <c r="D51" s="105" t="str">
        <f>IFERROR((INDEX(lifespans_all!D$49:D$56,MATCH($B51,lifespans_all!$B$49:$B$56,0))*SR_mission_minutes!D51)*POWER(1+(#REF!/100),D$1-2021),"-")</f>
        <v>-</v>
      </c>
      <c r="E51" s="105" t="str">
        <f>IFERROR((INDEX(lifespans_all!E$49:E$56,MATCH($B51,lifespans_all!$B$49:$B$56,0))*SR_mission_minutes!E51)*POWER(1+(#REF!/100),E$1-2021),"-")</f>
        <v>-</v>
      </c>
      <c r="F51" s="105" t="str">
        <f>IFERROR((INDEX(lifespans_all!F$49:F$56,MATCH($B51,lifespans_all!$B$49:$B$56,0))*SR_mission_minutes!F51)*POWER(1+(#REF!/100),F$1-2021),"-")</f>
        <v>-</v>
      </c>
      <c r="G51" s="105" t="str">
        <f>IFERROR((INDEX(lifespans_all!G$49:G$56,MATCH($B51,lifespans_all!$B$49:$B$56,0))*SR_mission_minutes!G51)*POWER(1+(#REF!/100),G$1-2021),"-")</f>
        <v>-</v>
      </c>
      <c r="H51" s="105" t="str">
        <f>IFERROR((INDEX(lifespans_all!H$49:H$56,MATCH($B51,lifespans_all!$B$49:$B$56,0))*SR_mission_minutes!H51)*POWER(1+(#REF!/100),H$1-2021),"-")</f>
        <v>-</v>
      </c>
      <c r="I51" s="105" t="str">
        <f>IFERROR((INDEX(lifespans_all!I$49:I$56,MATCH($B51,lifespans_all!$B$49:$B$56,0))*SR_mission_minutes!I51)*POWER(1+(#REF!/100),I$1-2021),"-")</f>
        <v>-</v>
      </c>
      <c r="J51" s="105" t="str">
        <f>IFERROR((INDEX(lifespans_all!J$49:J$56,MATCH($B51,lifespans_all!$B$49:$B$56,0))*SR_mission_minutes!J51)*POWER(1+(#REF!/100),J$1-2021),"-")</f>
        <v>-</v>
      </c>
      <c r="K51" s="105" t="str">
        <f>IFERROR((INDEX(lifespans_all!K$49:K$56,MATCH($B51,lifespans_all!$B$49:$B$56,0))*SR_mission_minutes!K51)*POWER(1+(#REF!/100),K$1-2021),"-")</f>
        <v>-</v>
      </c>
      <c r="L51" s="105" t="str">
        <f>IFERROR((INDEX(lifespans_all!L$49:L$56,MATCH($B51,lifespans_all!$B$49:$B$56,0))*SR_mission_minutes!L51)*POWER(1+(#REF!/100),L$1-2021),"-")</f>
        <v>-</v>
      </c>
      <c r="M51" s="105" t="str">
        <f>IFERROR((INDEX(lifespans_all!M$49:M$56,MATCH($B51,lifespans_all!$B$49:$B$56,0))*SR_mission_minutes!M51)*POWER(1+(#REF!/100),M$1-2021),"-")</f>
        <v>-</v>
      </c>
      <c r="N51" s="105" t="str">
        <f>IFERROR((INDEX(lifespans_all!N$49:N$56,MATCH($B51,lifespans_all!$B$49:$B$56,0))*SR_mission_minutes!N51)*POWER(1+(#REF!/100),N$1-2021),"-")</f>
        <v>-</v>
      </c>
      <c r="O51" s="105" t="str">
        <f>IFERROR((INDEX(lifespans_all!O$49:O$56,MATCH($B51,lifespans_all!$B$49:$B$56,0))*SR_mission_minutes!O51)*POWER(1+(#REF!/100),O$1-2021),"-")</f>
        <v>-</v>
      </c>
      <c r="P51" s="105" t="str">
        <f>IFERROR((INDEX(lifespans_all!P$49:P$56,MATCH($B51,lifespans_all!$B$49:$B$56,0))*SR_mission_minutes!P51)*POWER(1+(#REF!/100),P$1-2021),"-")</f>
        <v>-</v>
      </c>
      <c r="Q51" s="105" t="str">
        <f>IFERROR((INDEX(lifespans_all!Q$49:Q$56,MATCH($B51,lifespans_all!$B$49:$B$56,0))*SR_mission_minutes!Q51)*POWER(1+(#REF!/100),Q$1-2021),"-")</f>
        <v>-</v>
      </c>
      <c r="R51" s="105" t="str">
        <f>IFERROR((INDEX(lifespans_all!R$49:R$56,MATCH($B51,lifespans_all!$B$49:$B$56,0))*SR_mission_minutes!R51)*POWER(1+(#REF!/100),R$1-2021),"-")</f>
        <v>-</v>
      </c>
      <c r="S51" s="105" t="str">
        <f>IFERROR((INDEX(lifespans_all!S$49:S$56,MATCH($B51,lifespans_all!$B$49:$B$56,0))*SR_mission_minutes!S51)*POWER(1+(#REF!/100),S$1-2021),"-")</f>
        <v>-</v>
      </c>
      <c r="T51" s="105" t="str">
        <f>IFERROR((INDEX(lifespans_all!T$49:T$56,MATCH($B51,lifespans_all!$B$49:$B$56,0))*SR_mission_minutes!T51)*POWER(1+(#REF!/100),T$1-2021),"-")</f>
        <v>-</v>
      </c>
      <c r="U51" s="105" t="str">
        <f>IFERROR((INDEX(lifespans_all!U$49:U$56,MATCH($B51,lifespans_all!$B$49:$B$56,0))*SR_mission_minutes!U51)*POWER(1+(#REF!/100),U$1-2021),"-")</f>
        <v>-</v>
      </c>
      <c r="V51" s="105" t="str">
        <f>IFERROR((INDEX(lifespans_all!V$49:V$56,MATCH($B51,lifespans_all!$B$49:$B$56,0))*SR_mission_minutes!V51)*POWER(1+(#REF!/100),V$1-2021),"-")</f>
        <v>-</v>
      </c>
    </row>
    <row r="52" spans="1:22" x14ac:dyDescent="0.25">
      <c r="A52" s="45"/>
      <c r="B52" s="45"/>
      <c r="C52" s="118"/>
      <c r="D52" s="2"/>
      <c r="E52" s="2"/>
      <c r="F52" s="2"/>
      <c r="G52" s="2"/>
      <c r="H52" s="2"/>
      <c r="I52" s="2"/>
      <c r="J52" s="2"/>
      <c r="K52" s="2"/>
      <c r="L52" s="2"/>
      <c r="M52" s="2"/>
      <c r="N52" s="2"/>
      <c r="O52" s="2"/>
      <c r="P52" s="2"/>
      <c r="Q52" s="2"/>
      <c r="R52" s="2"/>
      <c r="S52" s="2"/>
      <c r="T52" s="2"/>
      <c r="U52" s="2"/>
      <c r="V52" s="2"/>
    </row>
    <row r="53" spans="1:22" x14ac:dyDescent="0.25">
      <c r="A53" s="45"/>
      <c r="B53" s="45"/>
      <c r="C53" s="22">
        <f t="shared" ref="C53:U53" si="0">SUM(C2:C51)</f>
        <v>1676114.912698413</v>
      </c>
      <c r="D53" s="22">
        <f t="shared" si="0"/>
        <v>1442274.4126984125</v>
      </c>
      <c r="E53" s="22">
        <f t="shared" si="0"/>
        <v>1435181.5555555555</v>
      </c>
      <c r="F53" s="22">
        <f t="shared" si="0"/>
        <v>1301780.7777777778</v>
      </c>
      <c r="G53" s="22">
        <f t="shared" si="0"/>
        <v>1131886.1666666667</v>
      </c>
      <c r="H53" s="22">
        <f t="shared" si="0"/>
        <v>898045.66666666674</v>
      </c>
      <c r="I53" s="22">
        <f t="shared" si="0"/>
        <v>697944.49999999988</v>
      </c>
      <c r="J53" s="22">
        <f t="shared" si="0"/>
        <v>564543.72222222225</v>
      </c>
      <c r="K53" s="22">
        <f t="shared" si="0"/>
        <v>564543.72222222225</v>
      </c>
      <c r="L53" s="22">
        <f t="shared" si="0"/>
        <v>564543.72222222225</v>
      </c>
      <c r="M53" s="22">
        <f t="shared" si="0"/>
        <v>449664.72222222225</v>
      </c>
      <c r="N53" s="22">
        <f t="shared" si="0"/>
        <v>449664.72222222225</v>
      </c>
      <c r="O53" s="22">
        <f t="shared" si="0"/>
        <v>449664.72222222225</v>
      </c>
      <c r="P53" s="22">
        <f t="shared" si="0"/>
        <v>449664.72222222225</v>
      </c>
      <c r="Q53" s="22">
        <f t="shared" si="0"/>
        <v>449664.72222222225</v>
      </c>
      <c r="R53" s="22">
        <f t="shared" si="0"/>
        <v>449664.72222222225</v>
      </c>
      <c r="S53" s="22">
        <f t="shared" si="0"/>
        <v>449664.72222222225</v>
      </c>
      <c r="T53" s="22">
        <f t="shared" si="0"/>
        <v>449664.72222222225</v>
      </c>
      <c r="U53" s="22">
        <f t="shared" si="0"/>
        <v>449664.72222222225</v>
      </c>
      <c r="V53" s="22">
        <f>SUM(V2:V51)</f>
        <v>449664.72222222225</v>
      </c>
    </row>
    <row r="54" spans="1:22" ht="14.4" thickBot="1" x14ac:dyDescent="0.3">
      <c r="B54" s="2" t="s">
        <v>7</v>
      </c>
      <c r="C54" s="23"/>
      <c r="D54" s="23"/>
      <c r="E54" s="23"/>
      <c r="F54" s="23"/>
      <c r="G54" s="23"/>
      <c r="H54" s="23"/>
      <c r="I54" s="23"/>
      <c r="J54" s="23"/>
      <c r="K54" s="23"/>
      <c r="L54" s="2"/>
      <c r="M54" s="2"/>
      <c r="N54" s="23"/>
      <c r="O54" s="23"/>
      <c r="P54" s="23"/>
      <c r="Q54" s="23"/>
      <c r="R54" s="23"/>
      <c r="S54" s="23"/>
      <c r="T54" s="23"/>
      <c r="U54" s="23"/>
      <c r="V54" s="23"/>
    </row>
    <row r="55" spans="1:22" x14ac:dyDescent="0.25">
      <c r="B55" s="54" t="s">
        <v>82</v>
      </c>
      <c r="C55" s="75">
        <v>2021</v>
      </c>
      <c r="D55" s="76">
        <v>2022</v>
      </c>
      <c r="E55" s="75">
        <v>2023</v>
      </c>
      <c r="F55" s="76">
        <v>2024</v>
      </c>
      <c r="G55" s="75">
        <v>2025</v>
      </c>
      <c r="H55" s="76">
        <v>2026</v>
      </c>
      <c r="I55" s="75">
        <v>2027</v>
      </c>
      <c r="J55" s="76">
        <v>2028</v>
      </c>
      <c r="K55" s="75">
        <v>2029</v>
      </c>
      <c r="L55" s="76">
        <v>2030</v>
      </c>
      <c r="M55" s="75">
        <v>2031</v>
      </c>
      <c r="N55" s="76">
        <v>2032</v>
      </c>
      <c r="O55" s="75">
        <v>2033</v>
      </c>
      <c r="P55" s="76">
        <v>2034</v>
      </c>
      <c r="Q55" s="75">
        <v>2035</v>
      </c>
      <c r="R55" s="76">
        <v>2036</v>
      </c>
      <c r="S55" s="75">
        <v>2037</v>
      </c>
      <c r="T55" s="76">
        <v>2038</v>
      </c>
      <c r="U55" s="75">
        <v>2039</v>
      </c>
      <c r="V55" s="76">
        <v>2040</v>
      </c>
    </row>
    <row r="56" spans="1:22" x14ac:dyDescent="0.25">
      <c r="B56" s="33" t="s">
        <v>43</v>
      </c>
      <c r="C56" s="78">
        <f>SUMIF($B2:$B51,$B56,C$2:C$51)</f>
        <v>459516</v>
      </c>
      <c r="D56" s="78">
        <f>SUMIF($B2:$B51,$B56,D$2:D$51)</f>
        <v>459516</v>
      </c>
      <c r="E56" s="78">
        <f>SUMIF($B2:$B51,$B56,E$2:E$51)</f>
        <v>459516</v>
      </c>
      <c r="F56" s="78">
        <f>SUMIF($B2:$B51,$B56,F$2:F$51)</f>
        <v>459516</v>
      </c>
      <c r="G56" s="78">
        <f>SUMIF($B2:$B51,$B56,G$2:G$51)</f>
        <v>459516</v>
      </c>
      <c r="H56" s="78">
        <f t="shared" ref="H56:V56" si="1">SUMIF($B2:$B51,$B56,H$2:H$51)</f>
        <v>459516</v>
      </c>
      <c r="I56" s="78">
        <f t="shared" si="1"/>
        <v>459516</v>
      </c>
      <c r="J56" s="78">
        <f t="shared" si="1"/>
        <v>459516</v>
      </c>
      <c r="K56" s="78">
        <f t="shared" si="1"/>
        <v>459516</v>
      </c>
      <c r="L56" s="78">
        <f t="shared" si="1"/>
        <v>459516</v>
      </c>
      <c r="M56" s="78">
        <f t="shared" si="1"/>
        <v>344637</v>
      </c>
      <c r="N56" s="78">
        <f t="shared" si="1"/>
        <v>344637</v>
      </c>
      <c r="O56" s="78">
        <f t="shared" si="1"/>
        <v>344637</v>
      </c>
      <c r="P56" s="78">
        <f t="shared" si="1"/>
        <v>344637</v>
      </c>
      <c r="Q56" s="78">
        <f t="shared" si="1"/>
        <v>344637</v>
      </c>
      <c r="R56" s="78">
        <f t="shared" si="1"/>
        <v>344637</v>
      </c>
      <c r="S56" s="78">
        <f t="shared" si="1"/>
        <v>344637</v>
      </c>
      <c r="T56" s="78">
        <f t="shared" si="1"/>
        <v>344637</v>
      </c>
      <c r="U56" s="78">
        <f t="shared" si="1"/>
        <v>344637</v>
      </c>
      <c r="V56" s="78">
        <f t="shared" si="1"/>
        <v>344637</v>
      </c>
    </row>
    <row r="57" spans="1:22" x14ac:dyDescent="0.25">
      <c r="B57" s="33" t="s">
        <v>41</v>
      </c>
      <c r="C57" s="78">
        <f>SUMIF($B2:$B51,$B57,C$2:C$51)</f>
        <v>1100945.5555555555</v>
      </c>
      <c r="D57" s="78">
        <f>SUMIF($B2:$B51,$B57,D$2:D$51)</f>
        <v>900844.38888888888</v>
      </c>
      <c r="E57" s="78">
        <f>SUMIF($B2:$B51,$B57,E$2:E$51)</f>
        <v>900844.38888888888</v>
      </c>
      <c r="F57" s="78">
        <f>SUMIF($B2:$B51,$B57,F$2:F$51)</f>
        <v>767443.61111111112</v>
      </c>
      <c r="G57" s="78">
        <f>SUMIF($B2:$B51,$B57,G$2:G$51)</f>
        <v>600303.5</v>
      </c>
      <c r="H57" s="78">
        <f t="shared" ref="H57:V57" si="2">SUMIF($B2:$B51,$B57,H$2:H$51)</f>
        <v>400202.33333333331</v>
      </c>
      <c r="I57" s="78">
        <f t="shared" si="2"/>
        <v>200101.16666666669</v>
      </c>
      <c r="J57" s="78">
        <f t="shared" si="2"/>
        <v>66700.388888888891</v>
      </c>
      <c r="K57" s="78">
        <f t="shared" si="2"/>
        <v>66700.388888888891</v>
      </c>
      <c r="L57" s="78">
        <f t="shared" si="2"/>
        <v>66700.388888888891</v>
      </c>
      <c r="M57" s="78">
        <f t="shared" si="2"/>
        <v>66700.388888888891</v>
      </c>
      <c r="N57" s="78">
        <f t="shared" si="2"/>
        <v>66700.388888888891</v>
      </c>
      <c r="O57" s="78">
        <f t="shared" si="2"/>
        <v>66700.388888888891</v>
      </c>
      <c r="P57" s="78">
        <f t="shared" si="2"/>
        <v>66700.388888888891</v>
      </c>
      <c r="Q57" s="78">
        <f t="shared" si="2"/>
        <v>66700.388888888891</v>
      </c>
      <c r="R57" s="78">
        <f t="shared" si="2"/>
        <v>66700.388888888891</v>
      </c>
      <c r="S57" s="78">
        <f t="shared" si="2"/>
        <v>66700.388888888891</v>
      </c>
      <c r="T57" s="78">
        <f t="shared" si="2"/>
        <v>66700.388888888891</v>
      </c>
      <c r="U57" s="78">
        <f t="shared" si="2"/>
        <v>66700.388888888891</v>
      </c>
      <c r="V57" s="78">
        <f t="shared" si="2"/>
        <v>66700.388888888891</v>
      </c>
    </row>
    <row r="58" spans="1:22" x14ac:dyDescent="0.25">
      <c r="B58" s="33" t="s">
        <v>40</v>
      </c>
      <c r="C58" s="78">
        <f>SUMIF($B2:$B51,$B58,C$2:C$51)</f>
        <v>7092.8571428571431</v>
      </c>
      <c r="D58" s="78">
        <f>SUMIF($B2:$B51,$B58,D$2:D$51)</f>
        <v>7092.8571428571431</v>
      </c>
      <c r="E58" s="78">
        <f>SUMIF($B2:$B51,$B58,E$2:E$51)</f>
        <v>0</v>
      </c>
      <c r="F58" s="78">
        <f>SUMIF($B2:$B51,$B58,F$2:F$51)</f>
        <v>0</v>
      </c>
      <c r="G58" s="78">
        <f>SUMIF($B2:$B51,$B58,G$2:G$51)</f>
        <v>0</v>
      </c>
      <c r="H58" s="78">
        <f t="shared" ref="H58:V58" si="3">SUMIF($B2:$B51,$B58,H$2:H$51)</f>
        <v>0</v>
      </c>
      <c r="I58" s="78">
        <f t="shared" si="3"/>
        <v>0</v>
      </c>
      <c r="J58" s="78">
        <f t="shared" si="3"/>
        <v>0</v>
      </c>
      <c r="K58" s="78">
        <f t="shared" si="3"/>
        <v>0</v>
      </c>
      <c r="L58" s="78">
        <f t="shared" si="3"/>
        <v>0</v>
      </c>
      <c r="M58" s="78">
        <f t="shared" si="3"/>
        <v>0</v>
      </c>
      <c r="N58" s="78">
        <f t="shared" si="3"/>
        <v>0</v>
      </c>
      <c r="O58" s="78">
        <f t="shared" si="3"/>
        <v>0</v>
      </c>
      <c r="P58" s="78">
        <f t="shared" si="3"/>
        <v>0</v>
      </c>
      <c r="Q58" s="78">
        <f t="shared" si="3"/>
        <v>0</v>
      </c>
      <c r="R58" s="78">
        <f t="shared" si="3"/>
        <v>0</v>
      </c>
      <c r="S58" s="78">
        <f t="shared" si="3"/>
        <v>0</v>
      </c>
      <c r="T58" s="78">
        <f t="shared" si="3"/>
        <v>0</v>
      </c>
      <c r="U58" s="78">
        <f t="shared" si="3"/>
        <v>0</v>
      </c>
      <c r="V58" s="78">
        <f t="shared" si="3"/>
        <v>0</v>
      </c>
    </row>
    <row r="59" spans="1:22" x14ac:dyDescent="0.25">
      <c r="B59" s="33" t="s">
        <v>80</v>
      </c>
      <c r="C59" s="78">
        <f>SUMIF($B2:$B51,$B59,C$2:C$51)</f>
        <v>0</v>
      </c>
      <c r="D59" s="78">
        <f>SUMIF($B2:$B51,$B59,D$2:D$51)</f>
        <v>0</v>
      </c>
      <c r="E59" s="78">
        <f>SUMIF($B2:$B51,$B59,E$2:E$51)</f>
        <v>0</v>
      </c>
      <c r="F59" s="78">
        <f>SUMIF($B2:$B51,$B59,F$2:F$51)</f>
        <v>0</v>
      </c>
      <c r="G59" s="78">
        <f>SUMIF($B2:$B51,$B59,G$2:G$51)</f>
        <v>0</v>
      </c>
      <c r="H59" s="78">
        <f t="shared" ref="H59:V59" si="4">SUMIF($B2:$B51,$B59,H$2:H$51)</f>
        <v>0</v>
      </c>
      <c r="I59" s="78">
        <f t="shared" si="4"/>
        <v>0</v>
      </c>
      <c r="J59" s="78">
        <f t="shared" si="4"/>
        <v>0</v>
      </c>
      <c r="K59" s="78">
        <f t="shared" si="4"/>
        <v>0</v>
      </c>
      <c r="L59" s="78">
        <f t="shared" si="4"/>
        <v>0</v>
      </c>
      <c r="M59" s="78">
        <f t="shared" si="4"/>
        <v>0</v>
      </c>
      <c r="N59" s="78">
        <f t="shared" si="4"/>
        <v>0</v>
      </c>
      <c r="O59" s="78">
        <f t="shared" si="4"/>
        <v>0</v>
      </c>
      <c r="P59" s="78">
        <f t="shared" si="4"/>
        <v>0</v>
      </c>
      <c r="Q59" s="78">
        <f t="shared" si="4"/>
        <v>0</v>
      </c>
      <c r="R59" s="78">
        <f t="shared" si="4"/>
        <v>0</v>
      </c>
      <c r="S59" s="78">
        <f t="shared" si="4"/>
        <v>0</v>
      </c>
      <c r="T59" s="78">
        <f t="shared" si="4"/>
        <v>0</v>
      </c>
      <c r="U59" s="78">
        <f t="shared" si="4"/>
        <v>0</v>
      </c>
      <c r="V59" s="78">
        <f t="shared" si="4"/>
        <v>0</v>
      </c>
    </row>
    <row r="60" spans="1:22" x14ac:dyDescent="0.25">
      <c r="B60" s="33" t="s">
        <v>44</v>
      </c>
      <c r="C60" s="78">
        <f>SUMIF($B2:$B51,$B60,C$2:C$51)</f>
        <v>460.5</v>
      </c>
      <c r="D60" s="78">
        <f>SUMIF($B2:$B51,$B60,D$2:D$51)</f>
        <v>460.5</v>
      </c>
      <c r="E60" s="78">
        <f>SUMIF($B2:$B51,$B60,E$2:E$51)</f>
        <v>460.5</v>
      </c>
      <c r="F60" s="78">
        <f>SUMIF($B2:$B51,$B60,F$2:F$51)</f>
        <v>460.5</v>
      </c>
      <c r="G60" s="78">
        <f>SUMIF($B2:$B51,$B60,G$2:G$51)</f>
        <v>0</v>
      </c>
      <c r="H60" s="78">
        <f t="shared" ref="H60:V60" si="5">SUMIF($B2:$B51,$B60,H$2:H$51)</f>
        <v>0</v>
      </c>
      <c r="I60" s="78">
        <f t="shared" si="5"/>
        <v>0</v>
      </c>
      <c r="J60" s="78">
        <f t="shared" si="5"/>
        <v>0</v>
      </c>
      <c r="K60" s="78">
        <f t="shared" si="5"/>
        <v>0</v>
      </c>
      <c r="L60" s="78">
        <f t="shared" si="5"/>
        <v>0</v>
      </c>
      <c r="M60" s="78">
        <f t="shared" si="5"/>
        <v>0</v>
      </c>
      <c r="N60" s="78">
        <f t="shared" si="5"/>
        <v>0</v>
      </c>
      <c r="O60" s="78">
        <f t="shared" si="5"/>
        <v>0</v>
      </c>
      <c r="P60" s="78">
        <f t="shared" si="5"/>
        <v>0</v>
      </c>
      <c r="Q60" s="78">
        <f t="shared" si="5"/>
        <v>0</v>
      </c>
      <c r="R60" s="78">
        <f t="shared" si="5"/>
        <v>0</v>
      </c>
      <c r="S60" s="78">
        <f t="shared" si="5"/>
        <v>0</v>
      </c>
      <c r="T60" s="78">
        <f t="shared" si="5"/>
        <v>0</v>
      </c>
      <c r="U60" s="78">
        <f t="shared" si="5"/>
        <v>0</v>
      </c>
      <c r="V60" s="78">
        <f t="shared" si="5"/>
        <v>0</v>
      </c>
    </row>
    <row r="61" spans="1:22" x14ac:dyDescent="0.25">
      <c r="B61" s="33" t="s">
        <v>81</v>
      </c>
      <c r="C61" s="78">
        <f>SUMIF($B2:$B51,$B61,C$2:C$51)</f>
        <v>0</v>
      </c>
      <c r="D61" s="78">
        <f>SUMIF($B2:$B51,$B61,D$2:D$51)</f>
        <v>0</v>
      </c>
      <c r="E61" s="78">
        <f>SUMIF($B2:$B51,$B61,E$2:E$51)</f>
        <v>0</v>
      </c>
      <c r="F61" s="78">
        <f>SUMIF($B2:$B51,$B61,F$2:F$51)</f>
        <v>0</v>
      </c>
      <c r="G61" s="78">
        <f>SUMIF($B2:$B51,$B61,G$2:G$51)</f>
        <v>0</v>
      </c>
      <c r="H61" s="78">
        <f t="shared" ref="H61:V61" si="6">SUMIF($B2:$B51,$B61,H$2:H$51)</f>
        <v>0</v>
      </c>
      <c r="I61" s="78">
        <f t="shared" si="6"/>
        <v>0</v>
      </c>
      <c r="J61" s="78">
        <f t="shared" si="6"/>
        <v>0</v>
      </c>
      <c r="K61" s="78">
        <f t="shared" si="6"/>
        <v>0</v>
      </c>
      <c r="L61" s="78">
        <f t="shared" si="6"/>
        <v>0</v>
      </c>
      <c r="M61" s="78">
        <f t="shared" si="6"/>
        <v>0</v>
      </c>
      <c r="N61" s="78">
        <f t="shared" si="6"/>
        <v>0</v>
      </c>
      <c r="O61" s="78">
        <f t="shared" si="6"/>
        <v>0</v>
      </c>
      <c r="P61" s="78">
        <f t="shared" si="6"/>
        <v>0</v>
      </c>
      <c r="Q61" s="78">
        <f t="shared" si="6"/>
        <v>0</v>
      </c>
      <c r="R61" s="78">
        <f t="shared" si="6"/>
        <v>0</v>
      </c>
      <c r="S61" s="78">
        <f t="shared" si="6"/>
        <v>0</v>
      </c>
      <c r="T61" s="78">
        <f t="shared" si="6"/>
        <v>0</v>
      </c>
      <c r="U61" s="78">
        <f t="shared" si="6"/>
        <v>0</v>
      </c>
      <c r="V61" s="78">
        <f t="shared" si="6"/>
        <v>0</v>
      </c>
    </row>
    <row r="62" spans="1:22" x14ac:dyDescent="0.25">
      <c r="B62" s="33" t="s">
        <v>42</v>
      </c>
      <c r="C62" s="78">
        <f>SUMIF($B2:$B51,$B62,C$2:C$51)</f>
        <v>6882</v>
      </c>
      <c r="D62" s="78">
        <f>SUMIF($B2:$B51,$B62,D$2:D$51)</f>
        <v>6882</v>
      </c>
      <c r="E62" s="78">
        <f>SUMIF($B2:$B51,$B62,E$2:E$51)</f>
        <v>6882</v>
      </c>
      <c r="F62" s="78">
        <f>SUMIF($B2:$B51,$B62,F$2:F$51)</f>
        <v>6882</v>
      </c>
      <c r="G62" s="78">
        <f>SUMIF($B2:$B51,$B62,G$2:G$51)</f>
        <v>4588</v>
      </c>
      <c r="H62" s="78">
        <f t="shared" ref="H62:V62" si="7">SUMIF($B2:$B51,$B62,H$2:H$51)</f>
        <v>4588</v>
      </c>
      <c r="I62" s="78">
        <f t="shared" si="7"/>
        <v>4588</v>
      </c>
      <c r="J62" s="78">
        <f t="shared" si="7"/>
        <v>4588</v>
      </c>
      <c r="K62" s="78">
        <f t="shared" si="7"/>
        <v>4588</v>
      </c>
      <c r="L62" s="78">
        <f t="shared" si="7"/>
        <v>4588</v>
      </c>
      <c r="M62" s="78">
        <f t="shared" si="7"/>
        <v>4588</v>
      </c>
      <c r="N62" s="78">
        <f t="shared" si="7"/>
        <v>4588</v>
      </c>
      <c r="O62" s="78">
        <f t="shared" si="7"/>
        <v>4588</v>
      </c>
      <c r="P62" s="78">
        <f t="shared" si="7"/>
        <v>4588</v>
      </c>
      <c r="Q62" s="78">
        <f t="shared" si="7"/>
        <v>4588</v>
      </c>
      <c r="R62" s="78">
        <f t="shared" si="7"/>
        <v>4588</v>
      </c>
      <c r="S62" s="78">
        <f t="shared" si="7"/>
        <v>4588</v>
      </c>
      <c r="T62" s="78">
        <f t="shared" si="7"/>
        <v>4588</v>
      </c>
      <c r="U62" s="78">
        <f t="shared" si="7"/>
        <v>4588</v>
      </c>
      <c r="V62" s="78">
        <f t="shared" si="7"/>
        <v>4588</v>
      </c>
    </row>
    <row r="63" spans="1:22" ht="14.4" thickBot="1" x14ac:dyDescent="0.3">
      <c r="B63" s="39" t="s">
        <v>45</v>
      </c>
      <c r="C63" s="78">
        <f>SUMIF($B2:$B51,$B63,C$2:C$51)</f>
        <v>101218</v>
      </c>
      <c r="D63" s="78">
        <f>SUMIF($B2:$B51,$B63,D$2:D$51)</f>
        <v>67478.666666666672</v>
      </c>
      <c r="E63" s="78">
        <f>SUMIF($B2:$B51,$B63,E$2:E$51)</f>
        <v>67478.666666666672</v>
      </c>
      <c r="F63" s="78">
        <f>SUMIF($B2:$B51,$B63,F$2:F$51)</f>
        <v>67478.666666666672</v>
      </c>
      <c r="G63" s="78">
        <f>SUMIF($B2:$B51,$B63,G$2:G$51)</f>
        <v>67478.666666666672</v>
      </c>
      <c r="H63" s="78">
        <f t="shared" ref="H63:V63" si="8">SUMIF($B2:$B51,$B63,H$2:H$51)</f>
        <v>33739.333333333336</v>
      </c>
      <c r="I63" s="78">
        <f t="shared" si="8"/>
        <v>33739.333333333336</v>
      </c>
      <c r="J63" s="78">
        <f t="shared" si="8"/>
        <v>33739.333333333336</v>
      </c>
      <c r="K63" s="78">
        <f t="shared" si="8"/>
        <v>33739.333333333336</v>
      </c>
      <c r="L63" s="78">
        <f t="shared" si="8"/>
        <v>33739.333333333336</v>
      </c>
      <c r="M63" s="78">
        <f t="shared" si="8"/>
        <v>33739.333333333336</v>
      </c>
      <c r="N63" s="78">
        <f t="shared" si="8"/>
        <v>33739.333333333336</v>
      </c>
      <c r="O63" s="78">
        <f t="shared" si="8"/>
        <v>33739.333333333336</v>
      </c>
      <c r="P63" s="78">
        <f t="shared" si="8"/>
        <v>33739.333333333336</v>
      </c>
      <c r="Q63" s="78">
        <f t="shared" si="8"/>
        <v>33739.333333333336</v>
      </c>
      <c r="R63" s="78">
        <f t="shared" si="8"/>
        <v>33739.333333333336</v>
      </c>
      <c r="S63" s="78">
        <f t="shared" si="8"/>
        <v>33739.333333333336</v>
      </c>
      <c r="T63" s="78">
        <f t="shared" si="8"/>
        <v>33739.333333333336</v>
      </c>
      <c r="U63" s="78">
        <f t="shared" si="8"/>
        <v>33739.333333333336</v>
      </c>
      <c r="V63" s="78">
        <f t="shared" si="8"/>
        <v>33739.333333333336</v>
      </c>
    </row>
    <row r="64" spans="1:22" x14ac:dyDescent="0.25">
      <c r="C64" s="23"/>
      <c r="D64" s="23"/>
      <c r="E64" s="23"/>
      <c r="F64" s="23"/>
      <c r="G64" s="23"/>
      <c r="H64" s="23"/>
      <c r="I64" s="23"/>
      <c r="J64" s="23"/>
      <c r="K64" s="23"/>
      <c r="L64" s="24"/>
      <c r="M64" s="23"/>
      <c r="N64" s="23"/>
      <c r="O64" s="23"/>
      <c r="P64" s="23"/>
      <c r="Q64" s="23"/>
      <c r="R64" s="23"/>
      <c r="S64" s="23"/>
      <c r="T64" s="23"/>
      <c r="U64" s="23"/>
      <c r="V64" s="23"/>
    </row>
    <row r="65" spans="1:22" x14ac:dyDescent="0.25">
      <c r="C65" s="23">
        <f>SUM(C56:C63)</f>
        <v>1676114.9126984125</v>
      </c>
      <c r="D65" s="23">
        <f t="shared" ref="D65:U65" si="9">SUM(D56:D63)</f>
        <v>1442274.4126984128</v>
      </c>
      <c r="E65" s="23">
        <f t="shared" si="9"/>
        <v>1435181.5555555557</v>
      </c>
      <c r="F65" s="23">
        <f t="shared" si="9"/>
        <v>1301780.7777777778</v>
      </c>
      <c r="G65" s="23">
        <f t="shared" si="9"/>
        <v>1131886.1666666667</v>
      </c>
      <c r="H65" s="23">
        <f t="shared" si="9"/>
        <v>898045.66666666663</v>
      </c>
      <c r="I65" s="23">
        <f t="shared" si="9"/>
        <v>697944.50000000012</v>
      </c>
      <c r="J65" s="23">
        <f t="shared" si="9"/>
        <v>564543.72222222225</v>
      </c>
      <c r="K65" s="23">
        <f t="shared" si="9"/>
        <v>564543.72222222225</v>
      </c>
      <c r="L65" s="24">
        <f t="shared" si="9"/>
        <v>564543.72222222225</v>
      </c>
      <c r="M65" s="23">
        <f t="shared" si="9"/>
        <v>449664.72222222219</v>
      </c>
      <c r="N65" s="23">
        <f t="shared" si="9"/>
        <v>449664.72222222219</v>
      </c>
      <c r="O65" s="23">
        <f t="shared" si="9"/>
        <v>449664.72222222219</v>
      </c>
      <c r="P65" s="23">
        <f t="shared" si="9"/>
        <v>449664.72222222219</v>
      </c>
      <c r="Q65" s="23">
        <f t="shared" si="9"/>
        <v>449664.72222222219</v>
      </c>
      <c r="R65" s="23">
        <f t="shared" si="9"/>
        <v>449664.72222222219</v>
      </c>
      <c r="S65" s="23">
        <f t="shared" si="9"/>
        <v>449664.72222222219</v>
      </c>
      <c r="T65" s="23">
        <f t="shared" si="9"/>
        <v>449664.72222222219</v>
      </c>
      <c r="U65" s="23">
        <f t="shared" si="9"/>
        <v>449664.72222222219</v>
      </c>
      <c r="V65" s="23">
        <f>SUM(V56:V63)</f>
        <v>449664.72222222219</v>
      </c>
    </row>
    <row r="66" spans="1:22" x14ac:dyDescent="0.25">
      <c r="C66" s="23"/>
      <c r="D66" s="23"/>
      <c r="E66" s="23"/>
      <c r="F66" s="23"/>
      <c r="G66" s="23"/>
      <c r="H66" s="23"/>
      <c r="I66" s="23"/>
      <c r="J66" s="23"/>
      <c r="K66" s="23"/>
      <c r="L66" s="24"/>
      <c r="M66" s="2"/>
      <c r="N66" s="23"/>
      <c r="O66" s="23"/>
      <c r="P66" s="23"/>
      <c r="Q66" s="23"/>
      <c r="R66" s="23"/>
      <c r="S66" s="23"/>
      <c r="T66" s="23"/>
      <c r="U66" s="23"/>
      <c r="V66" s="23"/>
    </row>
    <row r="67" spans="1:22" ht="14.4" thickBot="1" x14ac:dyDescent="0.3">
      <c r="B67" s="2" t="s">
        <v>7</v>
      </c>
      <c r="C67" s="23"/>
      <c r="D67" s="23"/>
      <c r="E67" s="23"/>
      <c r="F67" s="23"/>
      <c r="G67" s="23"/>
      <c r="H67" s="23"/>
      <c r="I67" s="23"/>
      <c r="J67" s="23"/>
      <c r="K67" s="23"/>
      <c r="L67" s="24"/>
      <c r="M67" s="2"/>
      <c r="N67" s="23"/>
      <c r="O67" s="23"/>
      <c r="P67" s="23"/>
      <c r="Q67" s="23"/>
      <c r="R67" s="23"/>
      <c r="S67" s="23"/>
      <c r="T67" s="23"/>
      <c r="U67" s="23"/>
      <c r="V67" s="23"/>
    </row>
    <row r="68" spans="1:22" x14ac:dyDescent="0.25">
      <c r="B68" s="54" t="s">
        <v>82</v>
      </c>
      <c r="C68" s="75">
        <v>2021</v>
      </c>
      <c r="D68" s="75">
        <v>2022</v>
      </c>
      <c r="E68" s="75">
        <v>2023</v>
      </c>
      <c r="F68" s="75">
        <v>2024</v>
      </c>
      <c r="G68" s="75">
        <v>2025</v>
      </c>
      <c r="H68" s="75">
        <v>2026</v>
      </c>
      <c r="I68" s="75">
        <v>2027</v>
      </c>
      <c r="J68" s="75">
        <v>2028</v>
      </c>
      <c r="K68" s="75">
        <v>2029</v>
      </c>
      <c r="L68" s="75">
        <v>2030</v>
      </c>
      <c r="M68" s="75">
        <v>2031</v>
      </c>
      <c r="N68" s="75">
        <v>2032</v>
      </c>
      <c r="O68" s="75">
        <v>2033</v>
      </c>
      <c r="P68" s="75">
        <v>2034</v>
      </c>
      <c r="Q68" s="75">
        <v>2035</v>
      </c>
      <c r="R68" s="75">
        <v>2036</v>
      </c>
      <c r="S68" s="75">
        <v>2037</v>
      </c>
      <c r="T68" s="75">
        <v>2038</v>
      </c>
      <c r="U68" s="75">
        <v>2039</v>
      </c>
      <c r="V68" s="75">
        <v>2040</v>
      </c>
    </row>
    <row r="69" spans="1:22" x14ac:dyDescent="0.25">
      <c r="B69" s="33" t="s">
        <v>93</v>
      </c>
      <c r="C69" s="25">
        <f>SUM(C2:C43)</f>
        <v>1676114.912698413</v>
      </c>
      <c r="D69" s="25">
        <f t="shared" ref="D69:V69" si="10">SUM(D2:D43)</f>
        <v>1442274.4126984125</v>
      </c>
      <c r="E69" s="25">
        <f t="shared" si="10"/>
        <v>1435181.5555555555</v>
      </c>
      <c r="F69" s="25">
        <f t="shared" si="10"/>
        <v>1301780.7777777778</v>
      </c>
      <c r="G69" s="25">
        <f t="shared" si="10"/>
        <v>1131886.1666666667</v>
      </c>
      <c r="H69" s="25">
        <f t="shared" si="10"/>
        <v>898045.66666666674</v>
      </c>
      <c r="I69" s="25">
        <f t="shared" si="10"/>
        <v>697944.49999999988</v>
      </c>
      <c r="J69" s="25">
        <f t="shared" si="10"/>
        <v>564543.72222222225</v>
      </c>
      <c r="K69" s="25">
        <f t="shared" si="10"/>
        <v>564543.72222222225</v>
      </c>
      <c r="L69" s="25">
        <f t="shared" si="10"/>
        <v>564543.72222222225</v>
      </c>
      <c r="M69" s="25">
        <f t="shared" si="10"/>
        <v>449664.72222222225</v>
      </c>
      <c r="N69" s="25">
        <f t="shared" si="10"/>
        <v>449664.72222222225</v>
      </c>
      <c r="O69" s="25">
        <f t="shared" si="10"/>
        <v>449664.72222222225</v>
      </c>
      <c r="P69" s="25">
        <f t="shared" si="10"/>
        <v>449664.72222222225</v>
      </c>
      <c r="Q69" s="25">
        <f t="shared" si="10"/>
        <v>449664.72222222225</v>
      </c>
      <c r="R69" s="25">
        <f t="shared" si="10"/>
        <v>449664.72222222225</v>
      </c>
      <c r="S69" s="25">
        <f t="shared" si="10"/>
        <v>449664.72222222225</v>
      </c>
      <c r="T69" s="25">
        <f t="shared" si="10"/>
        <v>449664.72222222225</v>
      </c>
      <c r="U69" s="25">
        <f t="shared" si="10"/>
        <v>449664.72222222225</v>
      </c>
      <c r="V69" s="25">
        <f t="shared" si="10"/>
        <v>449664.72222222225</v>
      </c>
    </row>
    <row r="70" spans="1:22" x14ac:dyDescent="0.25">
      <c r="B70" s="33" t="s">
        <v>94</v>
      </c>
      <c r="C70" s="25">
        <f>SUM(C44:C51)</f>
        <v>0</v>
      </c>
      <c r="D70" s="25">
        <f t="shared" ref="D70:V70" si="11">SUM(D44:D51)</f>
        <v>0</v>
      </c>
      <c r="E70" s="25">
        <f t="shared" si="11"/>
        <v>0</v>
      </c>
      <c r="F70" s="25">
        <f t="shared" si="11"/>
        <v>0</v>
      </c>
      <c r="G70" s="25">
        <f t="shared" si="11"/>
        <v>0</v>
      </c>
      <c r="H70" s="25">
        <f t="shared" si="11"/>
        <v>0</v>
      </c>
      <c r="I70" s="25">
        <f t="shared" si="11"/>
        <v>0</v>
      </c>
      <c r="J70" s="25">
        <f t="shared" si="11"/>
        <v>0</v>
      </c>
      <c r="K70" s="25">
        <f t="shared" si="11"/>
        <v>0</v>
      </c>
      <c r="L70" s="25">
        <f t="shared" si="11"/>
        <v>0</v>
      </c>
      <c r="M70" s="25">
        <f t="shared" si="11"/>
        <v>0</v>
      </c>
      <c r="N70" s="25">
        <f t="shared" si="11"/>
        <v>0</v>
      </c>
      <c r="O70" s="25">
        <f t="shared" si="11"/>
        <v>0</v>
      </c>
      <c r="P70" s="25">
        <f t="shared" si="11"/>
        <v>0</v>
      </c>
      <c r="Q70" s="25">
        <f t="shared" si="11"/>
        <v>0</v>
      </c>
      <c r="R70" s="25">
        <f t="shared" si="11"/>
        <v>0</v>
      </c>
      <c r="S70" s="25">
        <f t="shared" si="11"/>
        <v>0</v>
      </c>
      <c r="T70" s="25">
        <f t="shared" si="11"/>
        <v>0</v>
      </c>
      <c r="U70" s="25">
        <f t="shared" si="11"/>
        <v>0</v>
      </c>
      <c r="V70" s="25">
        <f t="shared" si="11"/>
        <v>0</v>
      </c>
    </row>
    <row r="71" spans="1:22" x14ac:dyDescent="0.25">
      <c r="C71" s="2"/>
      <c r="D71" s="2"/>
      <c r="E71" s="2"/>
      <c r="F71" s="2"/>
      <c r="G71" s="2"/>
      <c r="H71" s="2"/>
      <c r="I71" s="2"/>
      <c r="J71" s="2"/>
      <c r="K71" s="2"/>
      <c r="L71" s="2"/>
      <c r="M71" s="2"/>
      <c r="N71" s="2"/>
      <c r="O71" s="2"/>
      <c r="P71" s="2"/>
      <c r="Q71" s="2"/>
      <c r="R71" s="2"/>
      <c r="S71" s="2"/>
      <c r="T71" s="2"/>
      <c r="U71" s="2"/>
      <c r="V71" s="2"/>
    </row>
    <row r="72" spans="1:22" x14ac:dyDescent="0.25">
      <c r="C72" s="22">
        <f>SUM(C69:C70)</f>
        <v>1676114.912698413</v>
      </c>
      <c r="D72" s="22">
        <f t="shared" ref="D72:V72" si="12">SUM(D69:D70)</f>
        <v>1442274.4126984125</v>
      </c>
      <c r="E72" s="22">
        <f t="shared" si="12"/>
        <v>1435181.5555555555</v>
      </c>
      <c r="F72" s="22">
        <f t="shared" si="12"/>
        <v>1301780.7777777778</v>
      </c>
      <c r="G72" s="22">
        <f t="shared" si="12"/>
        <v>1131886.1666666667</v>
      </c>
      <c r="H72" s="22">
        <f t="shared" si="12"/>
        <v>898045.66666666674</v>
      </c>
      <c r="I72" s="22">
        <f t="shared" si="12"/>
        <v>697944.49999999988</v>
      </c>
      <c r="J72" s="22">
        <f t="shared" si="12"/>
        <v>564543.72222222225</v>
      </c>
      <c r="K72" s="22">
        <f t="shared" si="12"/>
        <v>564543.72222222225</v>
      </c>
      <c r="L72" s="22">
        <f t="shared" si="12"/>
        <v>564543.72222222225</v>
      </c>
      <c r="M72" s="22">
        <f t="shared" si="12"/>
        <v>449664.72222222225</v>
      </c>
      <c r="N72" s="22">
        <f t="shared" si="12"/>
        <v>449664.72222222225</v>
      </c>
      <c r="O72" s="22">
        <f t="shared" si="12"/>
        <v>449664.72222222225</v>
      </c>
      <c r="P72" s="22">
        <f t="shared" si="12"/>
        <v>449664.72222222225</v>
      </c>
      <c r="Q72" s="22">
        <f t="shared" si="12"/>
        <v>449664.72222222225</v>
      </c>
      <c r="R72" s="22">
        <f t="shared" si="12"/>
        <v>449664.72222222225</v>
      </c>
      <c r="S72" s="22">
        <f t="shared" si="12"/>
        <v>449664.72222222225</v>
      </c>
      <c r="T72" s="22">
        <f t="shared" si="12"/>
        <v>449664.72222222225</v>
      </c>
      <c r="U72" s="22">
        <f t="shared" si="12"/>
        <v>449664.72222222225</v>
      </c>
      <c r="V72" s="22">
        <f t="shared" si="12"/>
        <v>449664.72222222225</v>
      </c>
    </row>
    <row r="73" spans="1:22" x14ac:dyDescent="0.25">
      <c r="C73" s="2"/>
      <c r="D73" s="2"/>
      <c r="E73" s="2"/>
      <c r="F73" s="2"/>
      <c r="G73" s="2"/>
      <c r="H73" s="2"/>
      <c r="I73" s="2"/>
      <c r="J73" s="2"/>
      <c r="K73" s="2"/>
      <c r="L73" s="2"/>
      <c r="M73" s="2"/>
      <c r="N73" s="2"/>
      <c r="O73" s="2"/>
      <c r="P73" s="2"/>
      <c r="Q73" s="2"/>
      <c r="R73" s="2"/>
      <c r="S73" s="2"/>
      <c r="T73" s="2"/>
      <c r="U73" s="2"/>
      <c r="V73" s="2"/>
    </row>
    <row r="74" spans="1:22" x14ac:dyDescent="0.25">
      <c r="A74" s="76" t="s">
        <v>16</v>
      </c>
      <c r="B74" s="76" t="s">
        <v>82</v>
      </c>
      <c r="C74" s="75">
        <v>2021</v>
      </c>
      <c r="D74" s="76">
        <v>2022</v>
      </c>
      <c r="E74" s="75">
        <v>2023</v>
      </c>
      <c r="F74" s="76">
        <v>2024</v>
      </c>
      <c r="G74" s="75">
        <v>2025</v>
      </c>
      <c r="H74" s="76">
        <v>2026</v>
      </c>
      <c r="I74" s="75">
        <v>2027</v>
      </c>
      <c r="J74" s="76">
        <v>2028</v>
      </c>
      <c r="K74" s="75">
        <v>2029</v>
      </c>
      <c r="L74" s="76">
        <v>2030</v>
      </c>
      <c r="M74" s="75">
        <v>2031</v>
      </c>
      <c r="N74" s="76">
        <v>2032</v>
      </c>
      <c r="O74" s="75">
        <v>2033</v>
      </c>
      <c r="P74" s="76">
        <v>2034</v>
      </c>
      <c r="Q74" s="75">
        <v>2035</v>
      </c>
      <c r="R74" s="76">
        <v>2036</v>
      </c>
      <c r="S74" s="75">
        <v>2037</v>
      </c>
      <c r="T74" s="76">
        <v>2038</v>
      </c>
      <c r="U74" s="75">
        <v>2039</v>
      </c>
      <c r="V74" s="76">
        <v>2040</v>
      </c>
    </row>
    <row r="75" spans="1:22" x14ac:dyDescent="0.25">
      <c r="A75" s="29" t="s">
        <v>17</v>
      </c>
      <c r="B75" s="29" t="s">
        <v>41</v>
      </c>
      <c r="C75" s="105">
        <f>IFERROR(INDEX(lifespans_all!C$80:C$126,MATCH($A75,lifespans_all!$A$80:$A$126,0))*INDEX(SR_mission_minutes!C$2:C$43,MATCH($A75,SR_mission_minutes!$A$2:$A$43)),"-")</f>
        <v>66700.388888888891</v>
      </c>
      <c r="D75" s="105">
        <f>IFERROR(INDEX(lifespans_all!D$80:D$126,MATCH($A75,lifespans_all!$A$80:$A$126,0))*INDEX(SR_mission_minutes!D$2:D$43,MATCH($A75,SR_mission_minutes!$A$2:$A$43)),"-")</f>
        <v>66700.388888888891</v>
      </c>
      <c r="E75" s="105">
        <f>IFERROR(INDEX(lifespans_all!E$80:E$126,MATCH($A75,lifespans_all!$A$80:$A$126,0))*INDEX(SR_mission_minutes!E$2:E$43,MATCH($A75,SR_mission_minutes!$A$2:$A$43)),"-")</f>
        <v>66700.388888888891</v>
      </c>
      <c r="F75" s="105">
        <f>IFERROR(INDEX(lifespans_all!F$80:F$126,MATCH($A75,lifespans_all!$A$80:$A$126,0))*INDEX(SR_mission_minutes!F$2:F$43,MATCH($A75,SR_mission_minutes!$A$2:$A$43)),"-")</f>
        <v>66700.388888888891</v>
      </c>
      <c r="G75" s="105">
        <f>IFERROR(INDEX(lifespans_all!G$80:G$126,MATCH($A75,lifespans_all!$A$80:$A$126,0))*INDEX(SR_mission_minutes!G$2:G$43,MATCH($A75,SR_mission_minutes!$A$2:$A$43)),"-")</f>
        <v>0</v>
      </c>
      <c r="H75" s="105">
        <f>IFERROR(INDEX(lifespans_all!H$80:H$126,MATCH($A75,lifespans_all!$A$80:$A$126,0))*INDEX(SR_mission_minutes!H$2:H$43,MATCH($A75,SR_mission_minutes!$A$2:$A$43)),"-")</f>
        <v>0</v>
      </c>
      <c r="I75" s="105">
        <f>IFERROR(INDEX(lifespans_all!I$80:I$126,MATCH($A75,lifespans_all!$A$80:$A$126,0))*INDEX(SR_mission_minutes!I$2:I$43,MATCH($A75,SR_mission_minutes!$A$2:$A$43)),"-")</f>
        <v>0</v>
      </c>
      <c r="J75" s="105">
        <f>IFERROR(INDEX(lifespans_all!J$80:J$126,MATCH($A75,lifespans_all!$A$80:$A$126,0))*INDEX(SR_mission_minutes!J$2:J$43,MATCH($A75,SR_mission_minutes!$A$2:$A$43)),"-")</f>
        <v>0</v>
      </c>
      <c r="K75" s="105">
        <f>IFERROR(INDEX(lifespans_all!K$80:K$126,MATCH($A75,lifespans_all!$A$80:$A$126,0))*INDEX(SR_mission_minutes!K$2:K$43,MATCH($A75,SR_mission_minutes!$A$2:$A$43)),"-")</f>
        <v>0</v>
      </c>
      <c r="L75" s="105">
        <f>IFERROR(INDEX(lifespans_all!L$80:L$126,MATCH($A75,lifespans_all!$A$80:$A$126,0))*INDEX(SR_mission_minutes!L$2:L$43,MATCH($A75,SR_mission_minutes!$A$2:$A$43)),"-")</f>
        <v>0</v>
      </c>
      <c r="M75" s="105">
        <f>IFERROR(INDEX(lifespans_all!M$80:M$126,MATCH($A75,lifespans_all!$A$80:$A$126,0))*INDEX(SR_mission_minutes!M$2:M$43,MATCH($A75,SR_mission_minutes!$A$2:$A$43)),"-")</f>
        <v>0</v>
      </c>
      <c r="N75" s="105">
        <f>IFERROR(INDEX(lifespans_all!N$80:N$126,MATCH($A75,lifespans_all!$A$80:$A$126,0))*INDEX(SR_mission_minutes!N$2:N$43,MATCH($A75,SR_mission_minutes!$A$2:$A$43)),"-")</f>
        <v>0</v>
      </c>
      <c r="O75" s="105">
        <f>IFERROR(INDEX(lifespans_all!O$80:O$126,MATCH($A75,lifespans_all!$A$80:$A$126,0))*INDEX(SR_mission_minutes!O$2:O$43,MATCH($A75,SR_mission_minutes!$A$2:$A$43)),"-")</f>
        <v>0</v>
      </c>
      <c r="P75" s="105">
        <f>IFERROR(INDEX(lifespans_all!P$80:P$126,MATCH($A75,lifespans_all!$A$80:$A$126,0))*INDEX(SR_mission_minutes!P$2:P$43,MATCH($A75,SR_mission_minutes!$A$2:$A$43)),"-")</f>
        <v>0</v>
      </c>
      <c r="Q75" s="105">
        <f>IFERROR(INDEX(lifespans_all!Q$80:Q$126,MATCH($A75,lifespans_all!$A$80:$A$126,0))*INDEX(SR_mission_minutes!Q$2:Q$43,MATCH($A75,SR_mission_minutes!$A$2:$A$43)),"-")</f>
        <v>0</v>
      </c>
      <c r="R75" s="105">
        <f>IFERROR(INDEX(lifespans_all!R$80:R$126,MATCH($A75,lifespans_all!$A$80:$A$126,0))*INDEX(SR_mission_minutes!R$2:R$43,MATCH($A75,SR_mission_minutes!$A$2:$A$43)),"-")</f>
        <v>0</v>
      </c>
      <c r="S75" s="105">
        <f>IFERROR(INDEX(lifespans_all!S$80:S$126,MATCH($A75,lifespans_all!$A$80:$A$126,0))*INDEX(SR_mission_minutes!S$2:S$43,MATCH($A75,SR_mission_minutes!$A$2:$A$43)),"-")</f>
        <v>0</v>
      </c>
      <c r="T75" s="105">
        <f>IFERROR(INDEX(lifespans_all!T$80:T$126,MATCH($A75,lifespans_all!$A$80:$A$126,0))*INDEX(SR_mission_minutes!T$2:T$43,MATCH($A75,SR_mission_minutes!$A$2:$A$43)),"-")</f>
        <v>0</v>
      </c>
      <c r="U75" s="105">
        <f>IFERROR(INDEX(lifespans_all!U$80:U$126,MATCH($A75,lifespans_all!$A$80:$A$126,0))*INDEX(SR_mission_minutes!U$2:U$43,MATCH($A75,SR_mission_minutes!$A$2:$A$43)),"-")</f>
        <v>0</v>
      </c>
      <c r="V75" s="105">
        <f>IFERROR(INDEX(lifespans_all!V$80:V$126,MATCH($A75,lifespans_all!$A$80:$A$126,0))*INDEX(SR_mission_minutes!V$2:V$43,MATCH($A75,SR_mission_minutes!$A$2:$A$43)),"-")</f>
        <v>0</v>
      </c>
    </row>
    <row r="76" spans="1:22" x14ac:dyDescent="0.25">
      <c r="A76" s="29" t="s">
        <v>49</v>
      </c>
      <c r="B76" s="29" t="s">
        <v>41</v>
      </c>
      <c r="C76" s="105">
        <f>IFERROR(INDEX(lifespans_all!C$80:C$126,MATCH($A76,lifespans_all!$A$80:$A$126,0))*INDEX(SR_mission_minutes!C$2:C$43,MATCH($A76,SR_mission_minutes!$A$2:$A$43)),"-")</f>
        <v>66700.388888888891</v>
      </c>
      <c r="D76" s="105">
        <f>IFERROR(INDEX(lifespans_all!D$80:D$126,MATCH($A76,lifespans_all!$A$80:$A$126,0))*INDEX(SR_mission_minutes!D$2:D$43,MATCH($A76,SR_mission_minutes!$A$2:$A$43)),"-")</f>
        <v>66700.388888888891</v>
      </c>
      <c r="E76" s="105">
        <f>IFERROR(INDEX(lifespans_all!E$80:E$126,MATCH($A76,lifespans_all!$A$80:$A$126,0))*INDEX(SR_mission_minutes!E$2:E$43,MATCH($A76,SR_mission_minutes!$A$2:$A$43)),"-")</f>
        <v>66700.388888888891</v>
      </c>
      <c r="F76" s="105">
        <f>IFERROR(INDEX(lifespans_all!F$80:F$126,MATCH($A76,lifespans_all!$A$80:$A$126,0))*INDEX(SR_mission_minutes!F$2:F$43,MATCH($A76,SR_mission_minutes!$A$2:$A$43)),"-")</f>
        <v>66700.388888888891</v>
      </c>
      <c r="G76" s="105">
        <f>IFERROR(INDEX(lifespans_all!G$80:G$126,MATCH($A76,lifespans_all!$A$80:$A$126,0))*INDEX(SR_mission_minutes!G$2:G$43,MATCH($A76,SR_mission_minutes!$A$2:$A$43)),"-")</f>
        <v>66700.388888888891</v>
      </c>
      <c r="H76" s="105">
        <f>IFERROR(INDEX(lifespans_all!H$80:H$126,MATCH($A76,lifespans_all!$A$80:$A$126,0))*INDEX(SR_mission_minutes!H$2:H$43,MATCH($A76,SR_mission_minutes!$A$2:$A$43)),"-")</f>
        <v>66700.388888888891</v>
      </c>
      <c r="I76" s="105">
        <f>IFERROR(INDEX(lifespans_all!I$80:I$126,MATCH($A76,lifespans_all!$A$80:$A$126,0))*INDEX(SR_mission_minutes!I$2:I$43,MATCH($A76,SR_mission_minutes!$A$2:$A$43)),"-")</f>
        <v>0</v>
      </c>
      <c r="J76" s="105">
        <f>IFERROR(INDEX(lifespans_all!J$80:J$126,MATCH($A76,lifespans_all!$A$80:$A$126,0))*INDEX(SR_mission_minutes!J$2:J$43,MATCH($A76,SR_mission_minutes!$A$2:$A$43)),"-")</f>
        <v>0</v>
      </c>
      <c r="K76" s="105">
        <f>IFERROR(INDEX(lifespans_all!K$80:K$126,MATCH($A76,lifespans_all!$A$80:$A$126,0))*INDEX(SR_mission_minutes!K$2:K$43,MATCH($A76,SR_mission_minutes!$A$2:$A$43)),"-")</f>
        <v>0</v>
      </c>
      <c r="L76" s="105">
        <f>IFERROR(INDEX(lifespans_all!L$80:L$126,MATCH($A76,lifespans_all!$A$80:$A$126,0))*INDEX(SR_mission_minutes!L$2:L$43,MATCH($A76,SR_mission_minutes!$A$2:$A$43)),"-")</f>
        <v>0</v>
      </c>
      <c r="M76" s="105">
        <f>IFERROR(INDEX(lifespans_all!M$80:M$126,MATCH($A76,lifespans_all!$A$80:$A$126,0))*INDEX(SR_mission_minutes!M$2:M$43,MATCH($A76,SR_mission_minutes!$A$2:$A$43)),"-")</f>
        <v>0</v>
      </c>
      <c r="N76" s="105">
        <f>IFERROR(INDEX(lifespans_all!N$80:N$126,MATCH($A76,lifespans_all!$A$80:$A$126,0))*INDEX(SR_mission_minutes!N$2:N$43,MATCH($A76,SR_mission_minutes!$A$2:$A$43)),"-")</f>
        <v>0</v>
      </c>
      <c r="O76" s="105">
        <f>IFERROR(INDEX(lifespans_all!O$80:O$126,MATCH($A76,lifespans_all!$A$80:$A$126,0))*INDEX(SR_mission_minutes!O$2:O$43,MATCH($A76,SR_mission_minutes!$A$2:$A$43)),"-")</f>
        <v>0</v>
      </c>
      <c r="P76" s="105">
        <f>IFERROR(INDEX(lifespans_all!P$80:P$126,MATCH($A76,lifespans_all!$A$80:$A$126,0))*INDEX(SR_mission_minutes!P$2:P$43,MATCH($A76,SR_mission_minutes!$A$2:$A$43)),"-")</f>
        <v>0</v>
      </c>
      <c r="Q76" s="105">
        <f>IFERROR(INDEX(lifespans_all!Q$80:Q$126,MATCH($A76,lifespans_all!$A$80:$A$126,0))*INDEX(SR_mission_minutes!Q$2:Q$43,MATCH($A76,SR_mission_minutes!$A$2:$A$43)),"-")</f>
        <v>0</v>
      </c>
      <c r="R76" s="105">
        <f>IFERROR(INDEX(lifespans_all!R$80:R$126,MATCH($A76,lifespans_all!$A$80:$A$126,0))*INDEX(SR_mission_minutes!R$2:R$43,MATCH($A76,SR_mission_minutes!$A$2:$A$43)),"-")</f>
        <v>0</v>
      </c>
      <c r="S76" s="105">
        <f>IFERROR(INDEX(lifespans_all!S$80:S$126,MATCH($A76,lifespans_all!$A$80:$A$126,0))*INDEX(SR_mission_minutes!S$2:S$43,MATCH($A76,SR_mission_minutes!$A$2:$A$43)),"-")</f>
        <v>0</v>
      </c>
      <c r="T76" s="105">
        <f>IFERROR(INDEX(lifespans_all!T$80:T$126,MATCH($A76,lifespans_all!$A$80:$A$126,0))*INDEX(SR_mission_minutes!T$2:T$43,MATCH($A76,SR_mission_minutes!$A$2:$A$43)),"-")</f>
        <v>0</v>
      </c>
      <c r="U76" s="105">
        <f>IFERROR(INDEX(lifespans_all!U$80:U$126,MATCH($A76,lifespans_all!$A$80:$A$126,0))*INDEX(SR_mission_minutes!U$2:U$43,MATCH($A76,SR_mission_minutes!$A$2:$A$43)),"-")</f>
        <v>0</v>
      </c>
      <c r="V76" s="105">
        <f>IFERROR(INDEX(lifespans_all!V$80:V$126,MATCH($A76,lifespans_all!$A$80:$A$126,0))*INDEX(SR_mission_minutes!V$2:V$43,MATCH($A76,SR_mission_minutes!$A$2:$A$43)),"-")</f>
        <v>0</v>
      </c>
    </row>
    <row r="77" spans="1:22" x14ac:dyDescent="0.25">
      <c r="A77" s="29" t="s">
        <v>51</v>
      </c>
      <c r="B77" s="29" t="s">
        <v>42</v>
      </c>
      <c r="C77" s="105">
        <f>IFERROR(INDEX(lifespans_all!C$80:C$126,MATCH($A77,lifespans_all!$A$80:$A$126,0))*INDEX(SR_mission_minutes!C$2:C$43,MATCH($A77,SR_mission_minutes!$A$2:$A$43)),"-")</f>
        <v>2294</v>
      </c>
      <c r="D77" s="105">
        <f>IFERROR(INDEX(lifespans_all!D$80:D$126,MATCH($A77,lifespans_all!$A$80:$A$126,0))*INDEX(SR_mission_minutes!D$2:D$43,MATCH($A77,SR_mission_minutes!$A$2:$A$43)),"-")</f>
        <v>2294</v>
      </c>
      <c r="E77" s="105">
        <f>IFERROR(INDEX(lifespans_all!E$80:E$126,MATCH($A77,lifespans_all!$A$80:$A$126,0))*INDEX(SR_mission_minutes!E$2:E$43,MATCH($A77,SR_mission_minutes!$A$2:$A$43)),"-")</f>
        <v>2294</v>
      </c>
      <c r="F77" s="105">
        <f>IFERROR(INDEX(lifespans_all!F$80:F$126,MATCH($A77,lifespans_all!$A$80:$A$126,0))*INDEX(SR_mission_minutes!F$2:F$43,MATCH($A77,SR_mission_minutes!$A$2:$A$43)),"-")</f>
        <v>2294</v>
      </c>
      <c r="G77" s="105">
        <f>IFERROR(INDEX(lifespans_all!G$80:G$126,MATCH($A77,lifespans_all!$A$80:$A$126,0))*INDEX(SR_mission_minutes!G$2:G$43,MATCH($A77,SR_mission_minutes!$A$2:$A$43)),"-")</f>
        <v>0</v>
      </c>
      <c r="H77" s="105">
        <f>IFERROR(INDEX(lifespans_all!H$80:H$126,MATCH($A77,lifespans_all!$A$80:$A$126,0))*INDEX(SR_mission_minutes!H$2:H$43,MATCH($A77,SR_mission_minutes!$A$2:$A$43)),"-")</f>
        <v>0</v>
      </c>
      <c r="I77" s="105">
        <f>IFERROR(INDEX(lifespans_all!I$80:I$126,MATCH($A77,lifespans_all!$A$80:$A$126,0))*INDEX(SR_mission_minutes!I$2:I$43,MATCH($A77,SR_mission_minutes!$A$2:$A$43)),"-")</f>
        <v>0</v>
      </c>
      <c r="J77" s="105">
        <f>IFERROR(INDEX(lifespans_all!J$80:J$126,MATCH($A77,lifespans_all!$A$80:$A$126,0))*INDEX(SR_mission_minutes!J$2:J$43,MATCH($A77,SR_mission_minutes!$A$2:$A$43)),"-")</f>
        <v>0</v>
      </c>
      <c r="K77" s="105">
        <f>IFERROR(INDEX(lifespans_all!K$80:K$126,MATCH($A77,lifespans_all!$A$80:$A$126,0))*INDEX(SR_mission_minutes!K$2:K$43,MATCH($A77,SR_mission_minutes!$A$2:$A$43)),"-")</f>
        <v>0</v>
      </c>
      <c r="L77" s="105">
        <f>IFERROR(INDEX(lifespans_all!L$80:L$126,MATCH($A77,lifespans_all!$A$80:$A$126,0))*INDEX(SR_mission_minutes!L$2:L$43,MATCH($A77,SR_mission_minutes!$A$2:$A$43)),"-")</f>
        <v>0</v>
      </c>
      <c r="M77" s="105">
        <f>IFERROR(INDEX(lifespans_all!M$80:M$126,MATCH($A77,lifespans_all!$A$80:$A$126,0))*INDEX(SR_mission_minutes!M$2:M$43,MATCH($A77,SR_mission_minutes!$A$2:$A$43)),"-")</f>
        <v>0</v>
      </c>
      <c r="N77" s="105">
        <f>IFERROR(INDEX(lifespans_all!N$80:N$126,MATCH($A77,lifespans_all!$A$80:$A$126,0))*INDEX(SR_mission_minutes!N$2:N$43,MATCH($A77,SR_mission_minutes!$A$2:$A$43)),"-")</f>
        <v>0</v>
      </c>
      <c r="O77" s="105">
        <f>IFERROR(INDEX(lifespans_all!O$80:O$126,MATCH($A77,lifespans_all!$A$80:$A$126,0))*INDEX(SR_mission_minutes!O$2:O$43,MATCH($A77,SR_mission_minutes!$A$2:$A$43)),"-")</f>
        <v>0</v>
      </c>
      <c r="P77" s="105">
        <f>IFERROR(INDEX(lifespans_all!P$80:P$126,MATCH($A77,lifespans_all!$A$80:$A$126,0))*INDEX(SR_mission_minutes!P$2:P$43,MATCH($A77,SR_mission_minutes!$A$2:$A$43)),"-")</f>
        <v>0</v>
      </c>
      <c r="Q77" s="105">
        <f>IFERROR(INDEX(lifespans_all!Q$80:Q$126,MATCH($A77,lifespans_all!$A$80:$A$126,0))*INDEX(SR_mission_minutes!Q$2:Q$43,MATCH($A77,SR_mission_minutes!$A$2:$A$43)),"-")</f>
        <v>0</v>
      </c>
      <c r="R77" s="105">
        <f>IFERROR(INDEX(lifespans_all!R$80:R$126,MATCH($A77,lifespans_all!$A$80:$A$126,0))*INDEX(SR_mission_minutes!R$2:R$43,MATCH($A77,SR_mission_minutes!$A$2:$A$43)),"-")</f>
        <v>0</v>
      </c>
      <c r="S77" s="105">
        <f>IFERROR(INDEX(lifespans_all!S$80:S$126,MATCH($A77,lifespans_all!$A$80:$A$126,0))*INDEX(SR_mission_minutes!S$2:S$43,MATCH($A77,SR_mission_minutes!$A$2:$A$43)),"-")</f>
        <v>0</v>
      </c>
      <c r="T77" s="105">
        <f>IFERROR(INDEX(lifespans_all!T$80:T$126,MATCH($A77,lifespans_all!$A$80:$A$126,0))*INDEX(SR_mission_minutes!T$2:T$43,MATCH($A77,SR_mission_minutes!$A$2:$A$43)),"-")</f>
        <v>0</v>
      </c>
      <c r="U77" s="105">
        <f>IFERROR(INDEX(lifespans_all!U$80:U$126,MATCH($A77,lifespans_all!$A$80:$A$126,0))*INDEX(SR_mission_minutes!U$2:U$43,MATCH($A77,SR_mission_minutes!$A$2:$A$43)),"-")</f>
        <v>0</v>
      </c>
      <c r="V77" s="105">
        <f>IFERROR(INDEX(lifespans_all!V$80:V$126,MATCH($A77,lifespans_all!$A$80:$A$126,0))*INDEX(SR_mission_minutes!V$2:V$43,MATCH($A77,SR_mission_minutes!$A$2:$A$43)),"-")</f>
        <v>0</v>
      </c>
    </row>
    <row r="78" spans="1:22" x14ac:dyDescent="0.25">
      <c r="A78" s="29" t="s">
        <v>52</v>
      </c>
      <c r="B78" s="29" t="s">
        <v>41</v>
      </c>
      <c r="C78" s="105">
        <f>IFERROR(INDEX(lifespans_all!C$80:C$126,MATCH($A78,lifespans_all!$A$80:$A$126,0))*INDEX(SR_mission_minutes!C$2:C$43,MATCH($A78,SR_mission_minutes!$A$2:$A$43)),"-")</f>
        <v>66700.388888888891</v>
      </c>
      <c r="D78" s="105">
        <f>IFERROR(INDEX(lifespans_all!D$80:D$126,MATCH($A78,lifespans_all!$A$80:$A$126,0))*INDEX(SR_mission_minutes!D$2:D$43,MATCH($A78,SR_mission_minutes!$A$2:$A$43)),"-")</f>
        <v>66700.388888888891</v>
      </c>
      <c r="E78" s="105">
        <f>IFERROR(INDEX(lifespans_all!E$80:E$126,MATCH($A78,lifespans_all!$A$80:$A$126,0))*INDEX(SR_mission_minutes!E$2:E$43,MATCH($A78,SR_mission_minutes!$A$2:$A$43)),"-")</f>
        <v>66700.388888888891</v>
      </c>
      <c r="F78" s="105">
        <f>IFERROR(INDEX(lifespans_all!F$80:F$126,MATCH($A78,lifespans_all!$A$80:$A$126,0))*INDEX(SR_mission_minutes!F$2:F$43,MATCH($A78,SR_mission_minutes!$A$2:$A$43)),"-")</f>
        <v>66700.388888888891</v>
      </c>
      <c r="G78" s="105">
        <f>IFERROR(INDEX(lifespans_all!G$80:G$126,MATCH($A78,lifespans_all!$A$80:$A$126,0))*INDEX(SR_mission_minutes!G$2:G$43,MATCH($A78,SR_mission_minutes!$A$2:$A$43)),"-")</f>
        <v>66700.388888888891</v>
      </c>
      <c r="H78" s="105">
        <f>IFERROR(INDEX(lifespans_all!H$80:H$126,MATCH($A78,lifespans_all!$A$80:$A$126,0))*INDEX(SR_mission_minutes!H$2:H$43,MATCH($A78,SR_mission_minutes!$A$2:$A$43)),"-")</f>
        <v>66700.388888888891</v>
      </c>
      <c r="I78" s="105">
        <f>IFERROR(INDEX(lifespans_all!I$80:I$126,MATCH($A78,lifespans_all!$A$80:$A$126,0))*INDEX(SR_mission_minutes!I$2:I$43,MATCH($A78,SR_mission_minutes!$A$2:$A$43)),"-")</f>
        <v>0</v>
      </c>
      <c r="J78" s="105">
        <f>IFERROR(INDEX(lifespans_all!J$80:J$126,MATCH($A78,lifespans_all!$A$80:$A$126,0))*INDEX(SR_mission_minutes!J$2:J$43,MATCH($A78,SR_mission_minutes!$A$2:$A$43)),"-")</f>
        <v>0</v>
      </c>
      <c r="K78" s="105">
        <f>IFERROR(INDEX(lifespans_all!K$80:K$126,MATCH($A78,lifespans_all!$A$80:$A$126,0))*INDEX(SR_mission_minutes!K$2:K$43,MATCH($A78,SR_mission_minutes!$A$2:$A$43)),"-")</f>
        <v>0</v>
      </c>
      <c r="L78" s="105">
        <f>IFERROR(INDEX(lifespans_all!L$80:L$126,MATCH($A78,lifespans_all!$A$80:$A$126,0))*INDEX(SR_mission_minutes!L$2:L$43,MATCH($A78,SR_mission_minutes!$A$2:$A$43)),"-")</f>
        <v>0</v>
      </c>
      <c r="M78" s="105">
        <f>IFERROR(INDEX(lifespans_all!M$80:M$126,MATCH($A78,lifespans_all!$A$80:$A$126,0))*INDEX(SR_mission_minutes!M$2:M$43,MATCH($A78,SR_mission_minutes!$A$2:$A$43)),"-")</f>
        <v>0</v>
      </c>
      <c r="N78" s="105">
        <f>IFERROR(INDEX(lifespans_all!N$80:N$126,MATCH($A78,lifespans_all!$A$80:$A$126,0))*INDEX(SR_mission_minutes!N$2:N$43,MATCH($A78,SR_mission_minutes!$A$2:$A$43)),"-")</f>
        <v>0</v>
      </c>
      <c r="O78" s="105">
        <f>IFERROR(INDEX(lifespans_all!O$80:O$126,MATCH($A78,lifespans_all!$A$80:$A$126,0))*INDEX(SR_mission_minutes!O$2:O$43,MATCH($A78,SR_mission_minutes!$A$2:$A$43)),"-")</f>
        <v>0</v>
      </c>
      <c r="P78" s="105">
        <f>IFERROR(INDEX(lifespans_all!P$80:P$126,MATCH($A78,lifespans_all!$A$80:$A$126,0))*INDEX(SR_mission_minutes!P$2:P$43,MATCH($A78,SR_mission_minutes!$A$2:$A$43)),"-")</f>
        <v>0</v>
      </c>
      <c r="Q78" s="105">
        <f>IFERROR(INDEX(lifespans_all!Q$80:Q$126,MATCH($A78,lifespans_all!$A$80:$A$126,0))*INDEX(SR_mission_minutes!Q$2:Q$43,MATCH($A78,SR_mission_minutes!$A$2:$A$43)),"-")</f>
        <v>0</v>
      </c>
      <c r="R78" s="105">
        <f>IFERROR(INDEX(lifespans_all!R$80:R$126,MATCH($A78,lifespans_all!$A$80:$A$126,0))*INDEX(SR_mission_minutes!R$2:R$43,MATCH($A78,SR_mission_minutes!$A$2:$A$43)),"-")</f>
        <v>0</v>
      </c>
      <c r="S78" s="105">
        <f>IFERROR(INDEX(lifespans_all!S$80:S$126,MATCH($A78,lifespans_all!$A$80:$A$126,0))*INDEX(SR_mission_minutes!S$2:S$43,MATCH($A78,SR_mission_minutes!$A$2:$A$43)),"-")</f>
        <v>0</v>
      </c>
      <c r="T78" s="105">
        <f>IFERROR(INDEX(lifespans_all!T$80:T$126,MATCH($A78,lifespans_all!$A$80:$A$126,0))*INDEX(SR_mission_minutes!T$2:T$43,MATCH($A78,SR_mission_minutes!$A$2:$A$43)),"-")</f>
        <v>0</v>
      </c>
      <c r="U78" s="105">
        <f>IFERROR(INDEX(lifespans_all!U$80:U$126,MATCH($A78,lifespans_all!$A$80:$A$126,0))*INDEX(SR_mission_minutes!U$2:U$43,MATCH($A78,SR_mission_minutes!$A$2:$A$43)),"-")</f>
        <v>0</v>
      </c>
      <c r="V78" s="105">
        <f>IFERROR(INDEX(lifespans_all!V$80:V$126,MATCH($A78,lifespans_all!$A$80:$A$126,0))*INDEX(SR_mission_minutes!V$2:V$43,MATCH($A78,SR_mission_minutes!$A$2:$A$43)),"-")</f>
        <v>0</v>
      </c>
    </row>
    <row r="79" spans="1:22" x14ac:dyDescent="0.25">
      <c r="A79" s="29" t="s">
        <v>18</v>
      </c>
      <c r="B79" s="29" t="s">
        <v>48</v>
      </c>
      <c r="C79" s="105" t="str">
        <f>IFERROR(INDEX(lifespans_all!C$80:C$126,MATCH($A79,lifespans_all!$A$80:$A$126,0))*INDEX(SR_mission_minutes!C$2:C$43,MATCH($A79,SR_mission_minutes!$A$2:$A$43)),"-")</f>
        <v>-</v>
      </c>
      <c r="D79" s="105" t="str">
        <f>IFERROR(INDEX(lifespans_all!D$80:D$126,MATCH($A79,lifespans_all!$A$80:$A$126,0))*INDEX(SR_mission_minutes!D$2:D$43,MATCH($A79,SR_mission_minutes!$A$2:$A$43)),"-")</f>
        <v>-</v>
      </c>
      <c r="E79" s="105" t="str">
        <f>IFERROR(INDEX(lifespans_all!E$80:E$126,MATCH($A79,lifespans_all!$A$80:$A$126,0))*INDEX(SR_mission_minutes!E$2:E$43,MATCH($A79,SR_mission_minutes!$A$2:$A$43)),"-")</f>
        <v>-</v>
      </c>
      <c r="F79" s="105" t="str">
        <f>IFERROR(INDEX(lifespans_all!F$80:F$126,MATCH($A79,lifespans_all!$A$80:$A$126,0))*INDEX(SR_mission_minutes!F$2:F$43,MATCH($A79,SR_mission_minutes!$A$2:$A$43)),"-")</f>
        <v>-</v>
      </c>
      <c r="G79" s="105" t="str">
        <f>IFERROR(INDEX(lifespans_all!G$80:G$126,MATCH($A79,lifespans_all!$A$80:$A$126,0))*INDEX(SR_mission_minutes!G$2:G$43,MATCH($A79,SR_mission_minutes!$A$2:$A$43)),"-")</f>
        <v>-</v>
      </c>
      <c r="H79" s="105" t="str">
        <f>IFERROR(INDEX(lifespans_all!H$80:H$126,MATCH($A79,lifespans_all!$A$80:$A$126,0))*INDEX(SR_mission_minutes!H$2:H$43,MATCH($A79,SR_mission_minutes!$A$2:$A$43)),"-")</f>
        <v>-</v>
      </c>
      <c r="I79" s="105" t="str">
        <f>IFERROR(INDEX(lifespans_all!I$80:I$126,MATCH($A79,lifespans_all!$A$80:$A$126,0))*INDEX(SR_mission_minutes!I$2:I$43,MATCH($A79,SR_mission_minutes!$A$2:$A$43)),"-")</f>
        <v>-</v>
      </c>
      <c r="J79" s="105" t="str">
        <f>IFERROR(INDEX(lifespans_all!J$80:J$126,MATCH($A79,lifespans_all!$A$80:$A$126,0))*INDEX(SR_mission_minutes!J$2:J$43,MATCH($A79,SR_mission_minutes!$A$2:$A$43)),"-")</f>
        <v>-</v>
      </c>
      <c r="K79" s="105" t="str">
        <f>IFERROR(INDEX(lifespans_all!K$80:K$126,MATCH($A79,lifespans_all!$A$80:$A$126,0))*INDEX(SR_mission_minutes!K$2:K$43,MATCH($A79,SR_mission_minutes!$A$2:$A$43)),"-")</f>
        <v>-</v>
      </c>
      <c r="L79" s="105" t="str">
        <f>IFERROR(INDEX(lifespans_all!L$80:L$126,MATCH($A79,lifespans_all!$A$80:$A$126,0))*INDEX(SR_mission_minutes!L$2:L$43,MATCH($A79,SR_mission_minutes!$A$2:$A$43)),"-")</f>
        <v>-</v>
      </c>
      <c r="M79" s="105" t="str">
        <f>IFERROR(INDEX(lifespans_all!M$80:M$126,MATCH($A79,lifespans_all!$A$80:$A$126,0))*INDEX(SR_mission_minutes!M$2:M$43,MATCH($A79,SR_mission_minutes!$A$2:$A$43)),"-")</f>
        <v>-</v>
      </c>
      <c r="N79" s="105" t="str">
        <f>IFERROR(INDEX(lifespans_all!N$80:N$126,MATCH($A79,lifespans_all!$A$80:$A$126,0))*INDEX(SR_mission_minutes!N$2:N$43,MATCH($A79,SR_mission_minutes!$A$2:$A$43)),"-")</f>
        <v>-</v>
      </c>
      <c r="O79" s="105" t="str">
        <f>IFERROR(INDEX(lifespans_all!O$80:O$126,MATCH($A79,lifespans_all!$A$80:$A$126,0))*INDEX(SR_mission_minutes!O$2:O$43,MATCH($A79,SR_mission_minutes!$A$2:$A$43)),"-")</f>
        <v>-</v>
      </c>
      <c r="P79" s="105" t="str">
        <f>IFERROR(INDEX(lifespans_all!P$80:P$126,MATCH($A79,lifespans_all!$A$80:$A$126,0))*INDEX(SR_mission_minutes!P$2:P$43,MATCH($A79,SR_mission_minutes!$A$2:$A$43)),"-")</f>
        <v>-</v>
      </c>
      <c r="Q79" s="105" t="str">
        <f>IFERROR(INDEX(lifespans_all!Q$80:Q$126,MATCH($A79,lifespans_all!$A$80:$A$126,0))*INDEX(SR_mission_minutes!Q$2:Q$43,MATCH($A79,SR_mission_minutes!$A$2:$A$43)),"-")</f>
        <v>-</v>
      </c>
      <c r="R79" s="105" t="str">
        <f>IFERROR(INDEX(lifespans_all!R$80:R$126,MATCH($A79,lifespans_all!$A$80:$A$126,0))*INDEX(SR_mission_minutes!R$2:R$43,MATCH($A79,SR_mission_minutes!$A$2:$A$43)),"-")</f>
        <v>-</v>
      </c>
      <c r="S79" s="105" t="str">
        <f>IFERROR(INDEX(lifespans_all!S$80:S$126,MATCH($A79,lifespans_all!$A$80:$A$126,0))*INDEX(SR_mission_minutes!S$2:S$43,MATCH($A79,SR_mission_minutes!$A$2:$A$43)),"-")</f>
        <v>-</v>
      </c>
      <c r="T79" s="105" t="str">
        <f>IFERROR(INDEX(lifespans_all!T$80:T$126,MATCH($A79,lifespans_all!$A$80:$A$126,0))*INDEX(SR_mission_minutes!T$2:T$43,MATCH($A79,SR_mission_minutes!$A$2:$A$43)),"-")</f>
        <v>-</v>
      </c>
      <c r="U79" s="105" t="str">
        <f>IFERROR(INDEX(lifespans_all!U$80:U$126,MATCH($A79,lifespans_all!$A$80:$A$126,0))*INDEX(SR_mission_minutes!U$2:U$43,MATCH($A79,SR_mission_minutes!$A$2:$A$43)),"-")</f>
        <v>-</v>
      </c>
      <c r="V79" s="105" t="str">
        <f>IFERROR(INDEX(lifespans_all!V$80:V$126,MATCH($A79,lifespans_all!$A$80:$A$126,0))*INDEX(SR_mission_minutes!V$2:V$43,MATCH($A79,SR_mission_minutes!$A$2:$A$43)),"-")</f>
        <v>-</v>
      </c>
    </row>
    <row r="80" spans="1:22" x14ac:dyDescent="0.25">
      <c r="A80" s="29" t="s">
        <v>55</v>
      </c>
      <c r="B80" s="29" t="s">
        <v>42</v>
      </c>
      <c r="C80" s="105">
        <f>IFERROR(INDEX(lifespans_all!C$80:C$126,MATCH($A80,lifespans_all!$A$80:$A$126,0))*INDEX(SR_mission_minutes!C$2:C$43,MATCH($A80,SR_mission_minutes!$A$2:$A$43)),"-")</f>
        <v>2294</v>
      </c>
      <c r="D80" s="105">
        <f>IFERROR(INDEX(lifespans_all!D$80:D$126,MATCH($A80,lifespans_all!$A$80:$A$126,0))*INDEX(SR_mission_minutes!D$2:D$43,MATCH($A80,SR_mission_minutes!$A$2:$A$43)),"-")</f>
        <v>2294</v>
      </c>
      <c r="E80" s="105">
        <f>IFERROR(INDEX(lifespans_all!E$80:E$126,MATCH($A80,lifespans_all!$A$80:$A$126,0))*INDEX(SR_mission_minutes!E$2:E$43,MATCH($A80,SR_mission_minutes!$A$2:$A$43)),"-")</f>
        <v>2294</v>
      </c>
      <c r="F80" s="105">
        <f>IFERROR(INDEX(lifespans_all!F$80:F$126,MATCH($A80,lifespans_all!$A$80:$A$126,0))*INDEX(SR_mission_minutes!F$2:F$43,MATCH($A80,SR_mission_minutes!$A$2:$A$43)),"-")</f>
        <v>2294</v>
      </c>
      <c r="G80" s="105">
        <f>IFERROR(INDEX(lifespans_all!G$80:G$126,MATCH($A80,lifespans_all!$A$80:$A$126,0))*INDEX(SR_mission_minutes!G$2:G$43,MATCH($A80,SR_mission_minutes!$A$2:$A$43)),"-")</f>
        <v>2294</v>
      </c>
      <c r="H80" s="105">
        <f>IFERROR(INDEX(lifespans_all!H$80:H$126,MATCH($A80,lifespans_all!$A$80:$A$126,0))*INDEX(SR_mission_minutes!H$2:H$43,MATCH($A80,SR_mission_minutes!$A$2:$A$43)),"-")</f>
        <v>2294</v>
      </c>
      <c r="I80" s="105">
        <f>IFERROR(INDEX(lifespans_all!I$80:I$126,MATCH($A80,lifespans_all!$A$80:$A$126,0))*INDEX(SR_mission_minutes!I$2:I$43,MATCH($A80,SR_mission_minutes!$A$2:$A$43)),"-")</f>
        <v>2294</v>
      </c>
      <c r="J80" s="105">
        <f>IFERROR(INDEX(lifespans_all!J$80:J$126,MATCH($A80,lifespans_all!$A$80:$A$126,0))*INDEX(SR_mission_minutes!J$2:J$43,MATCH($A80,SR_mission_minutes!$A$2:$A$43)),"-")</f>
        <v>2294</v>
      </c>
      <c r="K80" s="105">
        <f>IFERROR(INDEX(lifespans_all!K$80:K$126,MATCH($A80,lifespans_all!$A$80:$A$126,0))*INDEX(SR_mission_minutes!K$2:K$43,MATCH($A80,SR_mission_minutes!$A$2:$A$43)),"-")</f>
        <v>2294</v>
      </c>
      <c r="L80" s="105">
        <f>IFERROR(INDEX(lifespans_all!L$80:L$126,MATCH($A80,lifespans_all!$A$80:$A$126,0))*INDEX(SR_mission_minutes!L$2:L$43,MATCH($A80,SR_mission_minutes!$A$2:$A$43)),"-")</f>
        <v>2294</v>
      </c>
      <c r="M80" s="105">
        <f>IFERROR(INDEX(lifespans_all!M$80:M$126,MATCH($A80,lifespans_all!$A$80:$A$126,0))*INDEX(SR_mission_minutes!M$2:M$43,MATCH($A80,SR_mission_minutes!$A$2:$A$43)),"-")</f>
        <v>2294</v>
      </c>
      <c r="N80" s="105">
        <f>IFERROR(INDEX(lifespans_all!N$80:N$126,MATCH($A80,lifespans_all!$A$80:$A$126,0))*INDEX(SR_mission_minutes!N$2:N$43,MATCH($A80,SR_mission_minutes!$A$2:$A$43)),"-")</f>
        <v>2294</v>
      </c>
      <c r="O80" s="105">
        <f>IFERROR(INDEX(lifespans_all!O$80:O$126,MATCH($A80,lifespans_all!$A$80:$A$126,0))*INDEX(SR_mission_minutes!O$2:O$43,MATCH($A80,SR_mission_minutes!$A$2:$A$43)),"-")</f>
        <v>2294</v>
      </c>
      <c r="P80" s="105">
        <f>IFERROR(INDEX(lifespans_all!P$80:P$126,MATCH($A80,lifespans_all!$A$80:$A$126,0))*INDEX(SR_mission_minutes!P$2:P$43,MATCH($A80,SR_mission_minutes!$A$2:$A$43)),"-")</f>
        <v>2294</v>
      </c>
      <c r="Q80" s="105">
        <f>IFERROR(INDEX(lifespans_all!Q$80:Q$126,MATCH($A80,lifespans_all!$A$80:$A$126,0))*INDEX(SR_mission_minutes!Q$2:Q$43,MATCH($A80,SR_mission_minutes!$A$2:$A$43)),"-")</f>
        <v>2294</v>
      </c>
      <c r="R80" s="105">
        <f>IFERROR(INDEX(lifespans_all!R$80:R$126,MATCH($A80,lifespans_all!$A$80:$A$126,0))*INDEX(SR_mission_minutes!R$2:R$43,MATCH($A80,SR_mission_minutes!$A$2:$A$43)),"-")</f>
        <v>2294</v>
      </c>
      <c r="S80" s="105">
        <f>IFERROR(INDEX(lifespans_all!S$80:S$126,MATCH($A80,lifespans_all!$A$80:$A$126,0))*INDEX(SR_mission_minutes!S$2:S$43,MATCH($A80,SR_mission_minutes!$A$2:$A$43)),"-")</f>
        <v>2294</v>
      </c>
      <c r="T80" s="105">
        <f>IFERROR(INDEX(lifespans_all!T$80:T$126,MATCH($A80,lifespans_all!$A$80:$A$126,0))*INDEX(SR_mission_minutes!T$2:T$43,MATCH($A80,SR_mission_minutes!$A$2:$A$43)),"-")</f>
        <v>2294</v>
      </c>
      <c r="U80" s="105">
        <f>IFERROR(INDEX(lifespans_all!U$80:U$126,MATCH($A80,lifespans_all!$A$80:$A$126,0))*INDEX(SR_mission_minutes!U$2:U$43,MATCH($A80,SR_mission_minutes!$A$2:$A$43)),"-")</f>
        <v>2294</v>
      </c>
      <c r="V80" s="105">
        <f>IFERROR(INDEX(lifespans_all!V$80:V$126,MATCH($A80,lifespans_all!$A$80:$A$126,0))*INDEX(SR_mission_minutes!V$2:V$43,MATCH($A80,SR_mission_minutes!$A$2:$A$43)),"-")</f>
        <v>2294</v>
      </c>
    </row>
    <row r="81" spans="1:22" x14ac:dyDescent="0.25">
      <c r="A81" s="29" t="s">
        <v>56</v>
      </c>
      <c r="B81" s="29" t="s">
        <v>43</v>
      </c>
      <c r="C81" s="105">
        <f>IFERROR(INDEX(lifespans_all!C$80:C$126,MATCH($A81,lifespans_all!$A$80:$A$126,0))*INDEX(SR_mission_minutes!C$2:C$43,MATCH($A81,SR_mission_minutes!$A$2:$A$43)),"-")</f>
        <v>114879</v>
      </c>
      <c r="D81" s="105">
        <f>IFERROR(INDEX(lifespans_all!D$80:D$126,MATCH($A81,lifespans_all!$A$80:$A$126,0))*INDEX(SR_mission_minutes!D$2:D$43,MATCH($A81,SR_mission_minutes!$A$2:$A$43)),"-")</f>
        <v>114879</v>
      </c>
      <c r="E81" s="105">
        <f>IFERROR(INDEX(lifespans_all!E$80:E$126,MATCH($A81,lifespans_all!$A$80:$A$126,0))*INDEX(SR_mission_minutes!E$2:E$43,MATCH($A81,SR_mission_minutes!$A$2:$A$43)),"-")</f>
        <v>114879</v>
      </c>
      <c r="F81" s="105">
        <f>IFERROR(INDEX(lifespans_all!F$80:F$126,MATCH($A81,lifespans_all!$A$80:$A$126,0))*INDEX(SR_mission_minutes!F$2:F$43,MATCH($A81,SR_mission_minutes!$A$2:$A$43)),"-")</f>
        <v>114879</v>
      </c>
      <c r="G81" s="105">
        <f>IFERROR(INDEX(lifespans_all!G$80:G$126,MATCH($A81,lifespans_all!$A$80:$A$126,0))*INDEX(SR_mission_minutes!G$2:G$43,MATCH($A81,SR_mission_minutes!$A$2:$A$43)),"-")</f>
        <v>114879</v>
      </c>
      <c r="H81" s="105">
        <f>IFERROR(INDEX(lifespans_all!H$80:H$126,MATCH($A81,lifespans_all!$A$80:$A$126,0))*INDEX(SR_mission_minutes!H$2:H$43,MATCH($A81,SR_mission_minutes!$A$2:$A$43)),"-")</f>
        <v>114879</v>
      </c>
      <c r="I81" s="105">
        <f>IFERROR(INDEX(lifespans_all!I$80:I$126,MATCH($A81,lifespans_all!$A$80:$A$126,0))*INDEX(SR_mission_minutes!I$2:I$43,MATCH($A81,SR_mission_minutes!$A$2:$A$43)),"-")</f>
        <v>114879</v>
      </c>
      <c r="J81" s="105">
        <f>IFERROR(INDEX(lifespans_all!J$80:J$126,MATCH($A81,lifespans_all!$A$80:$A$126,0))*INDEX(SR_mission_minutes!J$2:J$43,MATCH($A81,SR_mission_minutes!$A$2:$A$43)),"-")</f>
        <v>114879</v>
      </c>
      <c r="K81" s="105">
        <f>IFERROR(INDEX(lifespans_all!K$80:K$126,MATCH($A81,lifespans_all!$A$80:$A$126,0))*INDEX(SR_mission_minutes!K$2:K$43,MATCH($A81,SR_mission_minutes!$A$2:$A$43)),"-")</f>
        <v>114879</v>
      </c>
      <c r="L81" s="105">
        <f>IFERROR(INDEX(lifespans_all!L$80:L$126,MATCH($A81,lifespans_all!$A$80:$A$126,0))*INDEX(SR_mission_minutes!L$2:L$43,MATCH($A81,SR_mission_minutes!$A$2:$A$43)),"-")</f>
        <v>114879</v>
      </c>
      <c r="M81" s="105">
        <f>IFERROR(INDEX(lifespans_all!M$80:M$126,MATCH($A81,lifespans_all!$A$80:$A$126,0))*INDEX(SR_mission_minutes!M$2:M$43,MATCH($A81,SR_mission_minutes!$A$2:$A$43)),"-")</f>
        <v>114879</v>
      </c>
      <c r="N81" s="105">
        <f>IFERROR(INDEX(lifespans_all!N$80:N$126,MATCH($A81,lifespans_all!$A$80:$A$126,0))*INDEX(SR_mission_minutes!N$2:N$43,MATCH($A81,SR_mission_minutes!$A$2:$A$43)),"-")</f>
        <v>114879</v>
      </c>
      <c r="O81" s="105">
        <f>IFERROR(INDEX(lifespans_all!O$80:O$126,MATCH($A81,lifespans_all!$A$80:$A$126,0))*INDEX(SR_mission_minutes!O$2:O$43,MATCH($A81,SR_mission_minutes!$A$2:$A$43)),"-")</f>
        <v>114879</v>
      </c>
      <c r="P81" s="105">
        <f>IFERROR(INDEX(lifespans_all!P$80:P$126,MATCH($A81,lifespans_all!$A$80:$A$126,0))*INDEX(SR_mission_minutes!P$2:P$43,MATCH($A81,SR_mission_minutes!$A$2:$A$43)),"-")</f>
        <v>114879</v>
      </c>
      <c r="Q81" s="105">
        <f>IFERROR(INDEX(lifespans_all!Q$80:Q$126,MATCH($A81,lifespans_all!$A$80:$A$126,0))*INDEX(SR_mission_minutes!Q$2:Q$43,MATCH($A81,SR_mission_minutes!$A$2:$A$43)),"-")</f>
        <v>114879</v>
      </c>
      <c r="R81" s="105">
        <f>IFERROR(INDEX(lifespans_all!R$80:R$126,MATCH($A81,lifespans_all!$A$80:$A$126,0))*INDEX(SR_mission_minutes!R$2:R$43,MATCH($A81,SR_mission_minutes!$A$2:$A$43)),"-")</f>
        <v>114879</v>
      </c>
      <c r="S81" s="105">
        <f>IFERROR(INDEX(lifespans_all!S$80:S$126,MATCH($A81,lifespans_all!$A$80:$A$126,0))*INDEX(SR_mission_minutes!S$2:S$43,MATCH($A81,SR_mission_minutes!$A$2:$A$43)),"-")</f>
        <v>114879</v>
      </c>
      <c r="T81" s="105">
        <f>IFERROR(INDEX(lifespans_all!T$80:T$126,MATCH($A81,lifespans_all!$A$80:$A$126,0))*INDEX(SR_mission_minutes!T$2:T$43,MATCH($A81,SR_mission_minutes!$A$2:$A$43)),"-")</f>
        <v>114879</v>
      </c>
      <c r="U81" s="105">
        <f>IFERROR(INDEX(lifespans_all!U$80:U$126,MATCH($A81,lifespans_all!$A$80:$A$126,0))*INDEX(SR_mission_minutes!U$2:U$43,MATCH($A81,SR_mission_minutes!$A$2:$A$43)),"-")</f>
        <v>114879</v>
      </c>
      <c r="V81" s="105">
        <f>IFERROR(INDEX(lifespans_all!V$80:V$126,MATCH($A81,lifespans_all!$A$80:$A$126,0))*INDEX(SR_mission_minutes!V$2:V$43,MATCH($A81,SR_mission_minutes!$A$2:$A$43)),"-")</f>
        <v>114879</v>
      </c>
    </row>
    <row r="82" spans="1:22" x14ac:dyDescent="0.25">
      <c r="A82" s="29" t="s">
        <v>19</v>
      </c>
      <c r="B82" s="29" t="s">
        <v>41</v>
      </c>
      <c r="C82" s="105">
        <f>IFERROR(INDEX(lifespans_all!C$80:C$126,MATCH($A82,lifespans_all!$A$80:$A$126,0))*INDEX(SR_mission_minutes!C$2:C$43,MATCH($A82,SR_mission_minutes!$A$2:$A$43)),"-")</f>
        <v>66700.388888888891</v>
      </c>
      <c r="D82" s="105">
        <f>IFERROR(INDEX(lifespans_all!D$80:D$126,MATCH($A82,lifespans_all!$A$80:$A$126,0))*INDEX(SR_mission_minutes!D$2:D$43,MATCH($A82,SR_mission_minutes!$A$2:$A$43)),"-")</f>
        <v>66700.388888888891</v>
      </c>
      <c r="E82" s="105">
        <f>IFERROR(INDEX(lifespans_all!E$80:E$126,MATCH($A82,lifespans_all!$A$80:$A$126,0))*INDEX(SR_mission_minutes!E$2:E$43,MATCH($A82,SR_mission_minutes!$A$2:$A$43)),"-")</f>
        <v>66700.388888888891</v>
      </c>
      <c r="F82" s="105">
        <f>IFERROR(INDEX(lifespans_all!F$80:F$126,MATCH($A82,lifespans_all!$A$80:$A$126,0))*INDEX(SR_mission_minutes!F$2:F$43,MATCH($A82,SR_mission_minutes!$A$2:$A$43)),"-")</f>
        <v>66700.388888888891</v>
      </c>
      <c r="G82" s="105">
        <f>IFERROR(INDEX(lifespans_all!G$80:G$126,MATCH($A82,lifespans_all!$A$80:$A$126,0))*INDEX(SR_mission_minutes!G$2:G$43,MATCH($A82,SR_mission_minutes!$A$2:$A$43)),"-")</f>
        <v>66700.388888888891</v>
      </c>
      <c r="H82" s="105">
        <f>IFERROR(INDEX(lifespans_all!H$80:H$126,MATCH($A82,lifespans_all!$A$80:$A$126,0))*INDEX(SR_mission_minutes!H$2:H$43,MATCH($A82,SR_mission_minutes!$A$2:$A$43)),"-")</f>
        <v>66700.388888888891</v>
      </c>
      <c r="I82" s="105">
        <f>IFERROR(INDEX(lifespans_all!I$80:I$126,MATCH($A82,lifespans_all!$A$80:$A$126,0))*INDEX(SR_mission_minutes!I$2:I$43,MATCH($A82,SR_mission_minutes!$A$2:$A$43)),"-")</f>
        <v>66700.388888888891</v>
      </c>
      <c r="J82" s="105">
        <f>IFERROR(INDEX(lifespans_all!J$80:J$126,MATCH($A82,lifespans_all!$A$80:$A$126,0))*INDEX(SR_mission_minutes!J$2:J$43,MATCH($A82,SR_mission_minutes!$A$2:$A$43)),"-")</f>
        <v>0</v>
      </c>
      <c r="K82" s="105">
        <f>IFERROR(INDEX(lifespans_all!K$80:K$126,MATCH($A82,lifespans_all!$A$80:$A$126,0))*INDEX(SR_mission_minutes!K$2:K$43,MATCH($A82,SR_mission_minutes!$A$2:$A$43)),"-")</f>
        <v>0</v>
      </c>
      <c r="L82" s="105">
        <f>IFERROR(INDEX(lifespans_all!L$80:L$126,MATCH($A82,lifespans_all!$A$80:$A$126,0))*INDEX(SR_mission_minutes!L$2:L$43,MATCH($A82,SR_mission_minutes!$A$2:$A$43)),"-")</f>
        <v>0</v>
      </c>
      <c r="M82" s="105">
        <f>IFERROR(INDEX(lifespans_all!M$80:M$126,MATCH($A82,lifespans_all!$A$80:$A$126,0))*INDEX(SR_mission_minutes!M$2:M$43,MATCH($A82,SR_mission_minutes!$A$2:$A$43)),"-")</f>
        <v>0</v>
      </c>
      <c r="N82" s="105">
        <f>IFERROR(INDEX(lifespans_all!N$80:N$126,MATCH($A82,lifespans_all!$A$80:$A$126,0))*INDEX(SR_mission_minutes!N$2:N$43,MATCH($A82,SR_mission_minutes!$A$2:$A$43)),"-")</f>
        <v>0</v>
      </c>
      <c r="O82" s="105">
        <f>IFERROR(INDEX(lifespans_all!O$80:O$126,MATCH($A82,lifespans_all!$A$80:$A$126,0))*INDEX(SR_mission_minutes!O$2:O$43,MATCH($A82,SR_mission_minutes!$A$2:$A$43)),"-")</f>
        <v>0</v>
      </c>
      <c r="P82" s="105">
        <f>IFERROR(INDEX(lifespans_all!P$80:P$126,MATCH($A82,lifespans_all!$A$80:$A$126,0))*INDEX(SR_mission_minutes!P$2:P$43,MATCH($A82,SR_mission_minutes!$A$2:$A$43)),"-")</f>
        <v>0</v>
      </c>
      <c r="Q82" s="105">
        <f>IFERROR(INDEX(lifespans_all!Q$80:Q$126,MATCH($A82,lifespans_all!$A$80:$A$126,0))*INDEX(SR_mission_minutes!Q$2:Q$43,MATCH($A82,SR_mission_minutes!$A$2:$A$43)),"-")</f>
        <v>0</v>
      </c>
      <c r="R82" s="105">
        <f>IFERROR(INDEX(lifespans_all!R$80:R$126,MATCH($A82,lifespans_all!$A$80:$A$126,0))*INDEX(SR_mission_minutes!R$2:R$43,MATCH($A82,SR_mission_minutes!$A$2:$A$43)),"-")</f>
        <v>0</v>
      </c>
      <c r="S82" s="105">
        <f>IFERROR(INDEX(lifespans_all!S$80:S$126,MATCH($A82,lifespans_all!$A$80:$A$126,0))*INDEX(SR_mission_minutes!S$2:S$43,MATCH($A82,SR_mission_minutes!$A$2:$A$43)),"-")</f>
        <v>0</v>
      </c>
      <c r="T82" s="105">
        <f>IFERROR(INDEX(lifespans_all!T$80:T$126,MATCH($A82,lifespans_all!$A$80:$A$126,0))*INDEX(SR_mission_minutes!T$2:T$43,MATCH($A82,SR_mission_minutes!$A$2:$A$43)),"-")</f>
        <v>0</v>
      </c>
      <c r="U82" s="105">
        <f>IFERROR(INDEX(lifespans_all!U$80:U$126,MATCH($A82,lifespans_all!$A$80:$A$126,0))*INDEX(SR_mission_minutes!U$2:U$43,MATCH($A82,SR_mission_minutes!$A$2:$A$43)),"-")</f>
        <v>0</v>
      </c>
      <c r="V82" s="105">
        <f>IFERROR(INDEX(lifespans_all!V$80:V$126,MATCH($A82,lifespans_all!$A$80:$A$126,0))*INDEX(SR_mission_minutes!V$2:V$43,MATCH($A82,SR_mission_minutes!$A$2:$A$43)),"-")</f>
        <v>0</v>
      </c>
    </row>
    <row r="83" spans="1:22" x14ac:dyDescent="0.25">
      <c r="A83" s="29" t="s">
        <v>20</v>
      </c>
      <c r="B83" s="29" t="s">
        <v>41</v>
      </c>
      <c r="C83" s="105">
        <f>IFERROR(INDEX(lifespans_all!C$80:C$126,MATCH($A83,lifespans_all!$A$80:$A$126,0))*INDEX(SR_mission_minutes!C$2:C$43,MATCH($A83,SR_mission_minutes!$A$2:$A$43)),"-")</f>
        <v>66700.388888888891</v>
      </c>
      <c r="D83" s="105">
        <f>IFERROR(INDEX(lifespans_all!D$80:D$126,MATCH($A83,lifespans_all!$A$80:$A$126,0))*INDEX(SR_mission_minutes!D$2:D$43,MATCH($A83,SR_mission_minutes!$A$2:$A$43)),"-")</f>
        <v>66700.388888888891</v>
      </c>
      <c r="E83" s="105">
        <f>IFERROR(INDEX(lifespans_all!E$80:E$126,MATCH($A83,lifespans_all!$A$80:$A$126,0))*INDEX(SR_mission_minutes!E$2:E$43,MATCH($A83,SR_mission_minutes!$A$2:$A$43)),"-")</f>
        <v>66700.388888888891</v>
      </c>
      <c r="F83" s="105">
        <f>IFERROR(INDEX(lifespans_all!F$80:F$126,MATCH($A83,lifespans_all!$A$80:$A$126,0))*INDEX(SR_mission_minutes!F$2:F$43,MATCH($A83,SR_mission_minutes!$A$2:$A$43)),"-")</f>
        <v>66700.388888888891</v>
      </c>
      <c r="G83" s="105">
        <f>IFERROR(INDEX(lifespans_all!G$80:G$126,MATCH($A83,lifespans_all!$A$80:$A$126,0))*INDEX(SR_mission_minutes!G$2:G$43,MATCH($A83,SR_mission_minutes!$A$2:$A$43)),"-")</f>
        <v>66700.388888888891</v>
      </c>
      <c r="H83" s="105">
        <f>IFERROR(INDEX(lifespans_all!H$80:H$126,MATCH($A83,lifespans_all!$A$80:$A$126,0))*INDEX(SR_mission_minutes!H$2:H$43,MATCH($A83,SR_mission_minutes!$A$2:$A$43)),"-")</f>
        <v>66700.388888888891</v>
      </c>
      <c r="I83" s="105">
        <f>IFERROR(INDEX(lifespans_all!I$80:I$126,MATCH($A83,lifespans_all!$A$80:$A$126,0))*INDEX(SR_mission_minutes!I$2:I$43,MATCH($A83,SR_mission_minutes!$A$2:$A$43)),"-")</f>
        <v>66700.388888888891</v>
      </c>
      <c r="J83" s="105">
        <f>IFERROR(INDEX(lifespans_all!J$80:J$126,MATCH($A83,lifespans_all!$A$80:$A$126,0))*INDEX(SR_mission_minutes!J$2:J$43,MATCH($A83,SR_mission_minutes!$A$2:$A$43)),"-")</f>
        <v>66700.388888888891</v>
      </c>
      <c r="K83" s="105">
        <f>IFERROR(INDEX(lifespans_all!K$80:K$126,MATCH($A83,lifespans_all!$A$80:$A$126,0))*INDEX(SR_mission_minutes!K$2:K$43,MATCH($A83,SR_mission_minutes!$A$2:$A$43)),"-")</f>
        <v>66700.388888888891</v>
      </c>
      <c r="L83" s="105">
        <f>IFERROR(INDEX(lifespans_all!L$80:L$126,MATCH($A83,lifespans_all!$A$80:$A$126,0))*INDEX(SR_mission_minutes!L$2:L$43,MATCH($A83,SR_mission_minutes!$A$2:$A$43)),"-")</f>
        <v>66700.388888888891</v>
      </c>
      <c r="M83" s="105">
        <f>IFERROR(INDEX(lifespans_all!M$80:M$126,MATCH($A83,lifespans_all!$A$80:$A$126,0))*INDEX(SR_mission_minutes!M$2:M$43,MATCH($A83,SR_mission_minutes!$A$2:$A$43)),"-")</f>
        <v>66700.388888888891</v>
      </c>
      <c r="N83" s="105">
        <f>IFERROR(INDEX(lifespans_all!N$80:N$126,MATCH($A83,lifespans_all!$A$80:$A$126,0))*INDEX(SR_mission_minutes!N$2:N$43,MATCH($A83,SR_mission_minutes!$A$2:$A$43)),"-")</f>
        <v>66700.388888888891</v>
      </c>
      <c r="O83" s="105">
        <f>IFERROR(INDEX(lifespans_all!O$80:O$126,MATCH($A83,lifespans_all!$A$80:$A$126,0))*INDEX(SR_mission_minutes!O$2:O$43,MATCH($A83,SR_mission_minutes!$A$2:$A$43)),"-")</f>
        <v>66700.388888888891</v>
      </c>
      <c r="P83" s="105">
        <f>IFERROR(INDEX(lifespans_all!P$80:P$126,MATCH($A83,lifespans_all!$A$80:$A$126,0))*INDEX(SR_mission_minutes!P$2:P$43,MATCH($A83,SR_mission_minutes!$A$2:$A$43)),"-")</f>
        <v>66700.388888888891</v>
      </c>
      <c r="Q83" s="105">
        <f>IFERROR(INDEX(lifespans_all!Q$80:Q$126,MATCH($A83,lifespans_all!$A$80:$A$126,0))*INDEX(SR_mission_minutes!Q$2:Q$43,MATCH($A83,SR_mission_minutes!$A$2:$A$43)),"-")</f>
        <v>66700.388888888891</v>
      </c>
      <c r="R83" s="105">
        <f>IFERROR(INDEX(lifespans_all!R$80:R$126,MATCH($A83,lifespans_all!$A$80:$A$126,0))*INDEX(SR_mission_minutes!R$2:R$43,MATCH($A83,SR_mission_minutes!$A$2:$A$43)),"-")</f>
        <v>66700.388888888891</v>
      </c>
      <c r="S83" s="105">
        <f>IFERROR(INDEX(lifespans_all!S$80:S$126,MATCH($A83,lifespans_all!$A$80:$A$126,0))*INDEX(SR_mission_minutes!S$2:S$43,MATCH($A83,SR_mission_minutes!$A$2:$A$43)),"-")</f>
        <v>66700.388888888891</v>
      </c>
      <c r="T83" s="105">
        <f>IFERROR(INDEX(lifespans_all!T$80:T$126,MATCH($A83,lifespans_all!$A$80:$A$126,0))*INDEX(SR_mission_minutes!T$2:T$43,MATCH($A83,SR_mission_minutes!$A$2:$A$43)),"-")</f>
        <v>66700.388888888891</v>
      </c>
      <c r="U83" s="105">
        <f>IFERROR(INDEX(lifespans_all!U$80:U$126,MATCH($A83,lifespans_all!$A$80:$A$126,0))*INDEX(SR_mission_minutes!U$2:U$43,MATCH($A83,SR_mission_minutes!$A$2:$A$43)),"-")</f>
        <v>66700.388888888891</v>
      </c>
      <c r="V83" s="105">
        <f>IFERROR(INDEX(lifespans_all!V$80:V$126,MATCH($A83,lifespans_all!$A$80:$A$126,0))*INDEX(SR_mission_minutes!V$2:V$43,MATCH($A83,SR_mission_minutes!$A$2:$A$43)),"-")</f>
        <v>66700.388888888891</v>
      </c>
    </row>
    <row r="84" spans="1:22" x14ac:dyDescent="0.25">
      <c r="A84" s="29" t="s">
        <v>21</v>
      </c>
      <c r="B84" s="29" t="s">
        <v>41</v>
      </c>
      <c r="C84" s="105">
        <f>IFERROR(INDEX(lifespans_all!C$80:C$126,MATCH($A84,lifespans_all!$A$80:$A$126,0))*INDEX(SR_mission_minutes!C$2:C$43,MATCH($A84,SR_mission_minutes!$A$2:$A$43)),"-")</f>
        <v>66700.388888888891</v>
      </c>
      <c r="D84" s="105">
        <f>IFERROR(INDEX(lifespans_all!D$80:D$126,MATCH($A84,lifespans_all!$A$80:$A$126,0))*INDEX(SR_mission_minutes!D$2:D$43,MATCH($A84,SR_mission_minutes!$A$2:$A$43)),"-")</f>
        <v>66700.388888888891</v>
      </c>
      <c r="E84" s="105">
        <f>IFERROR(INDEX(lifespans_all!E$80:E$126,MATCH($A84,lifespans_all!$A$80:$A$126,0))*INDEX(SR_mission_minutes!E$2:E$43,MATCH($A84,SR_mission_minutes!$A$2:$A$43)),"-")</f>
        <v>66700.388888888891</v>
      </c>
      <c r="F84" s="105">
        <f>IFERROR(INDEX(lifespans_all!F$80:F$126,MATCH($A84,lifespans_all!$A$80:$A$126,0))*INDEX(SR_mission_minutes!F$2:F$43,MATCH($A84,SR_mission_minutes!$A$2:$A$43)),"-")</f>
        <v>66700.388888888891</v>
      </c>
      <c r="G84" s="105">
        <f>IFERROR(INDEX(lifespans_all!G$80:G$126,MATCH($A84,lifespans_all!$A$80:$A$126,0))*INDEX(SR_mission_minutes!G$2:G$43,MATCH($A84,SR_mission_minutes!$A$2:$A$43)),"-")</f>
        <v>66700.388888888891</v>
      </c>
      <c r="H84" s="105">
        <f>IFERROR(INDEX(lifespans_all!H$80:H$126,MATCH($A84,lifespans_all!$A$80:$A$126,0))*INDEX(SR_mission_minutes!H$2:H$43,MATCH($A84,SR_mission_minutes!$A$2:$A$43)),"-")</f>
        <v>0</v>
      </c>
      <c r="I84" s="105">
        <f>IFERROR(INDEX(lifespans_all!I$80:I$126,MATCH($A84,lifespans_all!$A$80:$A$126,0))*INDEX(SR_mission_minutes!I$2:I$43,MATCH($A84,SR_mission_minutes!$A$2:$A$43)),"-")</f>
        <v>0</v>
      </c>
      <c r="J84" s="105">
        <f>IFERROR(INDEX(lifespans_all!J$80:J$126,MATCH($A84,lifespans_all!$A$80:$A$126,0))*INDEX(SR_mission_minutes!J$2:J$43,MATCH($A84,SR_mission_minutes!$A$2:$A$43)),"-")</f>
        <v>0</v>
      </c>
      <c r="K84" s="105">
        <f>IFERROR(INDEX(lifespans_all!K$80:K$126,MATCH($A84,lifespans_all!$A$80:$A$126,0))*INDEX(SR_mission_minutes!K$2:K$43,MATCH($A84,SR_mission_minutes!$A$2:$A$43)),"-")</f>
        <v>0</v>
      </c>
      <c r="L84" s="105">
        <f>IFERROR(INDEX(lifespans_all!L$80:L$126,MATCH($A84,lifespans_all!$A$80:$A$126,0))*INDEX(SR_mission_minutes!L$2:L$43,MATCH($A84,SR_mission_minutes!$A$2:$A$43)),"-")</f>
        <v>0</v>
      </c>
      <c r="M84" s="105">
        <f>IFERROR(INDEX(lifespans_all!M$80:M$126,MATCH($A84,lifespans_all!$A$80:$A$126,0))*INDEX(SR_mission_minutes!M$2:M$43,MATCH($A84,SR_mission_minutes!$A$2:$A$43)),"-")</f>
        <v>0</v>
      </c>
      <c r="N84" s="105">
        <f>IFERROR(INDEX(lifespans_all!N$80:N$126,MATCH($A84,lifespans_all!$A$80:$A$126,0))*INDEX(SR_mission_minutes!N$2:N$43,MATCH($A84,SR_mission_minutes!$A$2:$A$43)),"-")</f>
        <v>0</v>
      </c>
      <c r="O84" s="105">
        <f>IFERROR(INDEX(lifespans_all!O$80:O$126,MATCH($A84,lifespans_all!$A$80:$A$126,0))*INDEX(SR_mission_minutes!O$2:O$43,MATCH($A84,SR_mission_minutes!$A$2:$A$43)),"-")</f>
        <v>0</v>
      </c>
      <c r="P84" s="105">
        <f>IFERROR(INDEX(lifespans_all!P$80:P$126,MATCH($A84,lifespans_all!$A$80:$A$126,0))*INDEX(SR_mission_minutes!P$2:P$43,MATCH($A84,SR_mission_minutes!$A$2:$A$43)),"-")</f>
        <v>0</v>
      </c>
      <c r="Q84" s="105">
        <f>IFERROR(INDEX(lifespans_all!Q$80:Q$126,MATCH($A84,lifespans_all!$A$80:$A$126,0))*INDEX(SR_mission_minutes!Q$2:Q$43,MATCH($A84,SR_mission_minutes!$A$2:$A$43)),"-")</f>
        <v>0</v>
      </c>
      <c r="R84" s="105">
        <f>IFERROR(INDEX(lifespans_all!R$80:R$126,MATCH($A84,lifespans_all!$A$80:$A$126,0))*INDEX(SR_mission_minutes!R$2:R$43,MATCH($A84,SR_mission_minutes!$A$2:$A$43)),"-")</f>
        <v>0</v>
      </c>
      <c r="S84" s="105">
        <f>IFERROR(INDEX(lifespans_all!S$80:S$126,MATCH($A84,lifespans_all!$A$80:$A$126,0))*INDEX(SR_mission_minutes!S$2:S$43,MATCH($A84,SR_mission_minutes!$A$2:$A$43)),"-")</f>
        <v>0</v>
      </c>
      <c r="T84" s="105">
        <f>IFERROR(INDEX(lifespans_all!T$80:T$126,MATCH($A84,lifespans_all!$A$80:$A$126,0))*INDEX(SR_mission_minutes!T$2:T$43,MATCH($A84,SR_mission_minutes!$A$2:$A$43)),"-")</f>
        <v>0</v>
      </c>
      <c r="U84" s="105">
        <f>IFERROR(INDEX(lifespans_all!U$80:U$126,MATCH($A84,lifespans_all!$A$80:$A$126,0))*INDEX(SR_mission_minutes!U$2:U$43,MATCH($A84,SR_mission_minutes!$A$2:$A$43)),"-")</f>
        <v>0</v>
      </c>
      <c r="V84" s="105">
        <f>IFERROR(INDEX(lifespans_all!V$80:V$126,MATCH($A84,lifespans_all!$A$80:$A$126,0))*INDEX(SR_mission_minutes!V$2:V$43,MATCH($A84,SR_mission_minutes!$A$2:$A$43)),"-")</f>
        <v>0</v>
      </c>
    </row>
    <row r="85" spans="1:22" x14ac:dyDescent="0.25">
      <c r="A85" s="29" t="s">
        <v>57</v>
      </c>
      <c r="B85" s="29" t="s">
        <v>41</v>
      </c>
      <c r="C85" s="105">
        <f>IFERROR(INDEX(lifespans_all!C$80:C$126,MATCH($A85,lifespans_all!$A$80:$A$126,0))*INDEX(SR_mission_minutes!C$2:C$43,MATCH($A85,SR_mission_minutes!$A$2:$A$43)),"-")</f>
        <v>66700.388888888891</v>
      </c>
      <c r="D85" s="105">
        <f>IFERROR(INDEX(lifespans_all!D$80:D$126,MATCH($A85,lifespans_all!$A$80:$A$126,0))*INDEX(SR_mission_minutes!D$2:D$43,MATCH($A85,SR_mission_minutes!$A$2:$A$43)),"-")</f>
        <v>66700.388888888891</v>
      </c>
      <c r="E85" s="105">
        <f>IFERROR(INDEX(lifespans_all!E$80:E$126,MATCH($A85,lifespans_all!$A$80:$A$126,0))*INDEX(SR_mission_minutes!E$2:E$43,MATCH($A85,SR_mission_minutes!$A$2:$A$43)),"-")</f>
        <v>66700.388888888891</v>
      </c>
      <c r="F85" s="105">
        <f>IFERROR(INDEX(lifespans_all!F$80:F$126,MATCH($A85,lifespans_all!$A$80:$A$126,0))*INDEX(SR_mission_minutes!F$2:F$43,MATCH($A85,SR_mission_minutes!$A$2:$A$43)),"-")</f>
        <v>66700.388888888891</v>
      </c>
      <c r="G85" s="105">
        <f>IFERROR(INDEX(lifespans_all!G$80:G$126,MATCH($A85,lifespans_all!$A$80:$A$126,0))*INDEX(SR_mission_minutes!G$2:G$43,MATCH($A85,SR_mission_minutes!$A$2:$A$43)),"-")</f>
        <v>66700.388888888891</v>
      </c>
      <c r="H85" s="105">
        <f>IFERROR(INDEX(lifespans_all!H$80:H$126,MATCH($A85,lifespans_all!$A$80:$A$126,0))*INDEX(SR_mission_minutes!H$2:H$43,MATCH($A85,SR_mission_minutes!$A$2:$A$43)),"-")</f>
        <v>0</v>
      </c>
      <c r="I85" s="105">
        <f>IFERROR(INDEX(lifespans_all!I$80:I$126,MATCH($A85,lifespans_all!$A$80:$A$126,0))*INDEX(SR_mission_minutes!I$2:I$43,MATCH($A85,SR_mission_minutes!$A$2:$A$43)),"-")</f>
        <v>0</v>
      </c>
      <c r="J85" s="105">
        <f>IFERROR(INDEX(lifespans_all!J$80:J$126,MATCH($A85,lifespans_all!$A$80:$A$126,0))*INDEX(SR_mission_minutes!J$2:J$43,MATCH($A85,SR_mission_minutes!$A$2:$A$43)),"-")</f>
        <v>0</v>
      </c>
      <c r="K85" s="105">
        <f>IFERROR(INDEX(lifespans_all!K$80:K$126,MATCH($A85,lifespans_all!$A$80:$A$126,0))*INDEX(SR_mission_minutes!K$2:K$43,MATCH($A85,SR_mission_minutes!$A$2:$A$43)),"-")</f>
        <v>0</v>
      </c>
      <c r="L85" s="105">
        <f>IFERROR(INDEX(lifespans_all!L$80:L$126,MATCH($A85,lifespans_all!$A$80:$A$126,0))*INDEX(SR_mission_minutes!L$2:L$43,MATCH($A85,SR_mission_minutes!$A$2:$A$43)),"-")</f>
        <v>0</v>
      </c>
      <c r="M85" s="105">
        <f>IFERROR(INDEX(lifespans_all!M$80:M$126,MATCH($A85,lifespans_all!$A$80:$A$126,0))*INDEX(SR_mission_minutes!M$2:M$43,MATCH($A85,SR_mission_minutes!$A$2:$A$43)),"-")</f>
        <v>0</v>
      </c>
      <c r="N85" s="105">
        <f>IFERROR(INDEX(lifespans_all!N$80:N$126,MATCH($A85,lifespans_all!$A$80:$A$126,0))*INDEX(SR_mission_minutes!N$2:N$43,MATCH($A85,SR_mission_minutes!$A$2:$A$43)),"-")</f>
        <v>0</v>
      </c>
      <c r="O85" s="105">
        <f>IFERROR(INDEX(lifespans_all!O$80:O$126,MATCH($A85,lifespans_all!$A$80:$A$126,0))*INDEX(SR_mission_minutes!O$2:O$43,MATCH($A85,SR_mission_minutes!$A$2:$A$43)),"-")</f>
        <v>0</v>
      </c>
      <c r="P85" s="105">
        <f>IFERROR(INDEX(lifespans_all!P$80:P$126,MATCH($A85,lifespans_all!$A$80:$A$126,0))*INDEX(SR_mission_minutes!P$2:P$43,MATCH($A85,SR_mission_minutes!$A$2:$A$43)),"-")</f>
        <v>0</v>
      </c>
      <c r="Q85" s="105">
        <f>IFERROR(INDEX(lifespans_all!Q$80:Q$126,MATCH($A85,lifespans_all!$A$80:$A$126,0))*INDEX(SR_mission_minutes!Q$2:Q$43,MATCH($A85,SR_mission_minutes!$A$2:$A$43)),"-")</f>
        <v>0</v>
      </c>
      <c r="R85" s="105">
        <f>IFERROR(INDEX(lifespans_all!R$80:R$126,MATCH($A85,lifespans_all!$A$80:$A$126,0))*INDEX(SR_mission_minutes!R$2:R$43,MATCH($A85,SR_mission_minutes!$A$2:$A$43)),"-")</f>
        <v>0</v>
      </c>
      <c r="S85" s="105">
        <f>IFERROR(INDEX(lifespans_all!S$80:S$126,MATCH($A85,lifespans_all!$A$80:$A$126,0))*INDEX(SR_mission_minutes!S$2:S$43,MATCH($A85,SR_mission_minutes!$A$2:$A$43)),"-")</f>
        <v>0</v>
      </c>
      <c r="T85" s="105">
        <f>IFERROR(INDEX(lifespans_all!T$80:T$126,MATCH($A85,lifespans_all!$A$80:$A$126,0))*INDEX(SR_mission_minutes!T$2:T$43,MATCH($A85,SR_mission_minutes!$A$2:$A$43)),"-")</f>
        <v>0</v>
      </c>
      <c r="U85" s="105">
        <f>IFERROR(INDEX(lifespans_all!U$80:U$126,MATCH($A85,lifespans_all!$A$80:$A$126,0))*INDEX(SR_mission_minutes!U$2:U$43,MATCH($A85,SR_mission_minutes!$A$2:$A$43)),"-")</f>
        <v>0</v>
      </c>
      <c r="V85" s="105">
        <f>IFERROR(INDEX(lifespans_all!V$80:V$126,MATCH($A85,lifespans_all!$A$80:$A$126,0))*INDEX(SR_mission_minutes!V$2:V$43,MATCH($A85,SR_mission_minutes!$A$2:$A$43)),"-")</f>
        <v>0</v>
      </c>
    </row>
    <row r="86" spans="1:22" x14ac:dyDescent="0.25">
      <c r="A86" s="29" t="s">
        <v>22</v>
      </c>
      <c r="B86" s="29" t="s">
        <v>41</v>
      </c>
      <c r="C86" s="105">
        <f>IFERROR(INDEX(lifespans_all!C$80:C$126,MATCH($A86,lifespans_all!$A$80:$A$126,0))*INDEX(SR_mission_minutes!C$2:C$43,MATCH($A86,SR_mission_minutes!$A$2:$A$43)),"-")</f>
        <v>66700.388888888891</v>
      </c>
      <c r="D86" s="105">
        <f>IFERROR(INDEX(lifespans_all!D$80:D$126,MATCH($A86,lifespans_all!$A$80:$A$126,0))*INDEX(SR_mission_minutes!D$2:D$43,MATCH($A86,SR_mission_minutes!$A$2:$A$43)),"-")</f>
        <v>66700.388888888891</v>
      </c>
      <c r="E86" s="105">
        <f>IFERROR(INDEX(lifespans_all!E$80:E$126,MATCH($A86,lifespans_all!$A$80:$A$126,0))*INDEX(SR_mission_minutes!E$2:E$43,MATCH($A86,SR_mission_minutes!$A$2:$A$43)),"-")</f>
        <v>66700.388888888891</v>
      </c>
      <c r="F86" s="105">
        <f>IFERROR(INDEX(lifespans_all!F$80:F$126,MATCH($A86,lifespans_all!$A$80:$A$126,0))*INDEX(SR_mission_minutes!F$2:F$43,MATCH($A86,SR_mission_minutes!$A$2:$A$43)),"-")</f>
        <v>66700.388888888891</v>
      </c>
      <c r="G86" s="105">
        <f>IFERROR(INDEX(lifespans_all!G$80:G$126,MATCH($A86,lifespans_all!$A$80:$A$126,0))*INDEX(SR_mission_minutes!G$2:G$43,MATCH($A86,SR_mission_minutes!$A$2:$A$43)),"-")</f>
        <v>0</v>
      </c>
      <c r="H86" s="105">
        <f>IFERROR(INDEX(lifespans_all!H$80:H$126,MATCH($A86,lifespans_all!$A$80:$A$126,0))*INDEX(SR_mission_minutes!H$2:H$43,MATCH($A86,SR_mission_minutes!$A$2:$A$43)),"-")</f>
        <v>0</v>
      </c>
      <c r="I86" s="105">
        <f>IFERROR(INDEX(lifespans_all!I$80:I$126,MATCH($A86,lifespans_all!$A$80:$A$126,0))*INDEX(SR_mission_minutes!I$2:I$43,MATCH($A86,SR_mission_minutes!$A$2:$A$43)),"-")</f>
        <v>0</v>
      </c>
      <c r="J86" s="105">
        <f>IFERROR(INDEX(lifespans_all!J$80:J$126,MATCH($A86,lifespans_all!$A$80:$A$126,0))*INDEX(SR_mission_minutes!J$2:J$43,MATCH($A86,SR_mission_minutes!$A$2:$A$43)),"-")</f>
        <v>0</v>
      </c>
      <c r="K86" s="105">
        <f>IFERROR(INDEX(lifespans_all!K$80:K$126,MATCH($A86,lifespans_all!$A$80:$A$126,0))*INDEX(SR_mission_minutes!K$2:K$43,MATCH($A86,SR_mission_minutes!$A$2:$A$43)),"-")</f>
        <v>0</v>
      </c>
      <c r="L86" s="105">
        <f>IFERROR(INDEX(lifespans_all!L$80:L$126,MATCH($A86,lifespans_all!$A$80:$A$126,0))*INDEX(SR_mission_minutes!L$2:L$43,MATCH($A86,SR_mission_minutes!$A$2:$A$43)),"-")</f>
        <v>0</v>
      </c>
      <c r="M86" s="105">
        <f>IFERROR(INDEX(lifespans_all!M$80:M$126,MATCH($A86,lifespans_all!$A$80:$A$126,0))*INDEX(SR_mission_minutes!M$2:M$43,MATCH($A86,SR_mission_minutes!$A$2:$A$43)),"-")</f>
        <v>0</v>
      </c>
      <c r="N86" s="105">
        <f>IFERROR(INDEX(lifespans_all!N$80:N$126,MATCH($A86,lifespans_all!$A$80:$A$126,0))*INDEX(SR_mission_minutes!N$2:N$43,MATCH($A86,SR_mission_minutes!$A$2:$A$43)),"-")</f>
        <v>0</v>
      </c>
      <c r="O86" s="105">
        <f>IFERROR(INDEX(lifespans_all!O$80:O$126,MATCH($A86,lifespans_all!$A$80:$A$126,0))*INDEX(SR_mission_minutes!O$2:O$43,MATCH($A86,SR_mission_minutes!$A$2:$A$43)),"-")</f>
        <v>0</v>
      </c>
      <c r="P86" s="105">
        <f>IFERROR(INDEX(lifespans_all!P$80:P$126,MATCH($A86,lifespans_all!$A$80:$A$126,0))*INDEX(SR_mission_minutes!P$2:P$43,MATCH($A86,SR_mission_minutes!$A$2:$A$43)),"-")</f>
        <v>0</v>
      </c>
      <c r="Q86" s="105">
        <f>IFERROR(INDEX(lifespans_all!Q$80:Q$126,MATCH($A86,lifespans_all!$A$80:$A$126,0))*INDEX(SR_mission_minutes!Q$2:Q$43,MATCH($A86,SR_mission_minutes!$A$2:$A$43)),"-")</f>
        <v>0</v>
      </c>
      <c r="R86" s="105">
        <f>IFERROR(INDEX(lifespans_all!R$80:R$126,MATCH($A86,lifespans_all!$A$80:$A$126,0))*INDEX(SR_mission_minutes!R$2:R$43,MATCH($A86,SR_mission_minutes!$A$2:$A$43)),"-")</f>
        <v>0</v>
      </c>
      <c r="S86" s="105">
        <f>IFERROR(INDEX(lifespans_all!S$80:S$126,MATCH($A86,lifespans_all!$A$80:$A$126,0))*INDEX(SR_mission_minutes!S$2:S$43,MATCH($A86,SR_mission_minutes!$A$2:$A$43)),"-")</f>
        <v>0</v>
      </c>
      <c r="T86" s="105">
        <f>IFERROR(INDEX(lifespans_all!T$80:T$126,MATCH($A86,lifespans_all!$A$80:$A$126,0))*INDEX(SR_mission_minutes!T$2:T$43,MATCH($A86,SR_mission_minutes!$A$2:$A$43)),"-")</f>
        <v>0</v>
      </c>
      <c r="U86" s="105">
        <f>IFERROR(INDEX(lifespans_all!U$80:U$126,MATCH($A86,lifespans_all!$A$80:$A$126,0))*INDEX(SR_mission_minutes!U$2:U$43,MATCH($A86,SR_mission_minutes!$A$2:$A$43)),"-")</f>
        <v>0</v>
      </c>
      <c r="V86" s="105">
        <f>IFERROR(INDEX(lifespans_all!V$80:V$126,MATCH($A86,lifespans_all!$A$80:$A$126,0))*INDEX(SR_mission_minutes!V$2:V$43,MATCH($A86,SR_mission_minutes!$A$2:$A$43)),"-")</f>
        <v>0</v>
      </c>
    </row>
    <row r="87" spans="1:22" x14ac:dyDescent="0.25">
      <c r="A87" s="29" t="s">
        <v>23</v>
      </c>
      <c r="B87" s="29" t="s">
        <v>43</v>
      </c>
      <c r="C87" s="105">
        <f>IFERROR(INDEX(lifespans_all!C$80:C$126,MATCH($A87,lifespans_all!$A$80:$A$126,0))*INDEX(SR_mission_minutes!C$2:C$43,MATCH($A87,SR_mission_minutes!$A$2:$A$43)),"-")</f>
        <v>114879</v>
      </c>
      <c r="D87" s="105">
        <f>IFERROR(INDEX(lifespans_all!D$80:D$126,MATCH($A87,lifespans_all!$A$80:$A$126,0))*INDEX(SR_mission_minutes!D$2:D$43,MATCH($A87,SR_mission_minutes!$A$2:$A$43)),"-")</f>
        <v>114879</v>
      </c>
      <c r="E87" s="105">
        <f>IFERROR(INDEX(lifespans_all!E$80:E$126,MATCH($A87,lifespans_all!$A$80:$A$126,0))*INDEX(SR_mission_minutes!E$2:E$43,MATCH($A87,SR_mission_minutes!$A$2:$A$43)),"-")</f>
        <v>114879</v>
      </c>
      <c r="F87" s="105">
        <f>IFERROR(INDEX(lifespans_all!F$80:F$126,MATCH($A87,lifespans_all!$A$80:$A$126,0))*INDEX(SR_mission_minutes!F$2:F$43,MATCH($A87,SR_mission_minutes!$A$2:$A$43)),"-")</f>
        <v>114879</v>
      </c>
      <c r="G87" s="105">
        <f>IFERROR(INDEX(lifespans_all!G$80:G$126,MATCH($A87,lifespans_all!$A$80:$A$126,0))*INDEX(SR_mission_minutes!G$2:G$43,MATCH($A87,SR_mission_minutes!$A$2:$A$43)),"-")</f>
        <v>114879</v>
      </c>
      <c r="H87" s="105">
        <f>IFERROR(INDEX(lifespans_all!H$80:H$126,MATCH($A87,lifespans_all!$A$80:$A$126,0))*INDEX(SR_mission_minutes!H$2:H$43,MATCH($A87,SR_mission_minutes!$A$2:$A$43)),"-")</f>
        <v>114879</v>
      </c>
      <c r="I87" s="105">
        <f>IFERROR(INDEX(lifespans_all!I$80:I$126,MATCH($A87,lifespans_all!$A$80:$A$126,0))*INDEX(SR_mission_minutes!I$2:I$43,MATCH($A87,SR_mission_minutes!$A$2:$A$43)),"-")</f>
        <v>114879</v>
      </c>
      <c r="J87" s="105">
        <f>IFERROR(INDEX(lifespans_all!J$80:J$126,MATCH($A87,lifespans_all!$A$80:$A$126,0))*INDEX(SR_mission_minutes!J$2:J$43,MATCH($A87,SR_mission_minutes!$A$2:$A$43)),"-")</f>
        <v>114879</v>
      </c>
      <c r="K87" s="105">
        <f>IFERROR(INDEX(lifespans_all!K$80:K$126,MATCH($A87,lifespans_all!$A$80:$A$126,0))*INDEX(SR_mission_minutes!K$2:K$43,MATCH($A87,SR_mission_minutes!$A$2:$A$43)),"-")</f>
        <v>114879</v>
      </c>
      <c r="L87" s="105">
        <f>IFERROR(INDEX(lifespans_all!L$80:L$126,MATCH($A87,lifespans_all!$A$80:$A$126,0))*INDEX(SR_mission_minutes!L$2:L$43,MATCH($A87,SR_mission_minutes!$A$2:$A$43)),"-")</f>
        <v>114879</v>
      </c>
      <c r="M87" s="105">
        <f>IFERROR(INDEX(lifespans_all!M$80:M$126,MATCH($A87,lifespans_all!$A$80:$A$126,0))*INDEX(SR_mission_minutes!M$2:M$43,MATCH($A87,SR_mission_minutes!$A$2:$A$43)),"-")</f>
        <v>0</v>
      </c>
      <c r="N87" s="105">
        <f>IFERROR(INDEX(lifespans_all!N$80:N$126,MATCH($A87,lifespans_all!$A$80:$A$126,0))*INDEX(SR_mission_minutes!N$2:N$43,MATCH($A87,SR_mission_minutes!$A$2:$A$43)),"-")</f>
        <v>0</v>
      </c>
      <c r="O87" s="105">
        <f>IFERROR(INDEX(lifespans_all!O$80:O$126,MATCH($A87,lifespans_all!$A$80:$A$126,0))*INDEX(SR_mission_minutes!O$2:O$43,MATCH($A87,SR_mission_minutes!$A$2:$A$43)),"-")</f>
        <v>0</v>
      </c>
      <c r="P87" s="105">
        <f>IFERROR(INDEX(lifespans_all!P$80:P$126,MATCH($A87,lifespans_all!$A$80:$A$126,0))*INDEX(SR_mission_minutes!P$2:P$43,MATCH($A87,SR_mission_minutes!$A$2:$A$43)),"-")</f>
        <v>0</v>
      </c>
      <c r="Q87" s="105">
        <f>IFERROR(INDEX(lifespans_all!Q$80:Q$126,MATCH($A87,lifespans_all!$A$80:$A$126,0))*INDEX(SR_mission_minutes!Q$2:Q$43,MATCH($A87,SR_mission_minutes!$A$2:$A$43)),"-")</f>
        <v>0</v>
      </c>
      <c r="R87" s="105">
        <f>IFERROR(INDEX(lifespans_all!R$80:R$126,MATCH($A87,lifespans_all!$A$80:$A$126,0))*INDEX(SR_mission_minutes!R$2:R$43,MATCH($A87,SR_mission_minutes!$A$2:$A$43)),"-")</f>
        <v>0</v>
      </c>
      <c r="S87" s="105">
        <f>IFERROR(INDEX(lifespans_all!S$80:S$126,MATCH($A87,lifespans_all!$A$80:$A$126,0))*INDEX(SR_mission_minutes!S$2:S$43,MATCH($A87,SR_mission_minutes!$A$2:$A$43)),"-")</f>
        <v>0</v>
      </c>
      <c r="T87" s="105">
        <f>IFERROR(INDEX(lifespans_all!T$80:T$126,MATCH($A87,lifespans_all!$A$80:$A$126,0))*INDEX(SR_mission_minutes!T$2:T$43,MATCH($A87,SR_mission_minutes!$A$2:$A$43)),"-")</f>
        <v>0</v>
      </c>
      <c r="U87" s="105">
        <f>IFERROR(INDEX(lifespans_all!U$80:U$126,MATCH($A87,lifespans_all!$A$80:$A$126,0))*INDEX(SR_mission_minutes!U$2:U$43,MATCH($A87,SR_mission_minutes!$A$2:$A$43)),"-")</f>
        <v>0</v>
      </c>
      <c r="V87" s="105">
        <f>IFERROR(INDEX(lifespans_all!V$80:V$126,MATCH($A87,lifespans_all!$A$80:$A$126,0))*INDEX(SR_mission_minutes!V$2:V$43,MATCH($A87,SR_mission_minutes!$A$2:$A$43)),"-")</f>
        <v>0</v>
      </c>
    </row>
    <row r="88" spans="1:22" x14ac:dyDescent="0.25">
      <c r="A88" s="29" t="s">
        <v>24</v>
      </c>
      <c r="B88" s="29" t="s">
        <v>42</v>
      </c>
      <c r="C88" s="105">
        <f>IFERROR(INDEX(lifespans_all!C$80:C$126,MATCH($A88,lifespans_all!$A$80:$A$126,0))*INDEX(SR_mission_minutes!C$2:C$43,MATCH($A88,SR_mission_minutes!$A$2:$A$43)),"-")</f>
        <v>0</v>
      </c>
      <c r="D88" s="105">
        <f>IFERROR(INDEX(lifespans_all!D$80:D$126,MATCH($A88,lifespans_all!$A$80:$A$126,0))*INDEX(SR_mission_minutes!D$2:D$43,MATCH($A88,SR_mission_minutes!$A$2:$A$43)),"-")</f>
        <v>0</v>
      </c>
      <c r="E88" s="105">
        <f>IFERROR(INDEX(lifespans_all!E$80:E$126,MATCH($A88,lifespans_all!$A$80:$A$126,0))*INDEX(SR_mission_minutes!E$2:E$43,MATCH($A88,SR_mission_minutes!$A$2:$A$43)),"-")</f>
        <v>0</v>
      </c>
      <c r="F88" s="105">
        <f>IFERROR(INDEX(lifespans_all!F$80:F$126,MATCH($A88,lifespans_all!$A$80:$A$126,0))*INDEX(SR_mission_minutes!F$2:F$43,MATCH($A88,SR_mission_minutes!$A$2:$A$43)),"-")</f>
        <v>0</v>
      </c>
      <c r="G88" s="105">
        <f>IFERROR(INDEX(lifespans_all!G$80:G$126,MATCH($A88,lifespans_all!$A$80:$A$126,0))*INDEX(SR_mission_minutes!G$2:G$43,MATCH($A88,SR_mission_minutes!$A$2:$A$43)),"-")</f>
        <v>0</v>
      </c>
      <c r="H88" s="105">
        <f>IFERROR(INDEX(lifespans_all!H$80:H$126,MATCH($A88,lifespans_all!$A$80:$A$126,0))*INDEX(SR_mission_minutes!H$2:H$43,MATCH($A88,SR_mission_minutes!$A$2:$A$43)),"-")</f>
        <v>0</v>
      </c>
      <c r="I88" s="105">
        <f>IFERROR(INDEX(lifespans_all!I$80:I$126,MATCH($A88,lifespans_all!$A$80:$A$126,0))*INDEX(SR_mission_minutes!I$2:I$43,MATCH($A88,SR_mission_minutes!$A$2:$A$43)),"-")</f>
        <v>0</v>
      </c>
      <c r="J88" s="105">
        <f>IFERROR(INDEX(lifespans_all!J$80:J$126,MATCH($A88,lifespans_all!$A$80:$A$126,0))*INDEX(SR_mission_minutes!J$2:J$43,MATCH($A88,SR_mission_minutes!$A$2:$A$43)),"-")</f>
        <v>0</v>
      </c>
      <c r="K88" s="105">
        <f>IFERROR(INDEX(lifespans_all!K$80:K$126,MATCH($A88,lifespans_all!$A$80:$A$126,0))*INDEX(SR_mission_minutes!K$2:K$43,MATCH($A88,SR_mission_minutes!$A$2:$A$43)),"-")</f>
        <v>0</v>
      </c>
      <c r="L88" s="105">
        <f>IFERROR(INDEX(lifespans_all!L$80:L$126,MATCH($A88,lifespans_all!$A$80:$A$126,0))*INDEX(SR_mission_minutes!L$2:L$43,MATCH($A88,SR_mission_minutes!$A$2:$A$43)),"-")</f>
        <v>0</v>
      </c>
      <c r="M88" s="105">
        <f>IFERROR(INDEX(lifespans_all!M$80:M$126,MATCH($A88,lifespans_all!$A$80:$A$126,0))*INDEX(SR_mission_minutes!M$2:M$43,MATCH($A88,SR_mission_minutes!$A$2:$A$43)),"-")</f>
        <v>0</v>
      </c>
      <c r="N88" s="105">
        <f>IFERROR(INDEX(lifespans_all!N$80:N$126,MATCH($A88,lifespans_all!$A$80:$A$126,0))*INDEX(SR_mission_minutes!N$2:N$43,MATCH($A88,SR_mission_minutes!$A$2:$A$43)),"-")</f>
        <v>0</v>
      </c>
      <c r="O88" s="105">
        <f>IFERROR(INDEX(lifespans_all!O$80:O$126,MATCH($A88,lifespans_all!$A$80:$A$126,0))*INDEX(SR_mission_minutes!O$2:O$43,MATCH($A88,SR_mission_minutes!$A$2:$A$43)),"-")</f>
        <v>0</v>
      </c>
      <c r="P88" s="105">
        <f>IFERROR(INDEX(lifespans_all!P$80:P$126,MATCH($A88,lifespans_all!$A$80:$A$126,0))*INDEX(SR_mission_minutes!P$2:P$43,MATCH($A88,SR_mission_minutes!$A$2:$A$43)),"-")</f>
        <v>0</v>
      </c>
      <c r="Q88" s="105">
        <f>IFERROR(INDEX(lifespans_all!Q$80:Q$126,MATCH($A88,lifespans_all!$A$80:$A$126,0))*INDEX(SR_mission_minutes!Q$2:Q$43,MATCH($A88,SR_mission_minutes!$A$2:$A$43)),"-")</f>
        <v>0</v>
      </c>
      <c r="R88" s="105">
        <f>IFERROR(INDEX(lifespans_all!R$80:R$126,MATCH($A88,lifespans_all!$A$80:$A$126,0))*INDEX(SR_mission_minutes!R$2:R$43,MATCH($A88,SR_mission_minutes!$A$2:$A$43)),"-")</f>
        <v>0</v>
      </c>
      <c r="S88" s="105">
        <f>IFERROR(INDEX(lifespans_all!S$80:S$126,MATCH($A88,lifespans_all!$A$80:$A$126,0))*INDEX(SR_mission_minutes!S$2:S$43,MATCH($A88,SR_mission_minutes!$A$2:$A$43)),"-")</f>
        <v>0</v>
      </c>
      <c r="T88" s="105">
        <f>IFERROR(INDEX(lifespans_all!T$80:T$126,MATCH($A88,lifespans_all!$A$80:$A$126,0))*INDEX(SR_mission_minutes!T$2:T$43,MATCH($A88,SR_mission_minutes!$A$2:$A$43)),"-")</f>
        <v>0</v>
      </c>
      <c r="U88" s="105">
        <f>IFERROR(INDEX(lifespans_all!U$80:U$126,MATCH($A88,lifespans_all!$A$80:$A$126,0))*INDEX(SR_mission_minutes!U$2:U$43,MATCH($A88,SR_mission_minutes!$A$2:$A$43)),"-")</f>
        <v>0</v>
      </c>
      <c r="V88" s="105">
        <f>IFERROR(INDEX(lifespans_all!V$80:V$126,MATCH($A88,lifespans_all!$A$80:$A$126,0))*INDEX(SR_mission_minutes!V$2:V$43,MATCH($A88,SR_mission_minutes!$A$2:$A$43)),"-")</f>
        <v>0</v>
      </c>
    </row>
    <row r="89" spans="1:22" x14ac:dyDescent="0.25">
      <c r="A89" s="29" t="s">
        <v>25</v>
      </c>
      <c r="B89" s="29" t="s">
        <v>44</v>
      </c>
      <c r="C89" s="105">
        <f>IFERROR(INDEX(lifespans_all!C$80:C$126,MATCH($A89,lifespans_all!$A$80:$A$126,0))*INDEX(SR_mission_minutes!C$2:C$43,MATCH($A89,SR_mission_minutes!$A$2:$A$43)),"-")</f>
        <v>460.5</v>
      </c>
      <c r="D89" s="105">
        <f>IFERROR(INDEX(lifespans_all!D$80:D$126,MATCH($A89,lifespans_all!$A$80:$A$126,0))*INDEX(SR_mission_minutes!D$2:D$43,MATCH($A89,SR_mission_minutes!$A$2:$A$43)),"-")</f>
        <v>460.5</v>
      </c>
      <c r="E89" s="105">
        <f>IFERROR(INDEX(lifespans_all!E$80:E$126,MATCH($A89,lifespans_all!$A$80:$A$126,0))*INDEX(SR_mission_minutes!E$2:E$43,MATCH($A89,SR_mission_minutes!$A$2:$A$43)),"-")</f>
        <v>460.5</v>
      </c>
      <c r="F89" s="105">
        <f>IFERROR(INDEX(lifespans_all!F$80:F$126,MATCH($A89,lifespans_all!$A$80:$A$126,0))*INDEX(SR_mission_minutes!F$2:F$43,MATCH($A89,SR_mission_minutes!$A$2:$A$43)),"-")</f>
        <v>460.5</v>
      </c>
      <c r="G89" s="105">
        <f>IFERROR(INDEX(lifespans_all!G$80:G$126,MATCH($A89,lifespans_all!$A$80:$A$126,0))*INDEX(SR_mission_minutes!G$2:G$43,MATCH($A89,SR_mission_minutes!$A$2:$A$43)),"-")</f>
        <v>0</v>
      </c>
      <c r="H89" s="105">
        <f>IFERROR(INDEX(lifespans_all!H$80:H$126,MATCH($A89,lifespans_all!$A$80:$A$126,0))*INDEX(SR_mission_minutes!H$2:H$43,MATCH($A89,SR_mission_minutes!$A$2:$A$43)),"-")</f>
        <v>0</v>
      </c>
      <c r="I89" s="105">
        <f>IFERROR(INDEX(lifespans_all!I$80:I$126,MATCH($A89,lifespans_all!$A$80:$A$126,0))*INDEX(SR_mission_minutes!I$2:I$43,MATCH($A89,SR_mission_minutes!$A$2:$A$43)),"-")</f>
        <v>0</v>
      </c>
      <c r="J89" s="105">
        <f>IFERROR(INDEX(lifespans_all!J$80:J$126,MATCH($A89,lifespans_all!$A$80:$A$126,0))*INDEX(SR_mission_minutes!J$2:J$43,MATCH($A89,SR_mission_minutes!$A$2:$A$43)),"-")</f>
        <v>0</v>
      </c>
      <c r="K89" s="105">
        <f>IFERROR(INDEX(lifespans_all!K$80:K$126,MATCH($A89,lifespans_all!$A$80:$A$126,0))*INDEX(SR_mission_minutes!K$2:K$43,MATCH($A89,SR_mission_minutes!$A$2:$A$43)),"-")</f>
        <v>0</v>
      </c>
      <c r="L89" s="105">
        <f>IFERROR(INDEX(lifespans_all!L$80:L$126,MATCH($A89,lifespans_all!$A$80:$A$126,0))*INDEX(SR_mission_minutes!L$2:L$43,MATCH($A89,SR_mission_minutes!$A$2:$A$43)),"-")</f>
        <v>0</v>
      </c>
      <c r="M89" s="105">
        <f>IFERROR(INDEX(lifespans_all!M$80:M$126,MATCH($A89,lifespans_all!$A$80:$A$126,0))*INDEX(SR_mission_minutes!M$2:M$43,MATCH($A89,SR_mission_minutes!$A$2:$A$43)),"-")</f>
        <v>0</v>
      </c>
      <c r="N89" s="105">
        <f>IFERROR(INDEX(lifespans_all!N$80:N$126,MATCH($A89,lifespans_all!$A$80:$A$126,0))*INDEX(SR_mission_minutes!N$2:N$43,MATCH($A89,SR_mission_minutes!$A$2:$A$43)),"-")</f>
        <v>0</v>
      </c>
      <c r="O89" s="105">
        <f>IFERROR(INDEX(lifespans_all!O$80:O$126,MATCH($A89,lifespans_all!$A$80:$A$126,0))*INDEX(SR_mission_minutes!O$2:O$43,MATCH($A89,SR_mission_minutes!$A$2:$A$43)),"-")</f>
        <v>0</v>
      </c>
      <c r="P89" s="105">
        <f>IFERROR(INDEX(lifespans_all!P$80:P$126,MATCH($A89,lifespans_all!$A$80:$A$126,0))*INDEX(SR_mission_minutes!P$2:P$43,MATCH($A89,SR_mission_minutes!$A$2:$A$43)),"-")</f>
        <v>0</v>
      </c>
      <c r="Q89" s="105">
        <f>IFERROR(INDEX(lifespans_all!Q$80:Q$126,MATCH($A89,lifespans_all!$A$80:$A$126,0))*INDEX(SR_mission_minutes!Q$2:Q$43,MATCH($A89,SR_mission_minutes!$A$2:$A$43)),"-")</f>
        <v>0</v>
      </c>
      <c r="R89" s="105">
        <f>IFERROR(INDEX(lifespans_all!R$80:R$126,MATCH($A89,lifespans_all!$A$80:$A$126,0))*INDEX(SR_mission_minutes!R$2:R$43,MATCH($A89,SR_mission_minutes!$A$2:$A$43)),"-")</f>
        <v>0</v>
      </c>
      <c r="S89" s="105">
        <f>IFERROR(INDEX(lifespans_all!S$80:S$126,MATCH($A89,lifespans_all!$A$80:$A$126,0))*INDEX(SR_mission_minutes!S$2:S$43,MATCH($A89,SR_mission_minutes!$A$2:$A$43)),"-")</f>
        <v>0</v>
      </c>
      <c r="T89" s="105">
        <f>IFERROR(INDEX(lifespans_all!T$80:T$126,MATCH($A89,lifespans_all!$A$80:$A$126,0))*INDEX(SR_mission_minutes!T$2:T$43,MATCH($A89,SR_mission_minutes!$A$2:$A$43)),"-")</f>
        <v>0</v>
      </c>
      <c r="U89" s="105">
        <f>IFERROR(INDEX(lifespans_all!U$80:U$126,MATCH($A89,lifespans_all!$A$80:$A$126,0))*INDEX(SR_mission_minutes!U$2:U$43,MATCH($A89,SR_mission_minutes!$A$2:$A$43)),"-")</f>
        <v>0</v>
      </c>
      <c r="V89" s="105">
        <f>IFERROR(INDEX(lifespans_all!V$80:V$126,MATCH($A89,lifespans_all!$A$80:$A$126,0))*INDEX(SR_mission_minutes!V$2:V$43,MATCH($A89,SR_mission_minutes!$A$2:$A$43)),"-")</f>
        <v>0</v>
      </c>
    </row>
    <row r="90" spans="1:22" x14ac:dyDescent="0.25">
      <c r="A90" s="29" t="s">
        <v>58</v>
      </c>
      <c r="B90" s="29" t="s">
        <v>41</v>
      </c>
      <c r="C90" s="105">
        <f>IFERROR(INDEX(lifespans_all!C$80:C$126,MATCH($A90,lifespans_all!$A$80:$A$126,0))*INDEX(SR_mission_minutes!C$2:C$43,MATCH($A90,SR_mission_minutes!$A$2:$A$43)),"-")</f>
        <v>66700.388888888891</v>
      </c>
      <c r="D90" s="105">
        <f>IFERROR(INDEX(lifespans_all!D$80:D$126,MATCH($A90,lifespans_all!$A$80:$A$126,0))*INDEX(SR_mission_minutes!D$2:D$43,MATCH($A90,SR_mission_minutes!$A$2:$A$43)),"-")</f>
        <v>0</v>
      </c>
      <c r="E90" s="105">
        <f>IFERROR(INDEX(lifespans_all!E$80:E$126,MATCH($A90,lifespans_all!$A$80:$A$126,0))*INDEX(SR_mission_minutes!E$2:E$43,MATCH($A90,SR_mission_minutes!$A$2:$A$43)),"-")</f>
        <v>0</v>
      </c>
      <c r="F90" s="105">
        <f>IFERROR(INDEX(lifespans_all!F$80:F$126,MATCH($A90,lifespans_all!$A$80:$A$126,0))*INDEX(SR_mission_minutes!F$2:F$43,MATCH($A90,SR_mission_minutes!$A$2:$A$43)),"-")</f>
        <v>0</v>
      </c>
      <c r="G90" s="105">
        <f>IFERROR(INDEX(lifespans_all!G$80:G$126,MATCH($A90,lifespans_all!$A$80:$A$126,0))*INDEX(SR_mission_minutes!G$2:G$43,MATCH($A90,SR_mission_minutes!$A$2:$A$43)),"-")</f>
        <v>0</v>
      </c>
      <c r="H90" s="105">
        <f>IFERROR(INDEX(lifespans_all!H$80:H$126,MATCH($A90,lifespans_all!$A$80:$A$126,0))*INDEX(SR_mission_minutes!H$2:H$43,MATCH($A90,SR_mission_minutes!$A$2:$A$43)),"-")</f>
        <v>0</v>
      </c>
      <c r="I90" s="105">
        <f>IFERROR(INDEX(lifespans_all!I$80:I$126,MATCH($A90,lifespans_all!$A$80:$A$126,0))*INDEX(SR_mission_minutes!I$2:I$43,MATCH($A90,SR_mission_minutes!$A$2:$A$43)),"-")</f>
        <v>0</v>
      </c>
      <c r="J90" s="105">
        <f>IFERROR(INDEX(lifespans_all!J$80:J$126,MATCH($A90,lifespans_all!$A$80:$A$126,0))*INDEX(SR_mission_minutes!J$2:J$43,MATCH($A90,SR_mission_minutes!$A$2:$A$43)),"-")</f>
        <v>0</v>
      </c>
      <c r="K90" s="105">
        <f>IFERROR(INDEX(lifespans_all!K$80:K$126,MATCH($A90,lifespans_all!$A$80:$A$126,0))*INDEX(SR_mission_minutes!K$2:K$43,MATCH($A90,SR_mission_minutes!$A$2:$A$43)),"-")</f>
        <v>0</v>
      </c>
      <c r="L90" s="105">
        <f>IFERROR(INDEX(lifespans_all!L$80:L$126,MATCH($A90,lifespans_all!$A$80:$A$126,0))*INDEX(SR_mission_minutes!L$2:L$43,MATCH($A90,SR_mission_minutes!$A$2:$A$43)),"-")</f>
        <v>0</v>
      </c>
      <c r="M90" s="105">
        <f>IFERROR(INDEX(lifespans_all!M$80:M$126,MATCH($A90,lifespans_all!$A$80:$A$126,0))*INDEX(SR_mission_minutes!M$2:M$43,MATCH($A90,SR_mission_minutes!$A$2:$A$43)),"-")</f>
        <v>0</v>
      </c>
      <c r="N90" s="105">
        <f>IFERROR(INDEX(lifespans_all!N$80:N$126,MATCH($A90,lifespans_all!$A$80:$A$126,0))*INDEX(SR_mission_minutes!N$2:N$43,MATCH($A90,SR_mission_minutes!$A$2:$A$43)),"-")</f>
        <v>0</v>
      </c>
      <c r="O90" s="105">
        <f>IFERROR(INDEX(lifespans_all!O$80:O$126,MATCH($A90,lifespans_all!$A$80:$A$126,0))*INDEX(SR_mission_minutes!O$2:O$43,MATCH($A90,SR_mission_minutes!$A$2:$A$43)),"-")</f>
        <v>0</v>
      </c>
      <c r="P90" s="105">
        <f>IFERROR(INDEX(lifespans_all!P$80:P$126,MATCH($A90,lifespans_all!$A$80:$A$126,0))*INDEX(SR_mission_minutes!P$2:P$43,MATCH($A90,SR_mission_minutes!$A$2:$A$43)),"-")</f>
        <v>0</v>
      </c>
      <c r="Q90" s="105">
        <f>IFERROR(INDEX(lifespans_all!Q$80:Q$126,MATCH($A90,lifespans_all!$A$80:$A$126,0))*INDEX(SR_mission_minutes!Q$2:Q$43,MATCH($A90,SR_mission_minutes!$A$2:$A$43)),"-")</f>
        <v>0</v>
      </c>
      <c r="R90" s="105">
        <f>IFERROR(INDEX(lifespans_all!R$80:R$126,MATCH($A90,lifespans_all!$A$80:$A$126,0))*INDEX(SR_mission_minutes!R$2:R$43,MATCH($A90,SR_mission_minutes!$A$2:$A$43)),"-")</f>
        <v>0</v>
      </c>
      <c r="S90" s="105">
        <f>IFERROR(INDEX(lifespans_all!S$80:S$126,MATCH($A90,lifespans_all!$A$80:$A$126,0))*INDEX(SR_mission_minutes!S$2:S$43,MATCH($A90,SR_mission_minutes!$A$2:$A$43)),"-")</f>
        <v>0</v>
      </c>
      <c r="T90" s="105">
        <f>IFERROR(INDEX(lifespans_all!T$80:T$126,MATCH($A90,lifespans_all!$A$80:$A$126,0))*INDEX(SR_mission_minutes!T$2:T$43,MATCH($A90,SR_mission_minutes!$A$2:$A$43)),"-")</f>
        <v>0</v>
      </c>
      <c r="U90" s="105">
        <f>IFERROR(INDEX(lifespans_all!U$80:U$126,MATCH($A90,lifespans_all!$A$80:$A$126,0))*INDEX(SR_mission_minutes!U$2:U$43,MATCH($A90,SR_mission_minutes!$A$2:$A$43)),"-")</f>
        <v>0</v>
      </c>
      <c r="V90" s="105">
        <f>IFERROR(INDEX(lifespans_all!V$80:V$126,MATCH($A90,lifespans_all!$A$80:$A$126,0))*INDEX(SR_mission_minutes!V$2:V$43,MATCH($A90,SR_mission_minutes!$A$2:$A$43)),"-")</f>
        <v>0</v>
      </c>
    </row>
    <row r="91" spans="1:22" x14ac:dyDescent="0.25">
      <c r="A91" s="29" t="s">
        <v>59</v>
      </c>
      <c r="B91" s="29" t="s">
        <v>41</v>
      </c>
      <c r="C91" s="105">
        <f>IFERROR(INDEX(lifespans_all!C$80:C$126,MATCH($A91,lifespans_all!$A$80:$A$126,0))*INDEX(SR_mission_minutes!C$2:C$43,MATCH($A91,SR_mission_minutes!$A$2:$A$43)),"-")</f>
        <v>66700.388888888891</v>
      </c>
      <c r="D91" s="105">
        <f>IFERROR(INDEX(lifespans_all!D$80:D$126,MATCH($A91,lifespans_all!$A$80:$A$126,0))*INDEX(SR_mission_minutes!D$2:D$43,MATCH($A91,SR_mission_minutes!$A$2:$A$43)),"-")</f>
        <v>66700.388888888891</v>
      </c>
      <c r="E91" s="105">
        <f>IFERROR(INDEX(lifespans_all!E$80:E$126,MATCH($A91,lifespans_all!$A$80:$A$126,0))*INDEX(SR_mission_minutes!E$2:E$43,MATCH($A91,SR_mission_minutes!$A$2:$A$43)),"-")</f>
        <v>66700.388888888891</v>
      </c>
      <c r="F91" s="105">
        <f>IFERROR(INDEX(lifespans_all!F$80:F$126,MATCH($A91,lifespans_all!$A$80:$A$126,0))*INDEX(SR_mission_minutes!F$2:F$43,MATCH($A91,SR_mission_minutes!$A$2:$A$43)),"-")</f>
        <v>0</v>
      </c>
      <c r="G91" s="105">
        <f>IFERROR(INDEX(lifespans_all!G$80:G$126,MATCH($A91,lifespans_all!$A$80:$A$126,0))*INDEX(SR_mission_minutes!G$2:G$43,MATCH($A91,SR_mission_minutes!$A$2:$A$43)),"-")</f>
        <v>0</v>
      </c>
      <c r="H91" s="105">
        <f>IFERROR(INDEX(lifespans_all!H$80:H$126,MATCH($A91,lifespans_all!$A$80:$A$126,0))*INDEX(SR_mission_minutes!H$2:H$43,MATCH($A91,SR_mission_minutes!$A$2:$A$43)),"-")</f>
        <v>0</v>
      </c>
      <c r="I91" s="105">
        <f>IFERROR(INDEX(lifespans_all!I$80:I$126,MATCH($A91,lifespans_all!$A$80:$A$126,0))*INDEX(SR_mission_minutes!I$2:I$43,MATCH($A91,SR_mission_minutes!$A$2:$A$43)),"-")</f>
        <v>0</v>
      </c>
      <c r="J91" s="105">
        <f>IFERROR(INDEX(lifespans_all!J$80:J$126,MATCH($A91,lifespans_all!$A$80:$A$126,0))*INDEX(SR_mission_minutes!J$2:J$43,MATCH($A91,SR_mission_minutes!$A$2:$A$43)),"-")</f>
        <v>0</v>
      </c>
      <c r="K91" s="105">
        <f>IFERROR(INDEX(lifespans_all!K$80:K$126,MATCH($A91,lifespans_all!$A$80:$A$126,0))*INDEX(SR_mission_minutes!K$2:K$43,MATCH($A91,SR_mission_minutes!$A$2:$A$43)),"-")</f>
        <v>0</v>
      </c>
      <c r="L91" s="105">
        <f>IFERROR(INDEX(lifespans_all!L$80:L$126,MATCH($A91,lifespans_all!$A$80:$A$126,0))*INDEX(SR_mission_minutes!L$2:L$43,MATCH($A91,SR_mission_minutes!$A$2:$A$43)),"-")</f>
        <v>0</v>
      </c>
      <c r="M91" s="105">
        <f>IFERROR(INDEX(lifespans_all!M$80:M$126,MATCH($A91,lifespans_all!$A$80:$A$126,0))*INDEX(SR_mission_minutes!M$2:M$43,MATCH($A91,SR_mission_minutes!$A$2:$A$43)),"-")</f>
        <v>0</v>
      </c>
      <c r="N91" s="105">
        <f>IFERROR(INDEX(lifespans_all!N$80:N$126,MATCH($A91,lifespans_all!$A$80:$A$126,0))*INDEX(SR_mission_minutes!N$2:N$43,MATCH($A91,SR_mission_minutes!$A$2:$A$43)),"-")</f>
        <v>0</v>
      </c>
      <c r="O91" s="105">
        <f>IFERROR(INDEX(lifespans_all!O$80:O$126,MATCH($A91,lifespans_all!$A$80:$A$126,0))*INDEX(SR_mission_minutes!O$2:O$43,MATCH($A91,SR_mission_minutes!$A$2:$A$43)),"-")</f>
        <v>0</v>
      </c>
      <c r="P91" s="105">
        <f>IFERROR(INDEX(lifespans_all!P$80:P$126,MATCH($A91,lifespans_all!$A$80:$A$126,0))*INDEX(SR_mission_minutes!P$2:P$43,MATCH($A91,SR_mission_minutes!$A$2:$A$43)),"-")</f>
        <v>0</v>
      </c>
      <c r="Q91" s="105">
        <f>IFERROR(INDEX(lifespans_all!Q$80:Q$126,MATCH($A91,lifespans_all!$A$80:$A$126,0))*INDEX(SR_mission_minutes!Q$2:Q$43,MATCH($A91,SR_mission_minutes!$A$2:$A$43)),"-")</f>
        <v>0</v>
      </c>
      <c r="R91" s="105">
        <f>IFERROR(INDEX(lifespans_all!R$80:R$126,MATCH($A91,lifespans_all!$A$80:$A$126,0))*INDEX(SR_mission_minutes!R$2:R$43,MATCH($A91,SR_mission_minutes!$A$2:$A$43)),"-")</f>
        <v>0</v>
      </c>
      <c r="S91" s="105">
        <f>IFERROR(INDEX(lifespans_all!S$80:S$126,MATCH($A91,lifespans_all!$A$80:$A$126,0))*INDEX(SR_mission_minutes!S$2:S$43,MATCH($A91,SR_mission_minutes!$A$2:$A$43)),"-")</f>
        <v>0</v>
      </c>
      <c r="T91" s="105">
        <f>IFERROR(INDEX(lifespans_all!T$80:T$126,MATCH($A91,lifespans_all!$A$80:$A$126,0))*INDEX(SR_mission_minutes!T$2:T$43,MATCH($A91,SR_mission_minutes!$A$2:$A$43)),"-")</f>
        <v>0</v>
      </c>
      <c r="U91" s="105">
        <f>IFERROR(INDEX(lifespans_all!U$80:U$126,MATCH($A91,lifespans_all!$A$80:$A$126,0))*INDEX(SR_mission_minutes!U$2:U$43,MATCH($A91,SR_mission_minutes!$A$2:$A$43)),"-")</f>
        <v>0</v>
      </c>
      <c r="V91" s="105">
        <f>IFERROR(INDEX(lifespans_all!V$80:V$126,MATCH($A91,lifespans_all!$A$80:$A$126,0))*INDEX(SR_mission_minutes!V$2:V$43,MATCH($A91,SR_mission_minutes!$A$2:$A$43)),"-")</f>
        <v>0</v>
      </c>
    </row>
    <row r="92" spans="1:22" x14ac:dyDescent="0.25">
      <c r="A92" s="29" t="s">
        <v>60</v>
      </c>
      <c r="B92" s="29" t="s">
        <v>41</v>
      </c>
      <c r="C92" s="105">
        <f>IFERROR(INDEX(lifespans_all!C$80:C$126,MATCH($A92,lifespans_all!$A$80:$A$126,0))*INDEX(SR_mission_minutes!C$2:C$43,MATCH($A92,SR_mission_minutes!$A$2:$A$43)),"-")</f>
        <v>66700.388888888891</v>
      </c>
      <c r="D92" s="105">
        <f>IFERROR(INDEX(lifespans_all!D$80:D$126,MATCH($A92,lifespans_all!$A$80:$A$126,0))*INDEX(SR_mission_minutes!D$2:D$43,MATCH($A92,SR_mission_minutes!$A$2:$A$43)),"-")</f>
        <v>66700.388888888891</v>
      </c>
      <c r="E92" s="105">
        <f>IFERROR(INDEX(lifespans_all!E$80:E$126,MATCH($A92,lifespans_all!$A$80:$A$126,0))*INDEX(SR_mission_minutes!E$2:E$43,MATCH($A92,SR_mission_minutes!$A$2:$A$43)),"-")</f>
        <v>66700.388888888891</v>
      </c>
      <c r="F92" s="105">
        <f>IFERROR(INDEX(lifespans_all!F$80:F$126,MATCH($A92,lifespans_all!$A$80:$A$126,0))*INDEX(SR_mission_minutes!F$2:F$43,MATCH($A92,SR_mission_minutes!$A$2:$A$43)),"-")</f>
        <v>66700.388888888891</v>
      </c>
      <c r="G92" s="105">
        <f>IFERROR(INDEX(lifespans_all!G$80:G$126,MATCH($A92,lifespans_all!$A$80:$A$126,0))*INDEX(SR_mission_minutes!G$2:G$43,MATCH($A92,SR_mission_minutes!$A$2:$A$43)),"-")</f>
        <v>66700.388888888891</v>
      </c>
      <c r="H92" s="105">
        <f>IFERROR(INDEX(lifespans_all!H$80:H$126,MATCH($A92,lifespans_all!$A$80:$A$126,0))*INDEX(SR_mission_minutes!H$2:H$43,MATCH($A92,SR_mission_minutes!$A$2:$A$43)),"-")</f>
        <v>66700.388888888891</v>
      </c>
      <c r="I92" s="105">
        <f>IFERROR(INDEX(lifespans_all!I$80:I$126,MATCH($A92,lifespans_all!$A$80:$A$126,0))*INDEX(SR_mission_minutes!I$2:I$43,MATCH($A92,SR_mission_minutes!$A$2:$A$43)),"-")</f>
        <v>0</v>
      </c>
      <c r="J92" s="105">
        <f>IFERROR(INDEX(lifespans_all!J$80:J$126,MATCH($A92,lifespans_all!$A$80:$A$126,0))*INDEX(SR_mission_minutes!J$2:J$43,MATCH($A92,SR_mission_minutes!$A$2:$A$43)),"-")</f>
        <v>0</v>
      </c>
      <c r="K92" s="105">
        <f>IFERROR(INDEX(lifespans_all!K$80:K$126,MATCH($A92,lifespans_all!$A$80:$A$126,0))*INDEX(SR_mission_minutes!K$2:K$43,MATCH($A92,SR_mission_minutes!$A$2:$A$43)),"-")</f>
        <v>0</v>
      </c>
      <c r="L92" s="105">
        <f>IFERROR(INDEX(lifespans_all!L$80:L$126,MATCH($A92,lifespans_all!$A$80:$A$126,0))*INDEX(SR_mission_minutes!L$2:L$43,MATCH($A92,SR_mission_minutes!$A$2:$A$43)),"-")</f>
        <v>0</v>
      </c>
      <c r="M92" s="105">
        <f>IFERROR(INDEX(lifespans_all!M$80:M$126,MATCH($A92,lifespans_all!$A$80:$A$126,0))*INDEX(SR_mission_minutes!M$2:M$43,MATCH($A92,SR_mission_minutes!$A$2:$A$43)),"-")</f>
        <v>0</v>
      </c>
      <c r="N92" s="105">
        <f>IFERROR(INDEX(lifespans_all!N$80:N$126,MATCH($A92,lifespans_all!$A$80:$A$126,0))*INDEX(SR_mission_minutes!N$2:N$43,MATCH($A92,SR_mission_minutes!$A$2:$A$43)),"-")</f>
        <v>0</v>
      </c>
      <c r="O92" s="105">
        <f>IFERROR(INDEX(lifespans_all!O$80:O$126,MATCH($A92,lifespans_all!$A$80:$A$126,0))*INDEX(SR_mission_minutes!O$2:O$43,MATCH($A92,SR_mission_minutes!$A$2:$A$43)),"-")</f>
        <v>0</v>
      </c>
      <c r="P92" s="105">
        <f>IFERROR(INDEX(lifespans_all!P$80:P$126,MATCH($A92,lifespans_all!$A$80:$A$126,0))*INDEX(SR_mission_minutes!P$2:P$43,MATCH($A92,SR_mission_minutes!$A$2:$A$43)),"-")</f>
        <v>0</v>
      </c>
      <c r="Q92" s="105">
        <f>IFERROR(INDEX(lifespans_all!Q$80:Q$126,MATCH($A92,lifespans_all!$A$80:$A$126,0))*INDEX(SR_mission_minutes!Q$2:Q$43,MATCH($A92,SR_mission_minutes!$A$2:$A$43)),"-")</f>
        <v>0</v>
      </c>
      <c r="R92" s="105">
        <f>IFERROR(INDEX(lifespans_all!R$80:R$126,MATCH($A92,lifespans_all!$A$80:$A$126,0))*INDEX(SR_mission_minutes!R$2:R$43,MATCH($A92,SR_mission_minutes!$A$2:$A$43)),"-")</f>
        <v>0</v>
      </c>
      <c r="S92" s="105">
        <f>IFERROR(INDEX(lifespans_all!S$80:S$126,MATCH($A92,lifespans_all!$A$80:$A$126,0))*INDEX(SR_mission_minutes!S$2:S$43,MATCH($A92,SR_mission_minutes!$A$2:$A$43)),"-")</f>
        <v>0</v>
      </c>
      <c r="T92" s="105">
        <f>IFERROR(INDEX(lifespans_all!T$80:T$126,MATCH($A92,lifespans_all!$A$80:$A$126,0))*INDEX(SR_mission_minutes!T$2:T$43,MATCH($A92,SR_mission_minutes!$A$2:$A$43)),"-")</f>
        <v>0</v>
      </c>
      <c r="U92" s="105">
        <f>IFERROR(INDEX(lifespans_all!U$80:U$126,MATCH($A92,lifespans_all!$A$80:$A$126,0))*INDEX(SR_mission_minutes!U$2:U$43,MATCH($A92,SR_mission_minutes!$A$2:$A$43)),"-")</f>
        <v>0</v>
      </c>
      <c r="V92" s="105">
        <f>IFERROR(INDEX(lifespans_all!V$80:V$126,MATCH($A92,lifespans_all!$A$80:$A$126,0))*INDEX(SR_mission_minutes!V$2:V$43,MATCH($A92,SR_mission_minutes!$A$2:$A$43)),"-")</f>
        <v>0</v>
      </c>
    </row>
    <row r="93" spans="1:22" x14ac:dyDescent="0.25">
      <c r="A93" s="29" t="s">
        <v>26</v>
      </c>
      <c r="B93" s="29" t="s">
        <v>45</v>
      </c>
      <c r="C93" s="105">
        <f>IFERROR(INDEX(lifespans_all!C$80:C$126,MATCH($A93,lifespans_all!$A$80:$A$126,0))*INDEX(SR_mission_minutes!C$2:C$43,MATCH($A93,SR_mission_minutes!$A$2:$A$43)),"-")</f>
        <v>33739.333333333336</v>
      </c>
      <c r="D93" s="105">
        <f>IFERROR(INDEX(lifespans_all!D$80:D$126,MATCH($A93,lifespans_all!$A$80:$A$126,0))*INDEX(SR_mission_minutes!D$2:D$43,MATCH($A93,SR_mission_minutes!$A$2:$A$43)),"-")</f>
        <v>33739.333333333336</v>
      </c>
      <c r="E93" s="105">
        <f>IFERROR(INDEX(lifespans_all!E$80:E$126,MATCH($A93,lifespans_all!$A$80:$A$126,0))*INDEX(SR_mission_minutes!E$2:E$43,MATCH($A93,SR_mission_minutes!$A$2:$A$43)),"-")</f>
        <v>33739.333333333336</v>
      </c>
      <c r="F93" s="105">
        <f>IFERROR(INDEX(lifespans_all!F$80:F$126,MATCH($A93,lifespans_all!$A$80:$A$126,0))*INDEX(SR_mission_minutes!F$2:F$43,MATCH($A93,SR_mission_minutes!$A$2:$A$43)),"-")</f>
        <v>33739.333333333336</v>
      </c>
      <c r="G93" s="105">
        <f>IFERROR(INDEX(lifespans_all!G$80:G$126,MATCH($A93,lifespans_all!$A$80:$A$126,0))*INDEX(SR_mission_minutes!G$2:G$43,MATCH($A93,SR_mission_minutes!$A$2:$A$43)),"-")</f>
        <v>33739.333333333336</v>
      </c>
      <c r="H93" s="105">
        <f>IFERROR(INDEX(lifespans_all!H$80:H$126,MATCH($A93,lifespans_all!$A$80:$A$126,0))*INDEX(SR_mission_minutes!H$2:H$43,MATCH($A93,SR_mission_minutes!$A$2:$A$43)),"-")</f>
        <v>33739.333333333336</v>
      </c>
      <c r="I93" s="105">
        <f>IFERROR(INDEX(lifespans_all!I$80:I$126,MATCH($A93,lifespans_all!$A$80:$A$126,0))*INDEX(SR_mission_minutes!I$2:I$43,MATCH($A93,SR_mission_minutes!$A$2:$A$43)),"-")</f>
        <v>33739.333333333336</v>
      </c>
      <c r="J93" s="105">
        <f>IFERROR(INDEX(lifespans_all!J$80:J$126,MATCH($A93,lifespans_all!$A$80:$A$126,0))*INDEX(SR_mission_minutes!J$2:J$43,MATCH($A93,SR_mission_minutes!$A$2:$A$43)),"-")</f>
        <v>33739.333333333336</v>
      </c>
      <c r="K93" s="105">
        <f>IFERROR(INDEX(lifespans_all!K$80:K$126,MATCH($A93,lifespans_all!$A$80:$A$126,0))*INDEX(SR_mission_minutes!K$2:K$43,MATCH($A93,SR_mission_minutes!$A$2:$A$43)),"-")</f>
        <v>33739.333333333336</v>
      </c>
      <c r="L93" s="105">
        <f>IFERROR(INDEX(lifespans_all!L$80:L$126,MATCH($A93,lifespans_all!$A$80:$A$126,0))*INDEX(SR_mission_minutes!L$2:L$43,MATCH($A93,SR_mission_minutes!$A$2:$A$43)),"-")</f>
        <v>33739.333333333336</v>
      </c>
      <c r="M93" s="105">
        <f>IFERROR(INDEX(lifespans_all!M$80:M$126,MATCH($A93,lifespans_all!$A$80:$A$126,0))*INDEX(SR_mission_minutes!M$2:M$43,MATCH($A93,SR_mission_minutes!$A$2:$A$43)),"-")</f>
        <v>33739.333333333336</v>
      </c>
      <c r="N93" s="105">
        <f>IFERROR(INDEX(lifespans_all!N$80:N$126,MATCH($A93,lifespans_all!$A$80:$A$126,0))*INDEX(SR_mission_minutes!N$2:N$43,MATCH($A93,SR_mission_minutes!$A$2:$A$43)),"-")</f>
        <v>33739.333333333336</v>
      </c>
      <c r="O93" s="105">
        <f>IFERROR(INDEX(lifespans_all!O$80:O$126,MATCH($A93,lifespans_all!$A$80:$A$126,0))*INDEX(SR_mission_minutes!O$2:O$43,MATCH($A93,SR_mission_minutes!$A$2:$A$43)),"-")</f>
        <v>33739.333333333336</v>
      </c>
      <c r="P93" s="105">
        <f>IFERROR(INDEX(lifespans_all!P$80:P$126,MATCH($A93,lifespans_all!$A$80:$A$126,0))*INDEX(SR_mission_minutes!P$2:P$43,MATCH($A93,SR_mission_minutes!$A$2:$A$43)),"-")</f>
        <v>33739.333333333336</v>
      </c>
      <c r="Q93" s="105">
        <f>IFERROR(INDEX(lifespans_all!Q$80:Q$126,MATCH($A93,lifespans_all!$A$80:$A$126,0))*INDEX(SR_mission_minutes!Q$2:Q$43,MATCH($A93,SR_mission_minutes!$A$2:$A$43)),"-")</f>
        <v>33739.333333333336</v>
      </c>
      <c r="R93" s="105">
        <f>IFERROR(INDEX(lifespans_all!R$80:R$126,MATCH($A93,lifespans_all!$A$80:$A$126,0))*INDEX(SR_mission_minutes!R$2:R$43,MATCH($A93,SR_mission_minutes!$A$2:$A$43)),"-")</f>
        <v>33739.333333333336</v>
      </c>
      <c r="S93" s="105">
        <f>IFERROR(INDEX(lifespans_all!S$80:S$126,MATCH($A93,lifespans_all!$A$80:$A$126,0))*INDEX(SR_mission_minutes!S$2:S$43,MATCH($A93,SR_mission_minutes!$A$2:$A$43)),"-")</f>
        <v>33739.333333333336</v>
      </c>
      <c r="T93" s="105">
        <f>IFERROR(INDEX(lifespans_all!T$80:T$126,MATCH($A93,lifespans_all!$A$80:$A$126,0))*INDEX(SR_mission_minutes!T$2:T$43,MATCH($A93,SR_mission_minutes!$A$2:$A$43)),"-")</f>
        <v>33739.333333333336</v>
      </c>
      <c r="U93" s="105">
        <f>IFERROR(INDEX(lifespans_all!U$80:U$126,MATCH($A93,lifespans_all!$A$80:$A$126,0))*INDEX(SR_mission_minutes!U$2:U$43,MATCH($A93,SR_mission_minutes!$A$2:$A$43)),"-")</f>
        <v>33739.333333333336</v>
      </c>
      <c r="V93" s="105">
        <f>IFERROR(INDEX(lifespans_all!V$80:V$126,MATCH($A93,lifespans_all!$A$80:$A$126,0))*INDEX(SR_mission_minutes!V$2:V$43,MATCH($A93,SR_mission_minutes!$A$2:$A$43)),"-")</f>
        <v>33739.333333333336</v>
      </c>
    </row>
    <row r="94" spans="1:22" x14ac:dyDescent="0.25">
      <c r="A94" s="29" t="s">
        <v>61</v>
      </c>
      <c r="B94" s="29" t="s">
        <v>42</v>
      </c>
      <c r="C94" s="105">
        <f>IFERROR(INDEX(lifespans_all!C$80:C$126,MATCH($A94,lifespans_all!$A$80:$A$126,0))*INDEX(SR_mission_minutes!C$2:C$43,MATCH($A94,SR_mission_minutes!$A$2:$A$43)),"-")</f>
        <v>2294</v>
      </c>
      <c r="D94" s="105">
        <f>IFERROR(INDEX(lifespans_all!D$80:D$126,MATCH($A94,lifespans_all!$A$80:$A$126,0))*INDEX(SR_mission_minutes!D$2:D$43,MATCH($A94,SR_mission_minutes!$A$2:$A$43)),"-")</f>
        <v>2294</v>
      </c>
      <c r="E94" s="105">
        <f>IFERROR(INDEX(lifespans_all!E$80:E$126,MATCH($A94,lifespans_all!$A$80:$A$126,0))*INDEX(SR_mission_minutes!E$2:E$43,MATCH($A94,SR_mission_minutes!$A$2:$A$43)),"-")</f>
        <v>2294</v>
      </c>
      <c r="F94" s="105">
        <f>IFERROR(INDEX(lifespans_all!F$80:F$126,MATCH($A94,lifespans_all!$A$80:$A$126,0))*INDEX(SR_mission_minutes!F$2:F$43,MATCH($A94,SR_mission_minutes!$A$2:$A$43)),"-")</f>
        <v>2294</v>
      </c>
      <c r="G94" s="105">
        <f>IFERROR(INDEX(lifespans_all!G$80:G$126,MATCH($A94,lifespans_all!$A$80:$A$126,0))*INDEX(SR_mission_minutes!G$2:G$43,MATCH($A94,SR_mission_minutes!$A$2:$A$43)),"-")</f>
        <v>2294</v>
      </c>
      <c r="H94" s="105">
        <f>IFERROR(INDEX(lifespans_all!H$80:H$126,MATCH($A94,lifespans_all!$A$80:$A$126,0))*INDEX(SR_mission_minutes!H$2:H$43,MATCH($A94,SR_mission_minutes!$A$2:$A$43)),"-")</f>
        <v>2294</v>
      </c>
      <c r="I94" s="105">
        <f>IFERROR(INDEX(lifespans_all!I$80:I$126,MATCH($A94,lifespans_all!$A$80:$A$126,0))*INDEX(SR_mission_minutes!I$2:I$43,MATCH($A94,SR_mission_minutes!$A$2:$A$43)),"-")</f>
        <v>2294</v>
      </c>
      <c r="J94" s="105">
        <f>IFERROR(INDEX(lifespans_all!J$80:J$126,MATCH($A94,lifespans_all!$A$80:$A$126,0))*INDEX(SR_mission_minutes!J$2:J$43,MATCH($A94,SR_mission_minutes!$A$2:$A$43)),"-")</f>
        <v>2294</v>
      </c>
      <c r="K94" s="105">
        <f>IFERROR(INDEX(lifespans_all!K$80:K$126,MATCH($A94,lifespans_all!$A$80:$A$126,0))*INDEX(SR_mission_minutes!K$2:K$43,MATCH($A94,SR_mission_minutes!$A$2:$A$43)),"-")</f>
        <v>2294</v>
      </c>
      <c r="L94" s="105">
        <f>IFERROR(INDEX(lifespans_all!L$80:L$126,MATCH($A94,lifespans_all!$A$80:$A$126,0))*INDEX(SR_mission_minutes!L$2:L$43,MATCH($A94,SR_mission_minutes!$A$2:$A$43)),"-")</f>
        <v>2294</v>
      </c>
      <c r="M94" s="105">
        <f>IFERROR(INDEX(lifespans_all!M$80:M$126,MATCH($A94,lifespans_all!$A$80:$A$126,0))*INDEX(SR_mission_minutes!M$2:M$43,MATCH($A94,SR_mission_minutes!$A$2:$A$43)),"-")</f>
        <v>2294</v>
      </c>
      <c r="N94" s="105">
        <f>IFERROR(INDEX(lifespans_all!N$80:N$126,MATCH($A94,lifespans_all!$A$80:$A$126,0))*INDEX(SR_mission_minutes!N$2:N$43,MATCH($A94,SR_mission_minutes!$A$2:$A$43)),"-")</f>
        <v>2294</v>
      </c>
      <c r="O94" s="105">
        <f>IFERROR(INDEX(lifespans_all!O$80:O$126,MATCH($A94,lifespans_all!$A$80:$A$126,0))*INDEX(SR_mission_minutes!O$2:O$43,MATCH($A94,SR_mission_minutes!$A$2:$A$43)),"-")</f>
        <v>2294</v>
      </c>
      <c r="P94" s="105">
        <f>IFERROR(INDEX(lifespans_all!P$80:P$126,MATCH($A94,lifespans_all!$A$80:$A$126,0))*INDEX(SR_mission_minutes!P$2:P$43,MATCH($A94,SR_mission_minutes!$A$2:$A$43)),"-")</f>
        <v>2294</v>
      </c>
      <c r="Q94" s="105">
        <f>IFERROR(INDEX(lifespans_all!Q$80:Q$126,MATCH($A94,lifespans_all!$A$80:$A$126,0))*INDEX(SR_mission_minutes!Q$2:Q$43,MATCH($A94,SR_mission_minutes!$A$2:$A$43)),"-")</f>
        <v>2294</v>
      </c>
      <c r="R94" s="105">
        <f>IFERROR(INDEX(lifespans_all!R$80:R$126,MATCH($A94,lifespans_all!$A$80:$A$126,0))*INDEX(SR_mission_minutes!R$2:R$43,MATCH($A94,SR_mission_minutes!$A$2:$A$43)),"-")</f>
        <v>2294</v>
      </c>
      <c r="S94" s="105">
        <f>IFERROR(INDEX(lifespans_all!S$80:S$126,MATCH($A94,lifespans_all!$A$80:$A$126,0))*INDEX(SR_mission_minutes!S$2:S$43,MATCH($A94,SR_mission_minutes!$A$2:$A$43)),"-")</f>
        <v>2294</v>
      </c>
      <c r="T94" s="105">
        <f>IFERROR(INDEX(lifespans_all!T$80:T$126,MATCH($A94,lifespans_all!$A$80:$A$126,0))*INDEX(SR_mission_minutes!T$2:T$43,MATCH($A94,SR_mission_minutes!$A$2:$A$43)),"-")</f>
        <v>2294</v>
      </c>
      <c r="U94" s="105">
        <f>IFERROR(INDEX(lifespans_all!U$80:U$126,MATCH($A94,lifespans_all!$A$80:$A$126,0))*INDEX(SR_mission_minutes!U$2:U$43,MATCH($A94,SR_mission_minutes!$A$2:$A$43)),"-")</f>
        <v>2294</v>
      </c>
      <c r="V94" s="105">
        <f>IFERROR(INDEX(lifespans_all!V$80:V$126,MATCH($A94,lifespans_all!$A$80:$A$126,0))*INDEX(SR_mission_minutes!V$2:V$43,MATCH($A94,SR_mission_minutes!$A$2:$A$43)),"-")</f>
        <v>2294</v>
      </c>
    </row>
    <row r="95" spans="1:22" x14ac:dyDescent="0.25">
      <c r="A95" s="29" t="s">
        <v>108</v>
      </c>
      <c r="B95" s="29" t="s">
        <v>40</v>
      </c>
      <c r="C95" s="105" t="str">
        <f>IFERROR(INDEX(lifespans_all!C$80:C$126,MATCH($A95,lifespans_all!$A$80:$A$126,0))*INDEX(SR_mission_minutes!C$2:C$43,MATCH($A95,SR_mission_minutes!$A$2:$A$43)),"-")</f>
        <v>-</v>
      </c>
      <c r="D95" s="105" t="str">
        <f>IFERROR(INDEX(lifespans_all!D$80:D$126,MATCH($A95,lifespans_all!$A$80:$A$126,0))*INDEX(SR_mission_minutes!D$2:D$43,MATCH($A95,SR_mission_minutes!$A$2:$A$43)),"-")</f>
        <v>-</v>
      </c>
      <c r="E95" s="105" t="str">
        <f>IFERROR(INDEX(lifespans_all!E$80:E$126,MATCH($A95,lifespans_all!$A$80:$A$126,0))*INDEX(SR_mission_minutes!E$2:E$43,MATCH($A95,SR_mission_minutes!$A$2:$A$43)),"-")</f>
        <v>-</v>
      </c>
      <c r="F95" s="105" t="str">
        <f>IFERROR(INDEX(lifespans_all!F$80:F$126,MATCH($A95,lifespans_all!$A$80:$A$126,0))*INDEX(SR_mission_minutes!F$2:F$43,MATCH($A95,SR_mission_minutes!$A$2:$A$43)),"-")</f>
        <v>-</v>
      </c>
      <c r="G95" s="105" t="str">
        <f>IFERROR(INDEX(lifespans_all!G$80:G$126,MATCH($A95,lifespans_all!$A$80:$A$126,0))*INDEX(SR_mission_minutes!G$2:G$43,MATCH($A95,SR_mission_minutes!$A$2:$A$43)),"-")</f>
        <v>-</v>
      </c>
      <c r="H95" s="105" t="str">
        <f>IFERROR(INDEX(lifespans_all!H$80:H$126,MATCH($A95,lifespans_all!$A$80:$A$126,0))*INDEX(SR_mission_minutes!H$2:H$43,MATCH($A95,SR_mission_minutes!$A$2:$A$43)),"-")</f>
        <v>-</v>
      </c>
      <c r="I95" s="105" t="str">
        <f>IFERROR(INDEX(lifespans_all!I$80:I$126,MATCH($A95,lifespans_all!$A$80:$A$126,0))*INDEX(SR_mission_minutes!I$2:I$43,MATCH($A95,SR_mission_minutes!$A$2:$A$43)),"-")</f>
        <v>-</v>
      </c>
      <c r="J95" s="105" t="str">
        <f>IFERROR(INDEX(lifespans_all!J$80:J$126,MATCH($A95,lifespans_all!$A$80:$A$126,0))*INDEX(SR_mission_minutes!J$2:J$43,MATCH($A95,SR_mission_minutes!$A$2:$A$43)),"-")</f>
        <v>-</v>
      </c>
      <c r="K95" s="105" t="str">
        <f>IFERROR(INDEX(lifespans_all!K$80:K$126,MATCH($A95,lifespans_all!$A$80:$A$126,0))*INDEX(SR_mission_minutes!K$2:K$43,MATCH($A95,SR_mission_minutes!$A$2:$A$43)),"-")</f>
        <v>-</v>
      </c>
      <c r="L95" s="105" t="str">
        <f>IFERROR(INDEX(lifespans_all!L$80:L$126,MATCH($A95,lifespans_all!$A$80:$A$126,0))*INDEX(SR_mission_minutes!L$2:L$43,MATCH($A95,SR_mission_minutes!$A$2:$A$43)),"-")</f>
        <v>-</v>
      </c>
      <c r="M95" s="105" t="str">
        <f>IFERROR(INDEX(lifespans_all!M$80:M$126,MATCH($A95,lifespans_all!$A$80:$A$126,0))*INDEX(SR_mission_minutes!M$2:M$43,MATCH($A95,SR_mission_minutes!$A$2:$A$43)),"-")</f>
        <v>-</v>
      </c>
      <c r="N95" s="105" t="str">
        <f>IFERROR(INDEX(lifespans_all!N$80:N$126,MATCH($A95,lifespans_all!$A$80:$A$126,0))*INDEX(SR_mission_minutes!N$2:N$43,MATCH($A95,SR_mission_minutes!$A$2:$A$43)),"-")</f>
        <v>-</v>
      </c>
      <c r="O95" s="105" t="str">
        <f>IFERROR(INDEX(lifespans_all!O$80:O$126,MATCH($A95,lifespans_all!$A$80:$A$126,0))*INDEX(SR_mission_minutes!O$2:O$43,MATCH($A95,SR_mission_minutes!$A$2:$A$43)),"-")</f>
        <v>-</v>
      </c>
      <c r="P95" s="105" t="str">
        <f>IFERROR(INDEX(lifespans_all!P$80:P$126,MATCH($A95,lifespans_all!$A$80:$A$126,0))*INDEX(SR_mission_minutes!P$2:P$43,MATCH($A95,SR_mission_minutes!$A$2:$A$43)),"-")</f>
        <v>-</v>
      </c>
      <c r="Q95" s="105" t="str">
        <f>IFERROR(INDEX(lifespans_all!Q$80:Q$126,MATCH($A95,lifespans_all!$A$80:$A$126,0))*INDEX(SR_mission_minutes!Q$2:Q$43,MATCH($A95,SR_mission_minutes!$A$2:$A$43)),"-")</f>
        <v>-</v>
      </c>
      <c r="R95" s="105" t="str">
        <f>IFERROR(INDEX(lifespans_all!R$80:R$126,MATCH($A95,lifespans_all!$A$80:$A$126,0))*INDEX(SR_mission_minutes!R$2:R$43,MATCH($A95,SR_mission_minutes!$A$2:$A$43)),"-")</f>
        <v>-</v>
      </c>
      <c r="S95" s="105" t="str">
        <f>IFERROR(INDEX(lifespans_all!S$80:S$126,MATCH($A95,lifespans_all!$A$80:$A$126,0))*INDEX(SR_mission_minutes!S$2:S$43,MATCH($A95,SR_mission_minutes!$A$2:$A$43)),"-")</f>
        <v>-</v>
      </c>
      <c r="T95" s="105" t="str">
        <f>IFERROR(INDEX(lifespans_all!T$80:T$126,MATCH($A95,lifespans_all!$A$80:$A$126,0))*INDEX(SR_mission_minutes!T$2:T$43,MATCH($A95,SR_mission_minutes!$A$2:$A$43)),"-")</f>
        <v>-</v>
      </c>
      <c r="U95" s="105" t="str">
        <f>IFERROR(INDEX(lifespans_all!U$80:U$126,MATCH($A95,lifespans_all!$A$80:$A$126,0))*INDEX(SR_mission_minutes!U$2:U$43,MATCH($A95,SR_mission_minutes!$A$2:$A$43)),"-")</f>
        <v>-</v>
      </c>
      <c r="V95" s="105" t="str">
        <f>IFERROR(INDEX(lifespans_all!V$80:V$126,MATCH($A95,lifespans_all!$A$80:$A$126,0))*INDEX(SR_mission_minutes!V$2:V$43,MATCH($A95,SR_mission_minutes!$A$2:$A$43)),"-")</f>
        <v>-</v>
      </c>
    </row>
    <row r="96" spans="1:22" x14ac:dyDescent="0.25">
      <c r="A96" s="29" t="s">
        <v>109</v>
      </c>
      <c r="B96" s="29" t="s">
        <v>40</v>
      </c>
      <c r="C96" s="105" t="str">
        <f>IFERROR(INDEX(lifespans_all!C$80:C$126,MATCH($A96,lifespans_all!$A$80:$A$126,0))*INDEX(SR_mission_minutes!C$2:C$43,MATCH($A96,SR_mission_minutes!$A$2:$A$43)),"-")</f>
        <v>-</v>
      </c>
      <c r="D96" s="105" t="str">
        <f>IFERROR(INDEX(lifespans_all!D$80:D$126,MATCH($A96,lifespans_all!$A$80:$A$126,0))*INDEX(SR_mission_minutes!D$2:D$43,MATCH($A96,SR_mission_minutes!$A$2:$A$43)),"-")</f>
        <v>-</v>
      </c>
      <c r="E96" s="105" t="str">
        <f>IFERROR(INDEX(lifespans_all!E$80:E$126,MATCH($A96,lifespans_all!$A$80:$A$126,0))*INDEX(SR_mission_minutes!E$2:E$43,MATCH($A96,SR_mission_minutes!$A$2:$A$43)),"-")</f>
        <v>-</v>
      </c>
      <c r="F96" s="105" t="str">
        <f>IFERROR(INDEX(lifespans_all!F$80:F$126,MATCH($A96,lifespans_all!$A$80:$A$126,0))*INDEX(SR_mission_minutes!F$2:F$43,MATCH($A96,SR_mission_minutes!$A$2:$A$43)),"-")</f>
        <v>-</v>
      </c>
      <c r="G96" s="105" t="str">
        <f>IFERROR(INDEX(lifespans_all!G$80:G$126,MATCH($A96,lifespans_all!$A$80:$A$126,0))*INDEX(SR_mission_minutes!G$2:G$43,MATCH($A96,SR_mission_minutes!$A$2:$A$43)),"-")</f>
        <v>-</v>
      </c>
      <c r="H96" s="105" t="str">
        <f>IFERROR(INDEX(lifespans_all!H$80:H$126,MATCH($A96,lifespans_all!$A$80:$A$126,0))*INDEX(SR_mission_minutes!H$2:H$43,MATCH($A96,SR_mission_minutes!$A$2:$A$43)),"-")</f>
        <v>-</v>
      </c>
      <c r="I96" s="105" t="str">
        <f>IFERROR(INDEX(lifespans_all!I$80:I$126,MATCH($A96,lifespans_all!$A$80:$A$126,0))*INDEX(SR_mission_minutes!I$2:I$43,MATCH($A96,SR_mission_minutes!$A$2:$A$43)),"-")</f>
        <v>-</v>
      </c>
      <c r="J96" s="105" t="str">
        <f>IFERROR(INDEX(lifespans_all!J$80:J$126,MATCH($A96,lifespans_all!$A$80:$A$126,0))*INDEX(SR_mission_minutes!J$2:J$43,MATCH($A96,SR_mission_minutes!$A$2:$A$43)),"-")</f>
        <v>-</v>
      </c>
      <c r="K96" s="105" t="str">
        <f>IFERROR(INDEX(lifespans_all!K$80:K$126,MATCH($A96,lifespans_all!$A$80:$A$126,0))*INDEX(SR_mission_minutes!K$2:K$43,MATCH($A96,SR_mission_minutes!$A$2:$A$43)),"-")</f>
        <v>-</v>
      </c>
      <c r="L96" s="105" t="str">
        <f>IFERROR(INDEX(lifespans_all!L$80:L$126,MATCH($A96,lifespans_all!$A$80:$A$126,0))*INDEX(SR_mission_minutes!L$2:L$43,MATCH($A96,SR_mission_minutes!$A$2:$A$43)),"-")</f>
        <v>-</v>
      </c>
      <c r="M96" s="105" t="str">
        <f>IFERROR(INDEX(lifespans_all!M$80:M$126,MATCH($A96,lifespans_all!$A$80:$A$126,0))*INDEX(SR_mission_minutes!M$2:M$43,MATCH($A96,SR_mission_minutes!$A$2:$A$43)),"-")</f>
        <v>-</v>
      </c>
      <c r="N96" s="105" t="str">
        <f>IFERROR(INDEX(lifespans_all!N$80:N$126,MATCH($A96,lifespans_all!$A$80:$A$126,0))*INDEX(SR_mission_minutes!N$2:N$43,MATCH($A96,SR_mission_minutes!$A$2:$A$43)),"-")</f>
        <v>-</v>
      </c>
      <c r="O96" s="105" t="str">
        <f>IFERROR(INDEX(lifespans_all!O$80:O$126,MATCH($A96,lifespans_all!$A$80:$A$126,0))*INDEX(SR_mission_minutes!O$2:O$43,MATCH($A96,SR_mission_minutes!$A$2:$A$43)),"-")</f>
        <v>-</v>
      </c>
      <c r="P96" s="105" t="str">
        <f>IFERROR(INDEX(lifespans_all!P$80:P$126,MATCH($A96,lifespans_all!$A$80:$A$126,0))*INDEX(SR_mission_minutes!P$2:P$43,MATCH($A96,SR_mission_minutes!$A$2:$A$43)),"-")</f>
        <v>-</v>
      </c>
      <c r="Q96" s="105" t="str">
        <f>IFERROR(INDEX(lifespans_all!Q$80:Q$126,MATCH($A96,lifespans_all!$A$80:$A$126,0))*INDEX(SR_mission_minutes!Q$2:Q$43,MATCH($A96,SR_mission_minutes!$A$2:$A$43)),"-")</f>
        <v>-</v>
      </c>
      <c r="R96" s="105" t="str">
        <f>IFERROR(INDEX(lifespans_all!R$80:R$126,MATCH($A96,lifespans_all!$A$80:$A$126,0))*INDEX(SR_mission_minutes!R$2:R$43,MATCH($A96,SR_mission_minutes!$A$2:$A$43)),"-")</f>
        <v>-</v>
      </c>
      <c r="S96" s="105" t="str">
        <f>IFERROR(INDEX(lifespans_all!S$80:S$126,MATCH($A96,lifespans_all!$A$80:$A$126,0))*INDEX(SR_mission_minutes!S$2:S$43,MATCH($A96,SR_mission_minutes!$A$2:$A$43)),"-")</f>
        <v>-</v>
      </c>
      <c r="T96" s="105" t="str">
        <f>IFERROR(INDEX(lifespans_all!T$80:T$126,MATCH($A96,lifespans_all!$A$80:$A$126,0))*INDEX(SR_mission_minutes!T$2:T$43,MATCH($A96,SR_mission_minutes!$A$2:$A$43)),"-")</f>
        <v>-</v>
      </c>
      <c r="U96" s="105" t="str">
        <f>IFERROR(INDEX(lifespans_all!U$80:U$126,MATCH($A96,lifespans_all!$A$80:$A$126,0))*INDEX(SR_mission_minutes!U$2:U$43,MATCH($A96,SR_mission_minutes!$A$2:$A$43)),"-")</f>
        <v>-</v>
      </c>
      <c r="V96" s="105" t="str">
        <f>IFERROR(INDEX(lifespans_all!V$80:V$126,MATCH($A96,lifespans_all!$A$80:$A$126,0))*INDEX(SR_mission_minutes!V$2:V$43,MATCH($A96,SR_mission_minutes!$A$2:$A$43)),"-")</f>
        <v>-</v>
      </c>
    </row>
    <row r="97" spans="1:22" x14ac:dyDescent="0.25">
      <c r="A97" s="29" t="s">
        <v>110</v>
      </c>
      <c r="B97" s="29" t="s">
        <v>40</v>
      </c>
      <c r="C97" s="105" t="str">
        <f>IFERROR(INDEX(lifespans_all!C$80:C$126,MATCH($A97,lifespans_all!$A$80:$A$126,0))*INDEX(SR_mission_minutes!C$2:C$43,MATCH($A97,SR_mission_minutes!$A$2:$A$43)),"-")</f>
        <v>-</v>
      </c>
      <c r="D97" s="105" t="str">
        <f>IFERROR(INDEX(lifespans_all!D$80:D$126,MATCH($A97,lifespans_all!$A$80:$A$126,0))*INDEX(SR_mission_minutes!D$2:D$43,MATCH($A97,SR_mission_minutes!$A$2:$A$43)),"-")</f>
        <v>-</v>
      </c>
      <c r="E97" s="105" t="str">
        <f>IFERROR(INDEX(lifespans_all!E$80:E$126,MATCH($A97,lifespans_all!$A$80:$A$126,0))*INDEX(SR_mission_minutes!E$2:E$43,MATCH($A97,SR_mission_minutes!$A$2:$A$43)),"-")</f>
        <v>-</v>
      </c>
      <c r="F97" s="105" t="str">
        <f>IFERROR(INDEX(lifespans_all!F$80:F$126,MATCH($A97,lifespans_all!$A$80:$A$126,0))*INDEX(SR_mission_minutes!F$2:F$43,MATCH($A97,SR_mission_minutes!$A$2:$A$43)),"-")</f>
        <v>-</v>
      </c>
      <c r="G97" s="105" t="str">
        <f>IFERROR(INDEX(lifespans_all!G$80:G$126,MATCH($A97,lifespans_all!$A$80:$A$126,0))*INDEX(SR_mission_minutes!G$2:G$43,MATCH($A97,SR_mission_minutes!$A$2:$A$43)),"-")</f>
        <v>-</v>
      </c>
      <c r="H97" s="105" t="str">
        <f>IFERROR(INDEX(lifespans_all!H$80:H$126,MATCH($A97,lifespans_all!$A$80:$A$126,0))*INDEX(SR_mission_minutes!H$2:H$43,MATCH($A97,SR_mission_minutes!$A$2:$A$43)),"-")</f>
        <v>-</v>
      </c>
      <c r="I97" s="105" t="str">
        <f>IFERROR(INDEX(lifespans_all!I$80:I$126,MATCH($A97,lifespans_all!$A$80:$A$126,0))*INDEX(SR_mission_minutes!I$2:I$43,MATCH($A97,SR_mission_minutes!$A$2:$A$43)),"-")</f>
        <v>-</v>
      </c>
      <c r="J97" s="105" t="str">
        <f>IFERROR(INDEX(lifespans_all!J$80:J$126,MATCH($A97,lifespans_all!$A$80:$A$126,0))*INDEX(SR_mission_minutes!J$2:J$43,MATCH($A97,SR_mission_minutes!$A$2:$A$43)),"-")</f>
        <v>-</v>
      </c>
      <c r="K97" s="105" t="str">
        <f>IFERROR(INDEX(lifespans_all!K$80:K$126,MATCH($A97,lifespans_all!$A$80:$A$126,0))*INDEX(SR_mission_minutes!K$2:K$43,MATCH($A97,SR_mission_minutes!$A$2:$A$43)),"-")</f>
        <v>-</v>
      </c>
      <c r="L97" s="105" t="str">
        <f>IFERROR(INDEX(lifespans_all!L$80:L$126,MATCH($A97,lifespans_all!$A$80:$A$126,0))*INDEX(SR_mission_minutes!L$2:L$43,MATCH($A97,SR_mission_minutes!$A$2:$A$43)),"-")</f>
        <v>-</v>
      </c>
      <c r="M97" s="105" t="str">
        <f>IFERROR(INDEX(lifespans_all!M$80:M$126,MATCH($A97,lifespans_all!$A$80:$A$126,0))*INDEX(SR_mission_minutes!M$2:M$43,MATCH($A97,SR_mission_minutes!$A$2:$A$43)),"-")</f>
        <v>-</v>
      </c>
      <c r="N97" s="105" t="str">
        <f>IFERROR(INDEX(lifespans_all!N$80:N$126,MATCH($A97,lifespans_all!$A$80:$A$126,0))*INDEX(SR_mission_minutes!N$2:N$43,MATCH($A97,SR_mission_minutes!$A$2:$A$43)),"-")</f>
        <v>-</v>
      </c>
      <c r="O97" s="105" t="str">
        <f>IFERROR(INDEX(lifespans_all!O$80:O$126,MATCH($A97,lifespans_all!$A$80:$A$126,0))*INDEX(SR_mission_minutes!O$2:O$43,MATCH($A97,SR_mission_minutes!$A$2:$A$43)),"-")</f>
        <v>-</v>
      </c>
      <c r="P97" s="105" t="str">
        <f>IFERROR(INDEX(lifespans_all!P$80:P$126,MATCH($A97,lifespans_all!$A$80:$A$126,0))*INDEX(SR_mission_minutes!P$2:P$43,MATCH($A97,SR_mission_minutes!$A$2:$A$43)),"-")</f>
        <v>-</v>
      </c>
      <c r="Q97" s="105" t="str">
        <f>IFERROR(INDEX(lifespans_all!Q$80:Q$126,MATCH($A97,lifespans_all!$A$80:$A$126,0))*INDEX(SR_mission_minutes!Q$2:Q$43,MATCH($A97,SR_mission_minutes!$A$2:$A$43)),"-")</f>
        <v>-</v>
      </c>
      <c r="R97" s="105" t="str">
        <f>IFERROR(INDEX(lifespans_all!R$80:R$126,MATCH($A97,lifespans_all!$A$80:$A$126,0))*INDEX(SR_mission_minutes!R$2:R$43,MATCH($A97,SR_mission_minutes!$A$2:$A$43)),"-")</f>
        <v>-</v>
      </c>
      <c r="S97" s="105" t="str">
        <f>IFERROR(INDEX(lifespans_all!S$80:S$126,MATCH($A97,lifespans_all!$A$80:$A$126,0))*INDEX(SR_mission_minutes!S$2:S$43,MATCH($A97,SR_mission_minutes!$A$2:$A$43)),"-")</f>
        <v>-</v>
      </c>
      <c r="T97" s="105" t="str">
        <f>IFERROR(INDEX(lifespans_all!T$80:T$126,MATCH($A97,lifespans_all!$A$80:$A$126,0))*INDEX(SR_mission_minutes!T$2:T$43,MATCH($A97,SR_mission_minutes!$A$2:$A$43)),"-")</f>
        <v>-</v>
      </c>
      <c r="U97" s="105" t="str">
        <f>IFERROR(INDEX(lifespans_all!U$80:U$126,MATCH($A97,lifespans_all!$A$80:$A$126,0))*INDEX(SR_mission_minutes!U$2:U$43,MATCH($A97,SR_mission_minutes!$A$2:$A$43)),"-")</f>
        <v>-</v>
      </c>
      <c r="V97" s="105" t="str">
        <f>IFERROR(INDEX(lifespans_all!V$80:V$126,MATCH($A97,lifespans_all!$A$80:$A$126,0))*INDEX(SR_mission_minutes!V$2:V$43,MATCH($A97,SR_mission_minutes!$A$2:$A$43)),"-")</f>
        <v>-</v>
      </c>
    </row>
    <row r="98" spans="1:22" x14ac:dyDescent="0.25">
      <c r="A98" s="29" t="s">
        <v>111</v>
      </c>
      <c r="B98" s="29" t="s">
        <v>40</v>
      </c>
      <c r="C98" s="105" t="str">
        <f>IFERROR(INDEX(lifespans_all!C$80:C$126,MATCH($A98,lifespans_all!$A$80:$A$126,0))*INDEX(SR_mission_minutes!C$2:C$43,MATCH($A98,SR_mission_minutes!$A$2:$A$43)),"-")</f>
        <v>-</v>
      </c>
      <c r="D98" s="105" t="str">
        <f>IFERROR(INDEX(lifespans_all!D$80:D$126,MATCH($A98,lifespans_all!$A$80:$A$126,0))*INDEX(SR_mission_minutes!D$2:D$43,MATCH($A98,SR_mission_minutes!$A$2:$A$43)),"-")</f>
        <v>-</v>
      </c>
      <c r="E98" s="105" t="str">
        <f>IFERROR(INDEX(lifespans_all!E$80:E$126,MATCH($A98,lifespans_all!$A$80:$A$126,0))*INDEX(SR_mission_minutes!E$2:E$43,MATCH($A98,SR_mission_minutes!$A$2:$A$43)),"-")</f>
        <v>-</v>
      </c>
      <c r="F98" s="105" t="str">
        <f>IFERROR(INDEX(lifespans_all!F$80:F$126,MATCH($A98,lifespans_all!$A$80:$A$126,0))*INDEX(SR_mission_minutes!F$2:F$43,MATCH($A98,SR_mission_minutes!$A$2:$A$43)),"-")</f>
        <v>-</v>
      </c>
      <c r="G98" s="105" t="str">
        <f>IFERROR(INDEX(lifespans_all!G$80:G$126,MATCH($A98,lifespans_all!$A$80:$A$126,0))*INDEX(SR_mission_minutes!G$2:G$43,MATCH($A98,SR_mission_minutes!$A$2:$A$43)),"-")</f>
        <v>-</v>
      </c>
      <c r="H98" s="105" t="str">
        <f>IFERROR(INDEX(lifespans_all!H$80:H$126,MATCH($A98,lifespans_all!$A$80:$A$126,0))*INDEX(SR_mission_minutes!H$2:H$43,MATCH($A98,SR_mission_minutes!$A$2:$A$43)),"-")</f>
        <v>-</v>
      </c>
      <c r="I98" s="105" t="str">
        <f>IFERROR(INDEX(lifespans_all!I$80:I$126,MATCH($A98,lifespans_all!$A$80:$A$126,0))*INDEX(SR_mission_minutes!I$2:I$43,MATCH($A98,SR_mission_minutes!$A$2:$A$43)),"-")</f>
        <v>-</v>
      </c>
      <c r="J98" s="105" t="str">
        <f>IFERROR(INDEX(lifespans_all!J$80:J$126,MATCH($A98,lifespans_all!$A$80:$A$126,0))*INDEX(SR_mission_minutes!J$2:J$43,MATCH($A98,SR_mission_minutes!$A$2:$A$43)),"-")</f>
        <v>-</v>
      </c>
      <c r="K98" s="105" t="str">
        <f>IFERROR(INDEX(lifespans_all!K$80:K$126,MATCH($A98,lifespans_all!$A$80:$A$126,0))*INDEX(SR_mission_minutes!K$2:K$43,MATCH($A98,SR_mission_minutes!$A$2:$A$43)),"-")</f>
        <v>-</v>
      </c>
      <c r="L98" s="105" t="str">
        <f>IFERROR(INDEX(lifespans_all!L$80:L$126,MATCH($A98,lifespans_all!$A$80:$A$126,0))*INDEX(SR_mission_minutes!L$2:L$43,MATCH($A98,SR_mission_minutes!$A$2:$A$43)),"-")</f>
        <v>-</v>
      </c>
      <c r="M98" s="105" t="str">
        <f>IFERROR(INDEX(lifespans_all!M$80:M$126,MATCH($A98,lifespans_all!$A$80:$A$126,0))*INDEX(SR_mission_minutes!M$2:M$43,MATCH($A98,SR_mission_minutes!$A$2:$A$43)),"-")</f>
        <v>-</v>
      </c>
      <c r="N98" s="105" t="str">
        <f>IFERROR(INDEX(lifespans_all!N$80:N$126,MATCH($A98,lifespans_all!$A$80:$A$126,0))*INDEX(SR_mission_minutes!N$2:N$43,MATCH($A98,SR_mission_minutes!$A$2:$A$43)),"-")</f>
        <v>-</v>
      </c>
      <c r="O98" s="105" t="str">
        <f>IFERROR(INDEX(lifespans_all!O$80:O$126,MATCH($A98,lifespans_all!$A$80:$A$126,0))*INDEX(SR_mission_minutes!O$2:O$43,MATCH($A98,SR_mission_minutes!$A$2:$A$43)),"-")</f>
        <v>-</v>
      </c>
      <c r="P98" s="105" t="str">
        <f>IFERROR(INDEX(lifespans_all!P$80:P$126,MATCH($A98,lifespans_all!$A$80:$A$126,0))*INDEX(SR_mission_minutes!P$2:P$43,MATCH($A98,SR_mission_minutes!$A$2:$A$43)),"-")</f>
        <v>-</v>
      </c>
      <c r="Q98" s="105" t="str">
        <f>IFERROR(INDEX(lifespans_all!Q$80:Q$126,MATCH($A98,lifespans_all!$A$80:$A$126,0))*INDEX(SR_mission_minutes!Q$2:Q$43,MATCH($A98,SR_mission_minutes!$A$2:$A$43)),"-")</f>
        <v>-</v>
      </c>
      <c r="R98" s="105" t="str">
        <f>IFERROR(INDEX(lifespans_all!R$80:R$126,MATCH($A98,lifespans_all!$A$80:$A$126,0))*INDEX(SR_mission_minutes!R$2:R$43,MATCH($A98,SR_mission_minutes!$A$2:$A$43)),"-")</f>
        <v>-</v>
      </c>
      <c r="S98" s="105" t="str">
        <f>IFERROR(INDEX(lifespans_all!S$80:S$126,MATCH($A98,lifespans_all!$A$80:$A$126,0))*INDEX(SR_mission_minutes!S$2:S$43,MATCH($A98,SR_mission_minutes!$A$2:$A$43)),"-")</f>
        <v>-</v>
      </c>
      <c r="T98" s="105" t="str">
        <f>IFERROR(INDEX(lifespans_all!T$80:T$126,MATCH($A98,lifespans_all!$A$80:$A$126,0))*INDEX(SR_mission_minutes!T$2:T$43,MATCH($A98,SR_mission_minutes!$A$2:$A$43)),"-")</f>
        <v>-</v>
      </c>
      <c r="U98" s="105" t="str">
        <f>IFERROR(INDEX(lifespans_all!U$80:U$126,MATCH($A98,lifespans_all!$A$80:$A$126,0))*INDEX(SR_mission_minutes!U$2:U$43,MATCH($A98,SR_mission_minutes!$A$2:$A$43)),"-")</f>
        <v>-</v>
      </c>
      <c r="V98" s="105" t="str">
        <f>IFERROR(INDEX(lifespans_all!V$80:V$126,MATCH($A98,lifespans_all!$A$80:$A$126,0))*INDEX(SR_mission_minutes!V$2:V$43,MATCH($A98,SR_mission_minutes!$A$2:$A$43)),"-")</f>
        <v>-</v>
      </c>
    </row>
    <row r="99" spans="1:22" x14ac:dyDescent="0.25">
      <c r="A99" s="29" t="s">
        <v>27</v>
      </c>
      <c r="B99" s="29" t="s">
        <v>45</v>
      </c>
      <c r="C99" s="105">
        <f>IFERROR(INDEX(lifespans_all!C$80:C$126,MATCH($A99,lifespans_all!$A$80:$A$126,0))*INDEX(SR_mission_minutes!C$2:C$43,MATCH($A99,SR_mission_minutes!$A$2:$A$43)),"-")</f>
        <v>33739.333333333336</v>
      </c>
      <c r="D99" s="105">
        <f>IFERROR(INDEX(lifespans_all!D$80:D$126,MATCH($A99,lifespans_all!$A$80:$A$126,0))*INDEX(SR_mission_minutes!D$2:D$43,MATCH($A99,SR_mission_minutes!$A$2:$A$43)),"-")</f>
        <v>0</v>
      </c>
      <c r="E99" s="105">
        <f>IFERROR(INDEX(lifespans_all!E$80:E$126,MATCH($A99,lifespans_all!$A$80:$A$126,0))*INDEX(SR_mission_minutes!E$2:E$43,MATCH($A99,SR_mission_minutes!$A$2:$A$43)),"-")</f>
        <v>0</v>
      </c>
      <c r="F99" s="105">
        <f>IFERROR(INDEX(lifespans_all!F$80:F$126,MATCH($A99,lifespans_all!$A$80:$A$126,0))*INDEX(SR_mission_minutes!F$2:F$43,MATCH($A99,SR_mission_minutes!$A$2:$A$43)),"-")</f>
        <v>0</v>
      </c>
      <c r="G99" s="105">
        <f>IFERROR(INDEX(lifespans_all!G$80:G$126,MATCH($A99,lifespans_all!$A$80:$A$126,0))*INDEX(SR_mission_minutes!G$2:G$43,MATCH($A99,SR_mission_minutes!$A$2:$A$43)),"-")</f>
        <v>0</v>
      </c>
      <c r="H99" s="105">
        <f>IFERROR(INDEX(lifespans_all!H$80:H$126,MATCH($A99,lifespans_all!$A$80:$A$126,0))*INDEX(SR_mission_minutes!H$2:H$43,MATCH($A99,SR_mission_minutes!$A$2:$A$43)),"-")</f>
        <v>0</v>
      </c>
      <c r="I99" s="105">
        <f>IFERROR(INDEX(lifespans_all!I$80:I$126,MATCH($A99,lifespans_all!$A$80:$A$126,0))*INDEX(SR_mission_minutes!I$2:I$43,MATCH($A99,SR_mission_minutes!$A$2:$A$43)),"-")</f>
        <v>0</v>
      </c>
      <c r="J99" s="105">
        <f>IFERROR(INDEX(lifespans_all!J$80:J$126,MATCH($A99,lifespans_all!$A$80:$A$126,0))*INDEX(SR_mission_minutes!J$2:J$43,MATCH($A99,SR_mission_minutes!$A$2:$A$43)),"-")</f>
        <v>0</v>
      </c>
      <c r="K99" s="105">
        <f>IFERROR(INDEX(lifespans_all!K$80:K$126,MATCH($A99,lifespans_all!$A$80:$A$126,0))*INDEX(SR_mission_minutes!K$2:K$43,MATCH($A99,SR_mission_minutes!$A$2:$A$43)),"-")</f>
        <v>0</v>
      </c>
      <c r="L99" s="105">
        <f>IFERROR(INDEX(lifespans_all!L$80:L$126,MATCH($A99,lifespans_all!$A$80:$A$126,0))*INDEX(SR_mission_minutes!L$2:L$43,MATCH($A99,SR_mission_minutes!$A$2:$A$43)),"-")</f>
        <v>0</v>
      </c>
      <c r="M99" s="105">
        <f>IFERROR(INDEX(lifespans_all!M$80:M$126,MATCH($A99,lifespans_all!$A$80:$A$126,0))*INDEX(SR_mission_minutes!M$2:M$43,MATCH($A99,SR_mission_minutes!$A$2:$A$43)),"-")</f>
        <v>0</v>
      </c>
      <c r="N99" s="105">
        <f>IFERROR(INDEX(lifespans_all!N$80:N$126,MATCH($A99,lifespans_all!$A$80:$A$126,0))*INDEX(SR_mission_minutes!N$2:N$43,MATCH($A99,SR_mission_minutes!$A$2:$A$43)),"-")</f>
        <v>0</v>
      </c>
      <c r="O99" s="105">
        <f>IFERROR(INDEX(lifespans_all!O$80:O$126,MATCH($A99,lifespans_all!$A$80:$A$126,0))*INDEX(SR_mission_minutes!O$2:O$43,MATCH($A99,SR_mission_minutes!$A$2:$A$43)),"-")</f>
        <v>0</v>
      </c>
      <c r="P99" s="105">
        <f>IFERROR(INDEX(lifespans_all!P$80:P$126,MATCH($A99,lifespans_all!$A$80:$A$126,0))*INDEX(SR_mission_minutes!P$2:P$43,MATCH($A99,SR_mission_minutes!$A$2:$A$43)),"-")</f>
        <v>0</v>
      </c>
      <c r="Q99" s="105">
        <f>IFERROR(INDEX(lifespans_all!Q$80:Q$126,MATCH($A99,lifespans_all!$A$80:$A$126,0))*INDEX(SR_mission_minutes!Q$2:Q$43,MATCH($A99,SR_mission_minutes!$A$2:$A$43)),"-")</f>
        <v>0</v>
      </c>
      <c r="R99" s="105">
        <f>IFERROR(INDEX(lifespans_all!R$80:R$126,MATCH($A99,lifespans_all!$A$80:$A$126,0))*INDEX(SR_mission_minutes!R$2:R$43,MATCH($A99,SR_mission_minutes!$A$2:$A$43)),"-")</f>
        <v>0</v>
      </c>
      <c r="S99" s="105">
        <f>IFERROR(INDEX(lifespans_all!S$80:S$126,MATCH($A99,lifespans_all!$A$80:$A$126,0))*INDEX(SR_mission_minutes!S$2:S$43,MATCH($A99,SR_mission_minutes!$A$2:$A$43)),"-")</f>
        <v>0</v>
      </c>
      <c r="T99" s="105">
        <f>IFERROR(INDEX(lifespans_all!T$80:T$126,MATCH($A99,lifespans_all!$A$80:$A$126,0))*INDEX(SR_mission_minutes!T$2:T$43,MATCH($A99,SR_mission_minutes!$A$2:$A$43)),"-")</f>
        <v>0</v>
      </c>
      <c r="U99" s="105">
        <f>IFERROR(INDEX(lifespans_all!U$80:U$126,MATCH($A99,lifespans_all!$A$80:$A$126,0))*INDEX(SR_mission_minutes!U$2:U$43,MATCH($A99,SR_mission_minutes!$A$2:$A$43)),"-")</f>
        <v>0</v>
      </c>
      <c r="V99" s="105">
        <f>IFERROR(INDEX(lifespans_all!V$80:V$126,MATCH($A99,lifespans_all!$A$80:$A$126,0))*INDEX(SR_mission_minutes!V$2:V$43,MATCH($A99,SR_mission_minutes!$A$2:$A$43)),"-")</f>
        <v>0</v>
      </c>
    </row>
    <row r="100" spans="1:22" x14ac:dyDescent="0.25">
      <c r="A100" s="29" t="s">
        <v>28</v>
      </c>
      <c r="B100" s="29" t="s">
        <v>41</v>
      </c>
      <c r="C100" s="105">
        <f>IFERROR(INDEX(lifespans_all!C$80:C$126,MATCH($A100,lifespans_all!$A$80:$A$126,0))*INDEX(SR_mission_minutes!C$2:C$43,MATCH($A100,SR_mission_minutes!$A$2:$A$43)),"-")</f>
        <v>66700.388888888891</v>
      </c>
      <c r="D100" s="105">
        <f>IFERROR(INDEX(lifespans_all!D$80:D$126,MATCH($A100,lifespans_all!$A$80:$A$126,0))*INDEX(SR_mission_minutes!D$2:D$43,MATCH($A100,SR_mission_minutes!$A$2:$A$43)),"-")</f>
        <v>0</v>
      </c>
      <c r="E100" s="105">
        <f>IFERROR(INDEX(lifespans_all!E$80:E$126,MATCH($A100,lifespans_all!$A$80:$A$126,0))*INDEX(SR_mission_minutes!E$2:E$43,MATCH($A100,SR_mission_minutes!$A$2:$A$43)),"-")</f>
        <v>0</v>
      </c>
      <c r="F100" s="105">
        <f>IFERROR(INDEX(lifespans_all!F$80:F$126,MATCH($A100,lifespans_all!$A$80:$A$126,0))*INDEX(SR_mission_minutes!F$2:F$43,MATCH($A100,SR_mission_minutes!$A$2:$A$43)),"-")</f>
        <v>0</v>
      </c>
      <c r="G100" s="105">
        <f>IFERROR(INDEX(lifespans_all!G$80:G$126,MATCH($A100,lifespans_all!$A$80:$A$126,0))*INDEX(SR_mission_minutes!G$2:G$43,MATCH($A100,SR_mission_minutes!$A$2:$A$43)),"-")</f>
        <v>0</v>
      </c>
      <c r="H100" s="105">
        <f>IFERROR(INDEX(lifespans_all!H$80:H$126,MATCH($A100,lifespans_all!$A$80:$A$126,0))*INDEX(SR_mission_minutes!H$2:H$43,MATCH($A100,SR_mission_minutes!$A$2:$A$43)),"-")</f>
        <v>0</v>
      </c>
      <c r="I100" s="105">
        <f>IFERROR(INDEX(lifespans_all!I$80:I$126,MATCH($A100,lifespans_all!$A$80:$A$126,0))*INDEX(SR_mission_minutes!I$2:I$43,MATCH($A100,SR_mission_minutes!$A$2:$A$43)),"-")</f>
        <v>0</v>
      </c>
      <c r="J100" s="105">
        <f>IFERROR(INDEX(lifespans_all!J$80:J$126,MATCH($A100,lifespans_all!$A$80:$A$126,0))*INDEX(SR_mission_minutes!J$2:J$43,MATCH($A100,SR_mission_minutes!$A$2:$A$43)),"-")</f>
        <v>0</v>
      </c>
      <c r="K100" s="105">
        <f>IFERROR(INDEX(lifespans_all!K$80:K$126,MATCH($A100,lifespans_all!$A$80:$A$126,0))*INDEX(SR_mission_minutes!K$2:K$43,MATCH($A100,SR_mission_minutes!$A$2:$A$43)),"-")</f>
        <v>0</v>
      </c>
      <c r="L100" s="105">
        <f>IFERROR(INDEX(lifespans_all!L$80:L$126,MATCH($A100,lifespans_all!$A$80:$A$126,0))*INDEX(SR_mission_minutes!L$2:L$43,MATCH($A100,SR_mission_minutes!$A$2:$A$43)),"-")</f>
        <v>0</v>
      </c>
      <c r="M100" s="105">
        <f>IFERROR(INDEX(lifespans_all!M$80:M$126,MATCH($A100,lifespans_all!$A$80:$A$126,0))*INDEX(SR_mission_minutes!M$2:M$43,MATCH($A100,SR_mission_minutes!$A$2:$A$43)),"-")</f>
        <v>0</v>
      </c>
      <c r="N100" s="105">
        <f>IFERROR(INDEX(lifespans_all!N$80:N$126,MATCH($A100,lifespans_all!$A$80:$A$126,0))*INDEX(SR_mission_minutes!N$2:N$43,MATCH($A100,SR_mission_minutes!$A$2:$A$43)),"-")</f>
        <v>0</v>
      </c>
      <c r="O100" s="105">
        <f>IFERROR(INDEX(lifespans_all!O$80:O$126,MATCH($A100,lifespans_all!$A$80:$A$126,0))*INDEX(SR_mission_minutes!O$2:O$43,MATCH($A100,SR_mission_minutes!$A$2:$A$43)),"-")</f>
        <v>0</v>
      </c>
      <c r="P100" s="105">
        <f>IFERROR(INDEX(lifespans_all!P$80:P$126,MATCH($A100,lifespans_all!$A$80:$A$126,0))*INDEX(SR_mission_minutes!P$2:P$43,MATCH($A100,SR_mission_minutes!$A$2:$A$43)),"-")</f>
        <v>0</v>
      </c>
      <c r="Q100" s="105">
        <f>IFERROR(INDEX(lifespans_all!Q$80:Q$126,MATCH($A100,lifespans_all!$A$80:$A$126,0))*INDEX(SR_mission_minutes!Q$2:Q$43,MATCH($A100,SR_mission_minutes!$A$2:$A$43)),"-")</f>
        <v>0</v>
      </c>
      <c r="R100" s="105">
        <f>IFERROR(INDEX(lifespans_all!R$80:R$126,MATCH($A100,lifespans_all!$A$80:$A$126,0))*INDEX(SR_mission_minutes!R$2:R$43,MATCH($A100,SR_mission_minutes!$A$2:$A$43)),"-")</f>
        <v>0</v>
      </c>
      <c r="S100" s="105">
        <f>IFERROR(INDEX(lifespans_all!S$80:S$126,MATCH($A100,lifespans_all!$A$80:$A$126,0))*INDEX(SR_mission_minutes!S$2:S$43,MATCH($A100,SR_mission_minutes!$A$2:$A$43)),"-")</f>
        <v>0</v>
      </c>
      <c r="T100" s="105">
        <f>IFERROR(INDEX(lifespans_all!T$80:T$126,MATCH($A100,lifespans_all!$A$80:$A$126,0))*INDEX(SR_mission_minutes!T$2:T$43,MATCH($A100,SR_mission_minutes!$A$2:$A$43)),"-")</f>
        <v>0</v>
      </c>
      <c r="U100" s="105">
        <f>IFERROR(INDEX(lifespans_all!U$80:U$126,MATCH($A100,lifespans_all!$A$80:$A$126,0))*INDEX(SR_mission_minutes!U$2:U$43,MATCH($A100,SR_mission_minutes!$A$2:$A$43)),"-")</f>
        <v>0</v>
      </c>
      <c r="V100" s="105">
        <f>IFERROR(INDEX(lifespans_all!V$80:V$126,MATCH($A100,lifespans_all!$A$80:$A$126,0))*INDEX(SR_mission_minutes!V$2:V$43,MATCH($A100,SR_mission_minutes!$A$2:$A$43)),"-")</f>
        <v>0</v>
      </c>
    </row>
    <row r="101" spans="1:22" x14ac:dyDescent="0.25">
      <c r="A101" s="29" t="s">
        <v>62</v>
      </c>
      <c r="B101" s="29" t="s">
        <v>41</v>
      </c>
      <c r="C101" s="105">
        <f>IFERROR(INDEX(lifespans_all!C$80:C$126,MATCH($A101,lifespans_all!$A$80:$A$126,0))*INDEX(SR_mission_minutes!C$2:C$43,MATCH($A101,SR_mission_minutes!$A$2:$A$43)),"-")</f>
        <v>66700.388888888891</v>
      </c>
      <c r="D101" s="105">
        <f>IFERROR(INDEX(lifespans_all!D$80:D$126,MATCH($A101,lifespans_all!$A$80:$A$126,0))*INDEX(SR_mission_minutes!D$2:D$43,MATCH($A101,SR_mission_minutes!$A$2:$A$43)),"-")</f>
        <v>66700.388888888891</v>
      </c>
      <c r="E101" s="105">
        <f>IFERROR(INDEX(lifespans_all!E$80:E$126,MATCH($A101,lifespans_all!$A$80:$A$126,0))*INDEX(SR_mission_minutes!E$2:E$43,MATCH($A101,SR_mission_minutes!$A$2:$A$43)),"-")</f>
        <v>66700.388888888891</v>
      </c>
      <c r="F101" s="105">
        <f>IFERROR(INDEX(lifespans_all!F$80:F$126,MATCH($A101,lifespans_all!$A$80:$A$126,0))*INDEX(SR_mission_minutes!F$2:F$43,MATCH($A101,SR_mission_minutes!$A$2:$A$43)),"-")</f>
        <v>66700.388888888891</v>
      </c>
      <c r="G101" s="105">
        <f>IFERROR(INDEX(lifespans_all!G$80:G$126,MATCH($A101,lifespans_all!$A$80:$A$126,0))*INDEX(SR_mission_minutes!G$2:G$43,MATCH($A101,SR_mission_minutes!$A$2:$A$43)),"-")</f>
        <v>66700.388888888891</v>
      </c>
      <c r="H101" s="105">
        <f>IFERROR(INDEX(lifespans_all!H$80:H$126,MATCH($A101,lifespans_all!$A$80:$A$126,0))*INDEX(SR_mission_minutes!H$2:H$43,MATCH($A101,SR_mission_minutes!$A$2:$A$43)),"-")</f>
        <v>0</v>
      </c>
      <c r="I101" s="105">
        <f>IFERROR(INDEX(lifespans_all!I$80:I$126,MATCH($A101,lifespans_all!$A$80:$A$126,0))*INDEX(SR_mission_minutes!I$2:I$43,MATCH($A101,SR_mission_minutes!$A$2:$A$43)),"-")</f>
        <v>0</v>
      </c>
      <c r="J101" s="105">
        <f>IFERROR(INDEX(lifespans_all!J$80:J$126,MATCH($A101,lifespans_all!$A$80:$A$126,0))*INDEX(SR_mission_minutes!J$2:J$43,MATCH($A101,SR_mission_minutes!$A$2:$A$43)),"-")</f>
        <v>0</v>
      </c>
      <c r="K101" s="105">
        <f>IFERROR(INDEX(lifespans_all!K$80:K$126,MATCH($A101,lifespans_all!$A$80:$A$126,0))*INDEX(SR_mission_minutes!K$2:K$43,MATCH($A101,SR_mission_minutes!$A$2:$A$43)),"-")</f>
        <v>0</v>
      </c>
      <c r="L101" s="105">
        <f>IFERROR(INDEX(lifespans_all!L$80:L$126,MATCH($A101,lifespans_all!$A$80:$A$126,0))*INDEX(SR_mission_minutes!L$2:L$43,MATCH($A101,SR_mission_minutes!$A$2:$A$43)),"-")</f>
        <v>0</v>
      </c>
      <c r="M101" s="105">
        <f>IFERROR(INDEX(lifespans_all!M$80:M$126,MATCH($A101,lifespans_all!$A$80:$A$126,0))*INDEX(SR_mission_minutes!M$2:M$43,MATCH($A101,SR_mission_minutes!$A$2:$A$43)),"-")</f>
        <v>0</v>
      </c>
      <c r="N101" s="105">
        <f>IFERROR(INDEX(lifespans_all!N$80:N$126,MATCH($A101,lifespans_all!$A$80:$A$126,0))*INDEX(SR_mission_minutes!N$2:N$43,MATCH($A101,SR_mission_minutes!$A$2:$A$43)),"-")</f>
        <v>0</v>
      </c>
      <c r="O101" s="105">
        <f>IFERROR(INDEX(lifespans_all!O$80:O$126,MATCH($A101,lifespans_all!$A$80:$A$126,0))*INDEX(SR_mission_minutes!O$2:O$43,MATCH($A101,SR_mission_minutes!$A$2:$A$43)),"-")</f>
        <v>0</v>
      </c>
      <c r="P101" s="105">
        <f>IFERROR(INDEX(lifespans_all!P$80:P$126,MATCH($A101,lifespans_all!$A$80:$A$126,0))*INDEX(SR_mission_minutes!P$2:P$43,MATCH($A101,SR_mission_minutes!$A$2:$A$43)),"-")</f>
        <v>0</v>
      </c>
      <c r="Q101" s="105">
        <f>IFERROR(INDEX(lifespans_all!Q$80:Q$126,MATCH($A101,lifespans_all!$A$80:$A$126,0))*INDEX(SR_mission_minutes!Q$2:Q$43,MATCH($A101,SR_mission_minutes!$A$2:$A$43)),"-")</f>
        <v>0</v>
      </c>
      <c r="R101" s="105">
        <f>IFERROR(INDEX(lifespans_all!R$80:R$126,MATCH($A101,lifespans_all!$A$80:$A$126,0))*INDEX(SR_mission_minutes!R$2:R$43,MATCH($A101,SR_mission_minutes!$A$2:$A$43)),"-")</f>
        <v>0</v>
      </c>
      <c r="S101" s="105">
        <f>IFERROR(INDEX(lifespans_all!S$80:S$126,MATCH($A101,lifespans_all!$A$80:$A$126,0))*INDEX(SR_mission_minutes!S$2:S$43,MATCH($A101,SR_mission_minutes!$A$2:$A$43)),"-")</f>
        <v>0</v>
      </c>
      <c r="T101" s="105">
        <f>IFERROR(INDEX(lifespans_all!T$80:T$126,MATCH($A101,lifespans_all!$A$80:$A$126,0))*INDEX(SR_mission_minutes!T$2:T$43,MATCH($A101,SR_mission_minutes!$A$2:$A$43)),"-")</f>
        <v>0</v>
      </c>
      <c r="U101" s="105">
        <f>IFERROR(INDEX(lifespans_all!U$80:U$126,MATCH($A101,lifespans_all!$A$80:$A$126,0))*INDEX(SR_mission_minutes!U$2:U$43,MATCH($A101,SR_mission_minutes!$A$2:$A$43)),"-")</f>
        <v>0</v>
      </c>
      <c r="V101" s="105">
        <f>IFERROR(INDEX(lifespans_all!V$80:V$126,MATCH($A101,lifespans_all!$A$80:$A$126,0))*INDEX(SR_mission_minutes!V$2:V$43,MATCH($A101,SR_mission_minutes!$A$2:$A$43)),"-")</f>
        <v>0</v>
      </c>
    </row>
    <row r="102" spans="1:22" x14ac:dyDescent="0.25">
      <c r="A102" s="29" t="s">
        <v>29</v>
      </c>
      <c r="B102" s="29" t="s">
        <v>41</v>
      </c>
      <c r="C102" s="105">
        <f>IFERROR(INDEX(lifespans_all!C$80:C$126,MATCH($A102,lifespans_all!$A$80:$A$126,0))*INDEX(SR_mission_minutes!C$2:C$43,MATCH($A102,SR_mission_minutes!$A$2:$A$43)),"-")</f>
        <v>66700.388888888891</v>
      </c>
      <c r="D102" s="105">
        <f>IFERROR(INDEX(lifespans_all!D$80:D$126,MATCH($A102,lifespans_all!$A$80:$A$126,0))*INDEX(SR_mission_minutes!D$2:D$43,MATCH($A102,SR_mission_minutes!$A$2:$A$43)),"-")</f>
        <v>66700.388888888891</v>
      </c>
      <c r="E102" s="105">
        <f>IFERROR(INDEX(lifespans_all!E$80:E$126,MATCH($A102,lifespans_all!$A$80:$A$126,0))*INDEX(SR_mission_minutes!E$2:E$43,MATCH($A102,SR_mission_minutes!$A$2:$A$43)),"-")</f>
        <v>66700.388888888891</v>
      </c>
      <c r="F102" s="105">
        <f>IFERROR(INDEX(lifespans_all!F$80:F$126,MATCH($A102,lifespans_all!$A$80:$A$126,0))*INDEX(SR_mission_minutes!F$2:F$43,MATCH($A102,SR_mission_minutes!$A$2:$A$43)),"-")</f>
        <v>0</v>
      </c>
      <c r="G102" s="105">
        <f>IFERROR(INDEX(lifespans_all!G$80:G$126,MATCH($A102,lifespans_all!$A$80:$A$126,0))*INDEX(SR_mission_minutes!G$2:G$43,MATCH($A102,SR_mission_minutes!$A$2:$A$43)),"-")</f>
        <v>0</v>
      </c>
      <c r="H102" s="105">
        <f>IFERROR(INDEX(lifespans_all!H$80:H$126,MATCH($A102,lifespans_all!$A$80:$A$126,0))*INDEX(SR_mission_minutes!H$2:H$43,MATCH($A102,SR_mission_minutes!$A$2:$A$43)),"-")</f>
        <v>0</v>
      </c>
      <c r="I102" s="105">
        <f>IFERROR(INDEX(lifespans_all!I$80:I$126,MATCH($A102,lifespans_all!$A$80:$A$126,0))*INDEX(SR_mission_minutes!I$2:I$43,MATCH($A102,SR_mission_minutes!$A$2:$A$43)),"-")</f>
        <v>0</v>
      </c>
      <c r="J102" s="105">
        <f>IFERROR(INDEX(lifespans_all!J$80:J$126,MATCH($A102,lifespans_all!$A$80:$A$126,0))*INDEX(SR_mission_minutes!J$2:J$43,MATCH($A102,SR_mission_minutes!$A$2:$A$43)),"-")</f>
        <v>0</v>
      </c>
      <c r="K102" s="105">
        <f>IFERROR(INDEX(lifespans_all!K$80:K$126,MATCH($A102,lifespans_all!$A$80:$A$126,0))*INDEX(SR_mission_minutes!K$2:K$43,MATCH($A102,SR_mission_minutes!$A$2:$A$43)),"-")</f>
        <v>0</v>
      </c>
      <c r="L102" s="105">
        <f>IFERROR(INDEX(lifespans_all!L$80:L$126,MATCH($A102,lifespans_all!$A$80:$A$126,0))*INDEX(SR_mission_minutes!L$2:L$43,MATCH($A102,SR_mission_minutes!$A$2:$A$43)),"-")</f>
        <v>0</v>
      </c>
      <c r="M102" s="105">
        <f>IFERROR(INDEX(lifespans_all!M$80:M$126,MATCH($A102,lifespans_all!$A$80:$A$126,0))*INDEX(SR_mission_minutes!M$2:M$43,MATCH($A102,SR_mission_minutes!$A$2:$A$43)),"-")</f>
        <v>0</v>
      </c>
      <c r="N102" s="105">
        <f>IFERROR(INDEX(lifespans_all!N$80:N$126,MATCH($A102,lifespans_all!$A$80:$A$126,0))*INDEX(SR_mission_minutes!N$2:N$43,MATCH($A102,SR_mission_minutes!$A$2:$A$43)),"-")</f>
        <v>0</v>
      </c>
      <c r="O102" s="105">
        <f>IFERROR(INDEX(lifespans_all!O$80:O$126,MATCH($A102,lifespans_all!$A$80:$A$126,0))*INDEX(SR_mission_minutes!O$2:O$43,MATCH($A102,SR_mission_minutes!$A$2:$A$43)),"-")</f>
        <v>0</v>
      </c>
      <c r="P102" s="105">
        <f>IFERROR(INDEX(lifespans_all!P$80:P$126,MATCH($A102,lifespans_all!$A$80:$A$126,0))*INDEX(SR_mission_minutes!P$2:P$43,MATCH($A102,SR_mission_minutes!$A$2:$A$43)),"-")</f>
        <v>0</v>
      </c>
      <c r="Q102" s="105">
        <f>IFERROR(INDEX(lifespans_all!Q$80:Q$126,MATCH($A102,lifespans_all!$A$80:$A$126,0))*INDEX(SR_mission_minutes!Q$2:Q$43,MATCH($A102,SR_mission_minutes!$A$2:$A$43)),"-")</f>
        <v>0</v>
      </c>
      <c r="R102" s="105">
        <f>IFERROR(INDEX(lifespans_all!R$80:R$126,MATCH($A102,lifespans_all!$A$80:$A$126,0))*INDEX(SR_mission_minutes!R$2:R$43,MATCH($A102,SR_mission_minutes!$A$2:$A$43)),"-")</f>
        <v>0</v>
      </c>
      <c r="S102" s="105">
        <f>IFERROR(INDEX(lifespans_all!S$80:S$126,MATCH($A102,lifespans_all!$A$80:$A$126,0))*INDEX(SR_mission_minutes!S$2:S$43,MATCH($A102,SR_mission_minutes!$A$2:$A$43)),"-")</f>
        <v>0</v>
      </c>
      <c r="T102" s="105">
        <f>IFERROR(INDEX(lifespans_all!T$80:T$126,MATCH($A102,lifespans_all!$A$80:$A$126,0))*INDEX(SR_mission_minutes!T$2:T$43,MATCH($A102,SR_mission_minutes!$A$2:$A$43)),"-")</f>
        <v>0</v>
      </c>
      <c r="U102" s="105">
        <f>IFERROR(INDEX(lifespans_all!U$80:U$126,MATCH($A102,lifespans_all!$A$80:$A$126,0))*INDEX(SR_mission_minutes!U$2:U$43,MATCH($A102,SR_mission_minutes!$A$2:$A$43)),"-")</f>
        <v>0</v>
      </c>
      <c r="V102" s="105">
        <f>IFERROR(INDEX(lifespans_all!V$80:V$126,MATCH($A102,lifespans_all!$A$80:$A$126,0))*INDEX(SR_mission_minutes!V$2:V$43,MATCH($A102,SR_mission_minutes!$A$2:$A$43)),"-")</f>
        <v>0</v>
      </c>
    </row>
    <row r="103" spans="1:22" x14ac:dyDescent="0.25">
      <c r="A103" s="29" t="s">
        <v>30</v>
      </c>
      <c r="B103" s="29" t="s">
        <v>43</v>
      </c>
      <c r="C103" s="105">
        <f>IFERROR(INDEX(lifespans_all!C$80:C$126,MATCH($A103,lifespans_all!$A$80:$A$126,0))*INDEX(SR_mission_minutes!C$2:C$43,MATCH($A103,SR_mission_minutes!$A$2:$A$43)),"-")</f>
        <v>114879</v>
      </c>
      <c r="D103" s="105">
        <f>IFERROR(INDEX(lifespans_all!D$80:D$126,MATCH($A103,lifespans_all!$A$80:$A$126,0))*INDEX(SR_mission_minutes!D$2:D$43,MATCH($A103,SR_mission_minutes!$A$2:$A$43)),"-")</f>
        <v>114879</v>
      </c>
      <c r="E103" s="105">
        <f>IFERROR(INDEX(lifespans_all!E$80:E$126,MATCH($A103,lifespans_all!$A$80:$A$126,0))*INDEX(SR_mission_minutes!E$2:E$43,MATCH($A103,SR_mission_minutes!$A$2:$A$43)),"-")</f>
        <v>114879</v>
      </c>
      <c r="F103" s="105">
        <f>IFERROR(INDEX(lifespans_all!F$80:F$126,MATCH($A103,lifespans_all!$A$80:$A$126,0))*INDEX(SR_mission_minutes!F$2:F$43,MATCH($A103,SR_mission_minutes!$A$2:$A$43)),"-")</f>
        <v>114879</v>
      </c>
      <c r="G103" s="105">
        <f>IFERROR(INDEX(lifespans_all!G$80:G$126,MATCH($A103,lifespans_all!$A$80:$A$126,0))*INDEX(SR_mission_minutes!G$2:G$43,MATCH($A103,SR_mission_minutes!$A$2:$A$43)),"-")</f>
        <v>114879</v>
      </c>
      <c r="H103" s="105">
        <f>IFERROR(INDEX(lifespans_all!H$80:H$126,MATCH($A103,lifespans_all!$A$80:$A$126,0))*INDEX(SR_mission_minutes!H$2:H$43,MATCH($A103,SR_mission_minutes!$A$2:$A$43)),"-")</f>
        <v>114879</v>
      </c>
      <c r="I103" s="105">
        <f>IFERROR(INDEX(lifespans_all!I$80:I$126,MATCH($A103,lifespans_all!$A$80:$A$126,0))*INDEX(SR_mission_minutes!I$2:I$43,MATCH($A103,SR_mission_minutes!$A$2:$A$43)),"-")</f>
        <v>114879</v>
      </c>
      <c r="J103" s="105">
        <f>IFERROR(INDEX(lifespans_all!J$80:J$126,MATCH($A103,lifespans_all!$A$80:$A$126,0))*INDEX(SR_mission_minutes!J$2:J$43,MATCH($A103,SR_mission_minutes!$A$2:$A$43)),"-")</f>
        <v>114879</v>
      </c>
      <c r="K103" s="105">
        <f>IFERROR(INDEX(lifespans_all!K$80:K$126,MATCH($A103,lifespans_all!$A$80:$A$126,0))*INDEX(SR_mission_minutes!K$2:K$43,MATCH($A103,SR_mission_minutes!$A$2:$A$43)),"-")</f>
        <v>114879</v>
      </c>
      <c r="L103" s="105">
        <f>IFERROR(INDEX(lifespans_all!L$80:L$126,MATCH($A103,lifespans_all!$A$80:$A$126,0))*INDEX(SR_mission_minutes!L$2:L$43,MATCH($A103,SR_mission_minutes!$A$2:$A$43)),"-")</f>
        <v>114879</v>
      </c>
      <c r="M103" s="105">
        <f>IFERROR(INDEX(lifespans_all!M$80:M$126,MATCH($A103,lifespans_all!$A$80:$A$126,0))*INDEX(SR_mission_minutes!M$2:M$43,MATCH($A103,SR_mission_minutes!$A$2:$A$43)),"-")</f>
        <v>114879</v>
      </c>
      <c r="N103" s="105">
        <f>IFERROR(INDEX(lifespans_all!N$80:N$126,MATCH($A103,lifespans_all!$A$80:$A$126,0))*INDEX(SR_mission_minutes!N$2:N$43,MATCH($A103,SR_mission_minutes!$A$2:$A$43)),"-")</f>
        <v>114879</v>
      </c>
      <c r="O103" s="105">
        <f>IFERROR(INDEX(lifespans_all!O$80:O$126,MATCH($A103,lifespans_all!$A$80:$A$126,0))*INDEX(SR_mission_minutes!O$2:O$43,MATCH($A103,SR_mission_minutes!$A$2:$A$43)),"-")</f>
        <v>114879</v>
      </c>
      <c r="P103" s="105">
        <f>IFERROR(INDEX(lifespans_all!P$80:P$126,MATCH($A103,lifespans_all!$A$80:$A$126,0))*INDEX(SR_mission_minutes!P$2:P$43,MATCH($A103,SR_mission_minutes!$A$2:$A$43)),"-")</f>
        <v>114879</v>
      </c>
      <c r="Q103" s="105">
        <f>IFERROR(INDEX(lifespans_all!Q$80:Q$126,MATCH($A103,lifespans_all!$A$80:$A$126,0))*INDEX(SR_mission_minutes!Q$2:Q$43,MATCH($A103,SR_mission_minutes!$A$2:$A$43)),"-")</f>
        <v>114879</v>
      </c>
      <c r="R103" s="105">
        <f>IFERROR(INDEX(lifespans_all!R$80:R$126,MATCH($A103,lifespans_all!$A$80:$A$126,0))*INDEX(SR_mission_minutes!R$2:R$43,MATCH($A103,SR_mission_minutes!$A$2:$A$43)),"-")</f>
        <v>114879</v>
      </c>
      <c r="S103" s="105">
        <f>IFERROR(INDEX(lifespans_all!S$80:S$126,MATCH($A103,lifespans_all!$A$80:$A$126,0))*INDEX(SR_mission_minutes!S$2:S$43,MATCH($A103,SR_mission_minutes!$A$2:$A$43)),"-")</f>
        <v>114879</v>
      </c>
      <c r="T103" s="105">
        <f>IFERROR(INDEX(lifespans_all!T$80:T$126,MATCH($A103,lifespans_all!$A$80:$A$126,0))*INDEX(SR_mission_minutes!T$2:T$43,MATCH($A103,SR_mission_minutes!$A$2:$A$43)),"-")</f>
        <v>114879</v>
      </c>
      <c r="U103" s="105">
        <f>IFERROR(INDEX(lifespans_all!U$80:U$126,MATCH($A103,lifespans_all!$A$80:$A$126,0))*INDEX(SR_mission_minutes!U$2:U$43,MATCH($A103,SR_mission_minutes!$A$2:$A$43)),"-")</f>
        <v>114879</v>
      </c>
      <c r="V103" s="105">
        <f>IFERROR(INDEX(lifespans_all!V$80:V$126,MATCH($A103,lifespans_all!$A$80:$A$126,0))*INDEX(SR_mission_minutes!V$2:V$43,MATCH($A103,SR_mission_minutes!$A$2:$A$43)),"-")</f>
        <v>114879</v>
      </c>
    </row>
    <row r="104" spans="1:22" x14ac:dyDescent="0.25">
      <c r="A104" s="29" t="s">
        <v>54</v>
      </c>
      <c r="B104" s="29" t="s">
        <v>43</v>
      </c>
      <c r="C104" s="105" t="str">
        <f>IFERROR(INDEX(lifespans_all!C$80:C$126,MATCH($A104,lifespans_all!$A$80:$A$126,0))*INDEX(SR_mission_minutes!C$2:C$43,MATCH($A104,SR_mission_minutes!$A$2:$A$43)),"-")</f>
        <v>-</v>
      </c>
      <c r="D104" s="105" t="str">
        <f>IFERROR(INDEX(lifespans_all!D$80:D$126,MATCH($A104,lifespans_all!$A$80:$A$126,0))*INDEX(SR_mission_minutes!D$2:D$43,MATCH($A104,SR_mission_minutes!$A$2:$A$43)),"-")</f>
        <v>-</v>
      </c>
      <c r="E104" s="105" t="str">
        <f>IFERROR(INDEX(lifespans_all!E$80:E$126,MATCH($A104,lifespans_all!$A$80:$A$126,0))*INDEX(SR_mission_minutes!E$2:E$43,MATCH($A104,SR_mission_minutes!$A$2:$A$43)),"-")</f>
        <v>-</v>
      </c>
      <c r="F104" s="105" t="str">
        <f>IFERROR(INDEX(lifespans_all!F$80:F$126,MATCH($A104,lifespans_all!$A$80:$A$126,0))*INDEX(SR_mission_minutes!F$2:F$43,MATCH($A104,SR_mission_minutes!$A$2:$A$43)),"-")</f>
        <v>-</v>
      </c>
      <c r="G104" s="105" t="str">
        <f>IFERROR(INDEX(lifespans_all!G$80:G$126,MATCH($A104,lifespans_all!$A$80:$A$126,0))*INDEX(SR_mission_minutes!G$2:G$43,MATCH($A104,SR_mission_minutes!$A$2:$A$43)),"-")</f>
        <v>-</v>
      </c>
      <c r="H104" s="105" t="str">
        <f>IFERROR(INDEX(lifespans_all!H$80:H$126,MATCH($A104,lifespans_all!$A$80:$A$126,0))*INDEX(SR_mission_minutes!H$2:H$43,MATCH($A104,SR_mission_minutes!$A$2:$A$43)),"-")</f>
        <v>-</v>
      </c>
      <c r="I104" s="105" t="str">
        <f>IFERROR(INDEX(lifespans_all!I$80:I$126,MATCH($A104,lifespans_all!$A$80:$A$126,0))*INDEX(SR_mission_minutes!I$2:I$43,MATCH($A104,SR_mission_minutes!$A$2:$A$43)),"-")</f>
        <v>-</v>
      </c>
      <c r="J104" s="105" t="str">
        <f>IFERROR(INDEX(lifespans_all!J$80:J$126,MATCH($A104,lifespans_all!$A$80:$A$126,0))*INDEX(SR_mission_minutes!J$2:J$43,MATCH($A104,SR_mission_minutes!$A$2:$A$43)),"-")</f>
        <v>-</v>
      </c>
      <c r="K104" s="105" t="str">
        <f>IFERROR(INDEX(lifespans_all!K$80:K$126,MATCH($A104,lifespans_all!$A$80:$A$126,0))*INDEX(SR_mission_minutes!K$2:K$43,MATCH($A104,SR_mission_minutes!$A$2:$A$43)),"-")</f>
        <v>-</v>
      </c>
      <c r="L104" s="105" t="str">
        <f>IFERROR(INDEX(lifespans_all!L$80:L$126,MATCH($A104,lifespans_all!$A$80:$A$126,0))*INDEX(SR_mission_minutes!L$2:L$43,MATCH($A104,SR_mission_minutes!$A$2:$A$43)),"-")</f>
        <v>-</v>
      </c>
      <c r="M104" s="105" t="str">
        <f>IFERROR(INDEX(lifespans_all!M$80:M$126,MATCH($A104,lifespans_all!$A$80:$A$126,0))*INDEX(SR_mission_minutes!M$2:M$43,MATCH($A104,SR_mission_minutes!$A$2:$A$43)),"-")</f>
        <v>-</v>
      </c>
      <c r="N104" s="105" t="str">
        <f>IFERROR(INDEX(lifespans_all!N$80:N$126,MATCH($A104,lifespans_all!$A$80:$A$126,0))*INDEX(SR_mission_minutes!N$2:N$43,MATCH($A104,SR_mission_minutes!$A$2:$A$43)),"-")</f>
        <v>-</v>
      </c>
      <c r="O104" s="105" t="str">
        <f>IFERROR(INDEX(lifespans_all!O$80:O$126,MATCH($A104,lifespans_all!$A$80:$A$126,0))*INDEX(SR_mission_minutes!O$2:O$43,MATCH($A104,SR_mission_minutes!$A$2:$A$43)),"-")</f>
        <v>-</v>
      </c>
      <c r="P104" s="105" t="str">
        <f>IFERROR(INDEX(lifespans_all!P$80:P$126,MATCH($A104,lifespans_all!$A$80:$A$126,0))*INDEX(SR_mission_minutes!P$2:P$43,MATCH($A104,SR_mission_minutes!$A$2:$A$43)),"-")</f>
        <v>-</v>
      </c>
      <c r="Q104" s="105" t="str">
        <f>IFERROR(INDEX(lifespans_all!Q$80:Q$126,MATCH($A104,lifespans_all!$A$80:$A$126,0))*INDEX(SR_mission_minutes!Q$2:Q$43,MATCH($A104,SR_mission_minutes!$A$2:$A$43)),"-")</f>
        <v>-</v>
      </c>
      <c r="R104" s="105" t="str">
        <f>IFERROR(INDEX(lifespans_all!R$80:R$126,MATCH($A104,lifespans_all!$A$80:$A$126,0))*INDEX(SR_mission_minutes!R$2:R$43,MATCH($A104,SR_mission_minutes!$A$2:$A$43)),"-")</f>
        <v>-</v>
      </c>
      <c r="S104" s="105" t="str">
        <f>IFERROR(INDEX(lifespans_all!S$80:S$126,MATCH($A104,lifespans_all!$A$80:$A$126,0))*INDEX(SR_mission_minutes!S$2:S$43,MATCH($A104,SR_mission_minutes!$A$2:$A$43)),"-")</f>
        <v>-</v>
      </c>
      <c r="T104" s="105" t="str">
        <f>IFERROR(INDEX(lifespans_all!T$80:T$126,MATCH($A104,lifespans_all!$A$80:$A$126,0))*INDEX(SR_mission_minutes!T$2:T$43,MATCH($A104,SR_mission_minutes!$A$2:$A$43)),"-")</f>
        <v>-</v>
      </c>
      <c r="U104" s="105" t="str">
        <f>IFERROR(INDEX(lifespans_all!U$80:U$126,MATCH($A104,lifespans_all!$A$80:$A$126,0))*INDEX(SR_mission_minutes!U$2:U$43,MATCH($A104,SR_mission_minutes!$A$2:$A$43)),"-")</f>
        <v>-</v>
      </c>
      <c r="V104" s="105" t="str">
        <f>IFERROR(INDEX(lifespans_all!V$80:V$126,MATCH($A104,lifespans_all!$A$80:$A$126,0))*INDEX(SR_mission_minutes!V$2:V$43,MATCH($A104,SR_mission_minutes!$A$2:$A$43)),"-")</f>
        <v>-</v>
      </c>
    </row>
    <row r="105" spans="1:22" x14ac:dyDescent="0.25">
      <c r="A105" s="29" t="s">
        <v>31</v>
      </c>
      <c r="B105" s="29" t="s">
        <v>48</v>
      </c>
      <c r="C105" s="105" t="str">
        <f>IFERROR(INDEX(lifespans_all!C$80:C$126,MATCH($A105,lifespans_all!$A$80:$A$126,0))*INDEX(SR_mission_minutes!C$2:C$43,MATCH($A105,SR_mission_minutes!$A$2:$A$43)),"-")</f>
        <v>-</v>
      </c>
      <c r="D105" s="105" t="str">
        <f>IFERROR(INDEX(lifespans_all!D$80:D$126,MATCH($A105,lifespans_all!$A$80:$A$126,0))*INDEX(SR_mission_minutes!D$2:D$43,MATCH($A105,SR_mission_minutes!$A$2:$A$43)),"-")</f>
        <v>-</v>
      </c>
      <c r="E105" s="105" t="str">
        <f>IFERROR(INDEX(lifespans_all!E$80:E$126,MATCH($A105,lifespans_all!$A$80:$A$126,0))*INDEX(SR_mission_minutes!E$2:E$43,MATCH($A105,SR_mission_minutes!$A$2:$A$43)),"-")</f>
        <v>-</v>
      </c>
      <c r="F105" s="105" t="str">
        <f>IFERROR(INDEX(lifespans_all!F$80:F$126,MATCH($A105,lifespans_all!$A$80:$A$126,0))*INDEX(SR_mission_minutes!F$2:F$43,MATCH($A105,SR_mission_minutes!$A$2:$A$43)),"-")</f>
        <v>-</v>
      </c>
      <c r="G105" s="105" t="str">
        <f>IFERROR(INDEX(lifespans_all!G$80:G$126,MATCH($A105,lifespans_all!$A$80:$A$126,0))*INDEX(SR_mission_minutes!G$2:G$43,MATCH($A105,SR_mission_minutes!$A$2:$A$43)),"-")</f>
        <v>-</v>
      </c>
      <c r="H105" s="105" t="str">
        <f>IFERROR(INDEX(lifespans_all!H$80:H$126,MATCH($A105,lifespans_all!$A$80:$A$126,0))*INDEX(SR_mission_minutes!H$2:H$43,MATCH($A105,SR_mission_minutes!$A$2:$A$43)),"-")</f>
        <v>-</v>
      </c>
      <c r="I105" s="105" t="str">
        <f>IFERROR(INDEX(lifespans_all!I$80:I$126,MATCH($A105,lifespans_all!$A$80:$A$126,0))*INDEX(SR_mission_minutes!I$2:I$43,MATCH($A105,SR_mission_minutes!$A$2:$A$43)),"-")</f>
        <v>-</v>
      </c>
      <c r="J105" s="105" t="str">
        <f>IFERROR(INDEX(lifespans_all!J$80:J$126,MATCH($A105,lifespans_all!$A$80:$A$126,0))*INDEX(SR_mission_minutes!J$2:J$43,MATCH($A105,SR_mission_minutes!$A$2:$A$43)),"-")</f>
        <v>-</v>
      </c>
      <c r="K105" s="105" t="str">
        <f>IFERROR(INDEX(lifespans_all!K$80:K$126,MATCH($A105,lifespans_all!$A$80:$A$126,0))*INDEX(SR_mission_minutes!K$2:K$43,MATCH($A105,SR_mission_minutes!$A$2:$A$43)),"-")</f>
        <v>-</v>
      </c>
      <c r="L105" s="105" t="str">
        <f>IFERROR(INDEX(lifespans_all!L$80:L$126,MATCH($A105,lifespans_all!$A$80:$A$126,0))*INDEX(SR_mission_minutes!L$2:L$43,MATCH($A105,SR_mission_minutes!$A$2:$A$43)),"-")</f>
        <v>-</v>
      </c>
      <c r="M105" s="105" t="str">
        <f>IFERROR(INDEX(lifespans_all!M$80:M$126,MATCH($A105,lifespans_all!$A$80:$A$126,0))*INDEX(SR_mission_minutes!M$2:M$43,MATCH($A105,SR_mission_minutes!$A$2:$A$43)),"-")</f>
        <v>-</v>
      </c>
      <c r="N105" s="105" t="str">
        <f>IFERROR(INDEX(lifespans_all!N$80:N$126,MATCH($A105,lifespans_all!$A$80:$A$126,0))*INDEX(SR_mission_minutes!N$2:N$43,MATCH($A105,SR_mission_minutes!$A$2:$A$43)),"-")</f>
        <v>-</v>
      </c>
      <c r="O105" s="105" t="str">
        <f>IFERROR(INDEX(lifespans_all!O$80:O$126,MATCH($A105,lifespans_all!$A$80:$A$126,0))*INDEX(SR_mission_minutes!O$2:O$43,MATCH($A105,SR_mission_minutes!$A$2:$A$43)),"-")</f>
        <v>-</v>
      </c>
      <c r="P105" s="105" t="str">
        <f>IFERROR(INDEX(lifespans_all!P$80:P$126,MATCH($A105,lifespans_all!$A$80:$A$126,0))*INDEX(SR_mission_minutes!P$2:P$43,MATCH($A105,SR_mission_minutes!$A$2:$A$43)),"-")</f>
        <v>-</v>
      </c>
      <c r="Q105" s="105" t="str">
        <f>IFERROR(INDEX(lifespans_all!Q$80:Q$126,MATCH($A105,lifespans_all!$A$80:$A$126,0))*INDEX(SR_mission_minutes!Q$2:Q$43,MATCH($A105,SR_mission_minutes!$A$2:$A$43)),"-")</f>
        <v>-</v>
      </c>
      <c r="R105" s="105" t="str">
        <f>IFERROR(INDEX(lifespans_all!R$80:R$126,MATCH($A105,lifespans_all!$A$80:$A$126,0))*INDEX(SR_mission_minutes!R$2:R$43,MATCH($A105,SR_mission_minutes!$A$2:$A$43)),"-")</f>
        <v>-</v>
      </c>
      <c r="S105" s="105" t="str">
        <f>IFERROR(INDEX(lifespans_all!S$80:S$126,MATCH($A105,lifespans_all!$A$80:$A$126,0))*INDEX(SR_mission_minutes!S$2:S$43,MATCH($A105,SR_mission_minutes!$A$2:$A$43)),"-")</f>
        <v>-</v>
      </c>
      <c r="T105" s="105" t="str">
        <f>IFERROR(INDEX(lifespans_all!T$80:T$126,MATCH($A105,lifespans_all!$A$80:$A$126,0))*INDEX(SR_mission_minutes!T$2:T$43,MATCH($A105,SR_mission_minutes!$A$2:$A$43)),"-")</f>
        <v>-</v>
      </c>
      <c r="U105" s="105" t="str">
        <f>IFERROR(INDEX(lifespans_all!U$80:U$126,MATCH($A105,lifespans_all!$A$80:$A$126,0))*INDEX(SR_mission_minutes!U$2:U$43,MATCH($A105,SR_mission_minutes!$A$2:$A$43)),"-")</f>
        <v>-</v>
      </c>
      <c r="V105" s="105" t="str">
        <f>IFERROR(INDEX(lifespans_all!V$80:V$126,MATCH($A105,lifespans_all!$A$80:$A$126,0))*INDEX(SR_mission_minutes!V$2:V$43,MATCH($A105,SR_mission_minutes!$A$2:$A$43)),"-")</f>
        <v>-</v>
      </c>
    </row>
    <row r="106" spans="1:22" x14ac:dyDescent="0.25">
      <c r="A106" s="29" t="s">
        <v>32</v>
      </c>
      <c r="B106" s="29" t="s">
        <v>48</v>
      </c>
      <c r="C106" s="105" t="str">
        <f>IFERROR(INDEX(lifespans_all!C$80:C$126,MATCH($A106,lifespans_all!$A$80:$A$126,0))*INDEX(SR_mission_minutes!C$2:C$43,MATCH($A106,SR_mission_minutes!$A$2:$A$43)),"-")</f>
        <v>-</v>
      </c>
      <c r="D106" s="105" t="str">
        <f>IFERROR(INDEX(lifespans_all!D$80:D$126,MATCH($A106,lifespans_all!$A$80:$A$126,0))*INDEX(SR_mission_minutes!D$2:D$43,MATCH($A106,SR_mission_minutes!$A$2:$A$43)),"-")</f>
        <v>-</v>
      </c>
      <c r="E106" s="105" t="str">
        <f>IFERROR(INDEX(lifespans_all!E$80:E$126,MATCH($A106,lifespans_all!$A$80:$A$126,0))*INDEX(SR_mission_minutes!E$2:E$43,MATCH($A106,SR_mission_minutes!$A$2:$A$43)),"-")</f>
        <v>-</v>
      </c>
      <c r="F106" s="105" t="str">
        <f>IFERROR(INDEX(lifespans_all!F$80:F$126,MATCH($A106,lifespans_all!$A$80:$A$126,0))*INDEX(SR_mission_minutes!F$2:F$43,MATCH($A106,SR_mission_minutes!$A$2:$A$43)),"-")</f>
        <v>-</v>
      </c>
      <c r="G106" s="105" t="str">
        <f>IFERROR(INDEX(lifespans_all!G$80:G$126,MATCH($A106,lifespans_all!$A$80:$A$126,0))*INDEX(SR_mission_minutes!G$2:G$43,MATCH($A106,SR_mission_minutes!$A$2:$A$43)),"-")</f>
        <v>-</v>
      </c>
      <c r="H106" s="105" t="str">
        <f>IFERROR(INDEX(lifespans_all!H$80:H$126,MATCH($A106,lifespans_all!$A$80:$A$126,0))*INDEX(SR_mission_minutes!H$2:H$43,MATCH($A106,SR_mission_minutes!$A$2:$A$43)),"-")</f>
        <v>-</v>
      </c>
      <c r="I106" s="105" t="str">
        <f>IFERROR(INDEX(lifespans_all!I$80:I$126,MATCH($A106,lifespans_all!$A$80:$A$126,0))*INDEX(SR_mission_minutes!I$2:I$43,MATCH($A106,SR_mission_minutes!$A$2:$A$43)),"-")</f>
        <v>-</v>
      </c>
      <c r="J106" s="105" t="str">
        <f>IFERROR(INDEX(lifespans_all!J$80:J$126,MATCH($A106,lifespans_all!$A$80:$A$126,0))*INDEX(SR_mission_minutes!J$2:J$43,MATCH($A106,SR_mission_minutes!$A$2:$A$43)),"-")</f>
        <v>-</v>
      </c>
      <c r="K106" s="105" t="str">
        <f>IFERROR(INDEX(lifespans_all!K$80:K$126,MATCH($A106,lifespans_all!$A$80:$A$126,0))*INDEX(SR_mission_minutes!K$2:K$43,MATCH($A106,SR_mission_minutes!$A$2:$A$43)),"-")</f>
        <v>-</v>
      </c>
      <c r="L106" s="105" t="str">
        <f>IFERROR(INDEX(lifespans_all!L$80:L$126,MATCH($A106,lifespans_all!$A$80:$A$126,0))*INDEX(SR_mission_minutes!L$2:L$43,MATCH($A106,SR_mission_minutes!$A$2:$A$43)),"-")</f>
        <v>-</v>
      </c>
      <c r="M106" s="105" t="str">
        <f>IFERROR(INDEX(lifespans_all!M$80:M$126,MATCH($A106,lifespans_all!$A$80:$A$126,0))*INDEX(SR_mission_minutes!M$2:M$43,MATCH($A106,SR_mission_minutes!$A$2:$A$43)),"-")</f>
        <v>-</v>
      </c>
      <c r="N106" s="105" t="str">
        <f>IFERROR(INDEX(lifespans_all!N$80:N$126,MATCH($A106,lifespans_all!$A$80:$A$126,0))*INDEX(SR_mission_minutes!N$2:N$43,MATCH($A106,SR_mission_minutes!$A$2:$A$43)),"-")</f>
        <v>-</v>
      </c>
      <c r="O106" s="105" t="str">
        <f>IFERROR(INDEX(lifespans_all!O$80:O$126,MATCH($A106,lifespans_all!$A$80:$A$126,0))*INDEX(SR_mission_minutes!O$2:O$43,MATCH($A106,SR_mission_minutes!$A$2:$A$43)),"-")</f>
        <v>-</v>
      </c>
      <c r="P106" s="105" t="str">
        <f>IFERROR(INDEX(lifespans_all!P$80:P$126,MATCH($A106,lifespans_all!$A$80:$A$126,0))*INDEX(SR_mission_minutes!P$2:P$43,MATCH($A106,SR_mission_minutes!$A$2:$A$43)),"-")</f>
        <v>-</v>
      </c>
      <c r="Q106" s="105" t="str">
        <f>IFERROR(INDEX(lifespans_all!Q$80:Q$126,MATCH($A106,lifespans_all!$A$80:$A$126,0))*INDEX(SR_mission_minutes!Q$2:Q$43,MATCH($A106,SR_mission_minutes!$A$2:$A$43)),"-")</f>
        <v>-</v>
      </c>
      <c r="R106" s="105" t="str">
        <f>IFERROR(INDEX(lifespans_all!R$80:R$126,MATCH($A106,lifespans_all!$A$80:$A$126,0))*INDEX(SR_mission_minutes!R$2:R$43,MATCH($A106,SR_mission_minutes!$A$2:$A$43)),"-")</f>
        <v>-</v>
      </c>
      <c r="S106" s="105" t="str">
        <f>IFERROR(INDEX(lifespans_all!S$80:S$126,MATCH($A106,lifespans_all!$A$80:$A$126,0))*INDEX(SR_mission_minutes!S$2:S$43,MATCH($A106,SR_mission_minutes!$A$2:$A$43)),"-")</f>
        <v>-</v>
      </c>
      <c r="T106" s="105" t="str">
        <f>IFERROR(INDEX(lifespans_all!T$80:T$126,MATCH($A106,lifespans_all!$A$80:$A$126,0))*INDEX(SR_mission_minutes!T$2:T$43,MATCH($A106,SR_mission_minutes!$A$2:$A$43)),"-")</f>
        <v>-</v>
      </c>
      <c r="U106" s="105" t="str">
        <f>IFERROR(INDEX(lifespans_all!U$80:U$126,MATCH($A106,lifespans_all!$A$80:$A$126,0))*INDEX(SR_mission_minutes!U$2:U$43,MATCH($A106,SR_mission_minutes!$A$2:$A$43)),"-")</f>
        <v>-</v>
      </c>
      <c r="V106" s="105" t="str">
        <f>IFERROR(INDEX(lifespans_all!V$80:V$126,MATCH($A106,lifespans_all!$A$80:$A$126,0))*INDEX(SR_mission_minutes!V$2:V$43,MATCH($A106,SR_mission_minutes!$A$2:$A$43)),"-")</f>
        <v>-</v>
      </c>
    </row>
    <row r="107" spans="1:22" x14ac:dyDescent="0.25">
      <c r="A107" s="29" t="s">
        <v>33</v>
      </c>
      <c r="B107" s="29" t="s">
        <v>41</v>
      </c>
      <c r="C107" s="105">
        <f>IFERROR(INDEX(lifespans_all!C$80:C$126,MATCH($A107,lifespans_all!$A$80:$A$126,0))*INDEX(SR_mission_minutes!C$2:C$43,MATCH($A107,SR_mission_minutes!$A$2:$A$43)),"-")</f>
        <v>0</v>
      </c>
      <c r="D107" s="105">
        <f>IFERROR(INDEX(lifespans_all!D$80:D$126,MATCH($A107,lifespans_all!$A$80:$A$126,0))*INDEX(SR_mission_minutes!D$2:D$43,MATCH($A107,SR_mission_minutes!$A$2:$A$43)),"-")</f>
        <v>0</v>
      </c>
      <c r="E107" s="105">
        <f>IFERROR(INDEX(lifespans_all!E$80:E$126,MATCH($A107,lifespans_all!$A$80:$A$126,0))*INDEX(SR_mission_minutes!E$2:E$43,MATCH($A107,SR_mission_minutes!$A$2:$A$43)),"-")</f>
        <v>0</v>
      </c>
      <c r="F107" s="105">
        <f>IFERROR(INDEX(lifespans_all!F$80:F$126,MATCH($A107,lifespans_all!$A$80:$A$126,0))*INDEX(SR_mission_minutes!F$2:F$43,MATCH($A107,SR_mission_minutes!$A$2:$A$43)),"-")</f>
        <v>0</v>
      </c>
      <c r="G107" s="105">
        <f>IFERROR(INDEX(lifespans_all!G$80:G$126,MATCH($A107,lifespans_all!$A$80:$A$126,0))*INDEX(SR_mission_minutes!G$2:G$43,MATCH($A107,SR_mission_minutes!$A$2:$A$43)),"-")</f>
        <v>0</v>
      </c>
      <c r="H107" s="105">
        <f>IFERROR(INDEX(lifespans_all!H$80:H$126,MATCH($A107,lifespans_all!$A$80:$A$126,0))*INDEX(SR_mission_minutes!H$2:H$43,MATCH($A107,SR_mission_minutes!$A$2:$A$43)),"-")</f>
        <v>0</v>
      </c>
      <c r="I107" s="105">
        <f>IFERROR(INDEX(lifespans_all!I$80:I$126,MATCH($A107,lifespans_all!$A$80:$A$126,0))*INDEX(SR_mission_minutes!I$2:I$43,MATCH($A107,SR_mission_minutes!$A$2:$A$43)),"-")</f>
        <v>0</v>
      </c>
      <c r="J107" s="105">
        <f>IFERROR(INDEX(lifespans_all!J$80:J$126,MATCH($A107,lifespans_all!$A$80:$A$126,0))*INDEX(SR_mission_minutes!J$2:J$43,MATCH($A107,SR_mission_minutes!$A$2:$A$43)),"-")</f>
        <v>0</v>
      </c>
      <c r="K107" s="105">
        <f>IFERROR(INDEX(lifespans_all!K$80:K$126,MATCH($A107,lifespans_all!$A$80:$A$126,0))*INDEX(SR_mission_minutes!K$2:K$43,MATCH($A107,SR_mission_minutes!$A$2:$A$43)),"-")</f>
        <v>0</v>
      </c>
      <c r="L107" s="105">
        <f>IFERROR(INDEX(lifespans_all!L$80:L$126,MATCH($A107,lifespans_all!$A$80:$A$126,0))*INDEX(SR_mission_minutes!L$2:L$43,MATCH($A107,SR_mission_minutes!$A$2:$A$43)),"-")</f>
        <v>0</v>
      </c>
      <c r="M107" s="105">
        <f>IFERROR(INDEX(lifespans_all!M$80:M$126,MATCH($A107,lifespans_all!$A$80:$A$126,0))*INDEX(SR_mission_minutes!M$2:M$43,MATCH($A107,SR_mission_minutes!$A$2:$A$43)),"-")</f>
        <v>0</v>
      </c>
      <c r="N107" s="105">
        <f>IFERROR(INDEX(lifespans_all!N$80:N$126,MATCH($A107,lifespans_all!$A$80:$A$126,0))*INDEX(SR_mission_minutes!N$2:N$43,MATCH($A107,SR_mission_minutes!$A$2:$A$43)),"-")</f>
        <v>0</v>
      </c>
      <c r="O107" s="105">
        <f>IFERROR(INDEX(lifespans_all!O$80:O$126,MATCH($A107,lifespans_all!$A$80:$A$126,0))*INDEX(SR_mission_minutes!O$2:O$43,MATCH($A107,SR_mission_minutes!$A$2:$A$43)),"-")</f>
        <v>0</v>
      </c>
      <c r="P107" s="105">
        <f>IFERROR(INDEX(lifespans_all!P$80:P$126,MATCH($A107,lifespans_all!$A$80:$A$126,0))*INDEX(SR_mission_minutes!P$2:P$43,MATCH($A107,SR_mission_minutes!$A$2:$A$43)),"-")</f>
        <v>0</v>
      </c>
      <c r="Q107" s="105">
        <f>IFERROR(INDEX(lifespans_all!Q$80:Q$126,MATCH($A107,lifespans_all!$A$80:$A$126,0))*INDEX(SR_mission_minutes!Q$2:Q$43,MATCH($A107,SR_mission_minutes!$A$2:$A$43)),"-")</f>
        <v>0</v>
      </c>
      <c r="R107" s="105">
        <f>IFERROR(INDEX(lifespans_all!R$80:R$126,MATCH($A107,lifespans_all!$A$80:$A$126,0))*INDEX(SR_mission_minutes!R$2:R$43,MATCH($A107,SR_mission_minutes!$A$2:$A$43)),"-")</f>
        <v>0</v>
      </c>
      <c r="S107" s="105">
        <f>IFERROR(INDEX(lifespans_all!S$80:S$126,MATCH($A107,lifespans_all!$A$80:$A$126,0))*INDEX(SR_mission_minutes!S$2:S$43,MATCH($A107,SR_mission_minutes!$A$2:$A$43)),"-")</f>
        <v>0</v>
      </c>
      <c r="T107" s="105">
        <f>IFERROR(INDEX(lifespans_all!T$80:T$126,MATCH($A107,lifespans_all!$A$80:$A$126,0))*INDEX(SR_mission_minutes!T$2:T$43,MATCH($A107,SR_mission_minutes!$A$2:$A$43)),"-")</f>
        <v>0</v>
      </c>
      <c r="U107" s="105">
        <f>IFERROR(INDEX(lifespans_all!U$80:U$126,MATCH($A107,lifespans_all!$A$80:$A$126,0))*INDEX(SR_mission_minutes!U$2:U$43,MATCH($A107,SR_mission_minutes!$A$2:$A$43)),"-")</f>
        <v>0</v>
      </c>
      <c r="V107" s="105">
        <f>IFERROR(INDEX(lifespans_all!V$80:V$126,MATCH($A107,lifespans_all!$A$80:$A$126,0))*INDEX(SR_mission_minutes!V$2:V$43,MATCH($A107,SR_mission_minutes!$A$2:$A$43)),"-")</f>
        <v>0</v>
      </c>
    </row>
    <row r="108" spans="1:22" x14ac:dyDescent="0.25">
      <c r="A108" s="29" t="s">
        <v>34</v>
      </c>
      <c r="B108" s="29" t="s">
        <v>45</v>
      </c>
      <c r="C108" s="105">
        <f>IFERROR(INDEX(lifespans_all!C$80:C$126,MATCH($A108,lifespans_all!$A$80:$A$126,0))*INDEX(SR_mission_minutes!C$2:C$43,MATCH($A108,SR_mission_minutes!$A$2:$A$43)),"-")</f>
        <v>33739.333333333336</v>
      </c>
      <c r="D108" s="105">
        <f>IFERROR(INDEX(lifespans_all!D$80:D$126,MATCH($A108,lifespans_all!$A$80:$A$126,0))*INDEX(SR_mission_minutes!D$2:D$43,MATCH($A108,SR_mission_minutes!$A$2:$A$43)),"-")</f>
        <v>33739.333333333336</v>
      </c>
      <c r="E108" s="105">
        <f>IFERROR(INDEX(lifespans_all!E$80:E$126,MATCH($A108,lifespans_all!$A$80:$A$126,0))*INDEX(SR_mission_minutes!E$2:E$43,MATCH($A108,SR_mission_minutes!$A$2:$A$43)),"-")</f>
        <v>33739.333333333336</v>
      </c>
      <c r="F108" s="105">
        <f>IFERROR(INDEX(lifespans_all!F$80:F$126,MATCH($A108,lifespans_all!$A$80:$A$126,0))*INDEX(SR_mission_minutes!F$2:F$43,MATCH($A108,SR_mission_minutes!$A$2:$A$43)),"-")</f>
        <v>33739.333333333336</v>
      </c>
      <c r="G108" s="105">
        <f>IFERROR(INDEX(lifespans_all!G$80:G$126,MATCH($A108,lifespans_all!$A$80:$A$126,0))*INDEX(SR_mission_minutes!G$2:G$43,MATCH($A108,SR_mission_minutes!$A$2:$A$43)),"-")</f>
        <v>33739.333333333336</v>
      </c>
      <c r="H108" s="105">
        <f>IFERROR(INDEX(lifespans_all!H$80:H$126,MATCH($A108,lifespans_all!$A$80:$A$126,0))*INDEX(SR_mission_minutes!H$2:H$43,MATCH($A108,SR_mission_minutes!$A$2:$A$43)),"-")</f>
        <v>0</v>
      </c>
      <c r="I108" s="105">
        <f>IFERROR(INDEX(lifespans_all!I$80:I$126,MATCH($A108,lifespans_all!$A$80:$A$126,0))*INDEX(SR_mission_minutes!I$2:I$43,MATCH($A108,SR_mission_minutes!$A$2:$A$43)),"-")</f>
        <v>0</v>
      </c>
      <c r="J108" s="105">
        <f>IFERROR(INDEX(lifespans_all!J$80:J$126,MATCH($A108,lifespans_all!$A$80:$A$126,0))*INDEX(SR_mission_minutes!J$2:J$43,MATCH($A108,SR_mission_minutes!$A$2:$A$43)),"-")</f>
        <v>0</v>
      </c>
      <c r="K108" s="105">
        <f>IFERROR(INDEX(lifespans_all!K$80:K$126,MATCH($A108,lifespans_all!$A$80:$A$126,0))*INDEX(SR_mission_minutes!K$2:K$43,MATCH($A108,SR_mission_minutes!$A$2:$A$43)),"-")</f>
        <v>0</v>
      </c>
      <c r="L108" s="105">
        <f>IFERROR(INDEX(lifespans_all!L$80:L$126,MATCH($A108,lifespans_all!$A$80:$A$126,0))*INDEX(SR_mission_minutes!L$2:L$43,MATCH($A108,SR_mission_minutes!$A$2:$A$43)),"-")</f>
        <v>0</v>
      </c>
      <c r="M108" s="105">
        <f>IFERROR(INDEX(lifespans_all!M$80:M$126,MATCH($A108,lifespans_all!$A$80:$A$126,0))*INDEX(SR_mission_minutes!M$2:M$43,MATCH($A108,SR_mission_minutes!$A$2:$A$43)),"-")</f>
        <v>0</v>
      </c>
      <c r="N108" s="105">
        <f>IFERROR(INDEX(lifespans_all!N$80:N$126,MATCH($A108,lifespans_all!$A$80:$A$126,0))*INDEX(SR_mission_minutes!N$2:N$43,MATCH($A108,SR_mission_minutes!$A$2:$A$43)),"-")</f>
        <v>0</v>
      </c>
      <c r="O108" s="105">
        <f>IFERROR(INDEX(lifespans_all!O$80:O$126,MATCH($A108,lifespans_all!$A$80:$A$126,0))*INDEX(SR_mission_minutes!O$2:O$43,MATCH($A108,SR_mission_minutes!$A$2:$A$43)),"-")</f>
        <v>0</v>
      </c>
      <c r="P108" s="105">
        <f>IFERROR(INDEX(lifespans_all!P$80:P$126,MATCH($A108,lifespans_all!$A$80:$A$126,0))*INDEX(SR_mission_minutes!P$2:P$43,MATCH($A108,SR_mission_minutes!$A$2:$A$43)),"-")</f>
        <v>0</v>
      </c>
      <c r="Q108" s="105">
        <f>IFERROR(INDEX(lifespans_all!Q$80:Q$126,MATCH($A108,lifespans_all!$A$80:$A$126,0))*INDEX(SR_mission_minutes!Q$2:Q$43,MATCH($A108,SR_mission_minutes!$A$2:$A$43)),"-")</f>
        <v>0</v>
      </c>
      <c r="R108" s="105">
        <f>IFERROR(INDEX(lifespans_all!R$80:R$126,MATCH($A108,lifespans_all!$A$80:$A$126,0))*INDEX(SR_mission_minutes!R$2:R$43,MATCH($A108,SR_mission_minutes!$A$2:$A$43)),"-")</f>
        <v>0</v>
      </c>
      <c r="S108" s="105">
        <f>IFERROR(INDEX(lifespans_all!S$80:S$126,MATCH($A108,lifespans_all!$A$80:$A$126,0))*INDEX(SR_mission_minutes!S$2:S$43,MATCH($A108,SR_mission_minutes!$A$2:$A$43)),"-")</f>
        <v>0</v>
      </c>
      <c r="T108" s="105">
        <f>IFERROR(INDEX(lifespans_all!T$80:T$126,MATCH($A108,lifespans_all!$A$80:$A$126,0))*INDEX(SR_mission_minutes!T$2:T$43,MATCH($A108,SR_mission_minutes!$A$2:$A$43)),"-")</f>
        <v>0</v>
      </c>
      <c r="U108" s="105">
        <f>IFERROR(INDEX(lifespans_all!U$80:U$126,MATCH($A108,lifespans_all!$A$80:$A$126,0))*INDEX(SR_mission_minutes!U$2:U$43,MATCH($A108,SR_mission_minutes!$A$2:$A$43)),"-")</f>
        <v>0</v>
      </c>
      <c r="V108" s="105">
        <f>IFERROR(INDEX(lifespans_all!V$80:V$126,MATCH($A108,lifespans_all!$A$80:$A$126,0))*INDEX(SR_mission_minutes!V$2:V$43,MATCH($A108,SR_mission_minutes!$A$2:$A$43)),"-")</f>
        <v>0</v>
      </c>
    </row>
    <row r="109" spans="1:22" x14ac:dyDescent="0.25">
      <c r="A109" s="29" t="s">
        <v>63</v>
      </c>
      <c r="B109" s="29" t="s">
        <v>43</v>
      </c>
      <c r="C109" s="105">
        <f>IFERROR(INDEX(lifespans_all!C$80:C$126,MATCH($A109,lifespans_all!$A$80:$A$126,0))*INDEX(SR_mission_minutes!C$2:C$43,MATCH($A109,SR_mission_minutes!$A$2:$A$43)),"-")</f>
        <v>114879</v>
      </c>
      <c r="D109" s="105">
        <f>IFERROR(INDEX(lifespans_all!D$80:D$126,MATCH($A109,lifespans_all!$A$80:$A$126,0))*INDEX(SR_mission_minutes!D$2:D$43,MATCH($A109,SR_mission_minutes!$A$2:$A$43)),"-")</f>
        <v>114879</v>
      </c>
      <c r="E109" s="105">
        <f>IFERROR(INDEX(lifespans_all!E$80:E$126,MATCH($A109,lifespans_all!$A$80:$A$126,0))*INDEX(SR_mission_minutes!E$2:E$43,MATCH($A109,SR_mission_minutes!$A$2:$A$43)),"-")</f>
        <v>114879</v>
      </c>
      <c r="F109" s="105">
        <f>IFERROR(INDEX(lifespans_all!F$80:F$126,MATCH($A109,lifespans_all!$A$80:$A$126,0))*INDEX(SR_mission_minutes!F$2:F$43,MATCH($A109,SR_mission_minutes!$A$2:$A$43)),"-")</f>
        <v>114879</v>
      </c>
      <c r="G109" s="105">
        <f>IFERROR(INDEX(lifespans_all!G$80:G$126,MATCH($A109,lifespans_all!$A$80:$A$126,0))*INDEX(SR_mission_minutes!G$2:G$43,MATCH($A109,SR_mission_minutes!$A$2:$A$43)),"-")</f>
        <v>114879</v>
      </c>
      <c r="H109" s="105">
        <f>IFERROR(INDEX(lifespans_all!H$80:H$126,MATCH($A109,lifespans_all!$A$80:$A$126,0))*INDEX(SR_mission_minutes!H$2:H$43,MATCH($A109,SR_mission_minutes!$A$2:$A$43)),"-")</f>
        <v>114879</v>
      </c>
      <c r="I109" s="105">
        <f>IFERROR(INDEX(lifespans_all!I$80:I$126,MATCH($A109,lifespans_all!$A$80:$A$126,0))*INDEX(SR_mission_minutes!I$2:I$43,MATCH($A109,SR_mission_minutes!$A$2:$A$43)),"-")</f>
        <v>114879</v>
      </c>
      <c r="J109" s="105">
        <f>IFERROR(INDEX(lifespans_all!J$80:J$126,MATCH($A109,lifespans_all!$A$80:$A$126,0))*INDEX(SR_mission_minutes!J$2:J$43,MATCH($A109,SR_mission_minutes!$A$2:$A$43)),"-")</f>
        <v>114879</v>
      </c>
      <c r="K109" s="105">
        <f>IFERROR(INDEX(lifespans_all!K$80:K$126,MATCH($A109,lifespans_all!$A$80:$A$126,0))*INDEX(SR_mission_minutes!K$2:K$43,MATCH($A109,SR_mission_minutes!$A$2:$A$43)),"-")</f>
        <v>114879</v>
      </c>
      <c r="L109" s="105">
        <f>IFERROR(INDEX(lifespans_all!L$80:L$126,MATCH($A109,lifespans_all!$A$80:$A$126,0))*INDEX(SR_mission_minutes!L$2:L$43,MATCH($A109,SR_mission_minutes!$A$2:$A$43)),"-")</f>
        <v>114879</v>
      </c>
      <c r="M109" s="105">
        <f>IFERROR(INDEX(lifespans_all!M$80:M$126,MATCH($A109,lifespans_all!$A$80:$A$126,0))*INDEX(SR_mission_minutes!M$2:M$43,MATCH($A109,SR_mission_minutes!$A$2:$A$43)),"-")</f>
        <v>114879</v>
      </c>
      <c r="N109" s="105">
        <f>IFERROR(INDEX(lifespans_all!N$80:N$126,MATCH($A109,lifespans_all!$A$80:$A$126,0))*INDEX(SR_mission_minutes!N$2:N$43,MATCH($A109,SR_mission_minutes!$A$2:$A$43)),"-")</f>
        <v>114879</v>
      </c>
      <c r="O109" s="105">
        <f>IFERROR(INDEX(lifespans_all!O$80:O$126,MATCH($A109,lifespans_all!$A$80:$A$126,0))*INDEX(SR_mission_minutes!O$2:O$43,MATCH($A109,SR_mission_minutes!$A$2:$A$43)),"-")</f>
        <v>114879</v>
      </c>
      <c r="P109" s="105">
        <f>IFERROR(INDEX(lifespans_all!P$80:P$126,MATCH($A109,lifespans_all!$A$80:$A$126,0))*INDEX(SR_mission_minutes!P$2:P$43,MATCH($A109,SR_mission_minutes!$A$2:$A$43)),"-")</f>
        <v>114879</v>
      </c>
      <c r="Q109" s="105">
        <f>IFERROR(INDEX(lifespans_all!Q$80:Q$126,MATCH($A109,lifespans_all!$A$80:$A$126,0))*INDEX(SR_mission_minutes!Q$2:Q$43,MATCH($A109,SR_mission_minutes!$A$2:$A$43)),"-")</f>
        <v>114879</v>
      </c>
      <c r="R109" s="105">
        <f>IFERROR(INDEX(lifespans_all!R$80:R$126,MATCH($A109,lifespans_all!$A$80:$A$126,0))*INDEX(SR_mission_minutes!R$2:R$43,MATCH($A109,SR_mission_minutes!$A$2:$A$43)),"-")</f>
        <v>114879</v>
      </c>
      <c r="S109" s="105">
        <f>IFERROR(INDEX(lifespans_all!S$80:S$126,MATCH($A109,lifespans_all!$A$80:$A$126,0))*INDEX(SR_mission_minutes!S$2:S$43,MATCH($A109,SR_mission_minutes!$A$2:$A$43)),"-")</f>
        <v>114879</v>
      </c>
      <c r="T109" s="105">
        <f>IFERROR(INDEX(lifespans_all!T$80:T$126,MATCH($A109,lifespans_all!$A$80:$A$126,0))*INDEX(SR_mission_minutes!T$2:T$43,MATCH($A109,SR_mission_minutes!$A$2:$A$43)),"-")</f>
        <v>114879</v>
      </c>
      <c r="U109" s="105">
        <f>IFERROR(INDEX(lifespans_all!U$80:U$126,MATCH($A109,lifespans_all!$A$80:$A$126,0))*INDEX(SR_mission_minutes!U$2:U$43,MATCH($A109,SR_mission_minutes!$A$2:$A$43)),"-")</f>
        <v>114879</v>
      </c>
      <c r="V109" s="105">
        <f>IFERROR(INDEX(lifespans_all!V$80:V$126,MATCH($A109,lifespans_all!$A$80:$A$126,0))*INDEX(SR_mission_minutes!V$2:V$43,MATCH($A109,SR_mission_minutes!$A$2:$A$43)),"-")</f>
        <v>114879</v>
      </c>
    </row>
    <row r="110" spans="1:22" x14ac:dyDescent="0.25">
      <c r="A110" s="29" t="s">
        <v>64</v>
      </c>
      <c r="B110" s="29" t="s">
        <v>46</v>
      </c>
      <c r="C110" s="105" t="str">
        <f>IFERROR(INDEX(lifespans_all!C$80:C$126,MATCH($A110,lifespans_all!$A$80:$A$126,0))*INDEX(SR_mission_minutes!C$2:C$43,MATCH($A110,SR_mission_minutes!$A$2:$A$43)),"-")</f>
        <v>-</v>
      </c>
      <c r="D110" s="105" t="str">
        <f>IFERROR(INDEX(lifespans_all!D$80:D$126,MATCH($A110,lifespans_all!$A$80:$A$126,0))*INDEX(SR_mission_minutes!D$2:D$43,MATCH($A110,SR_mission_minutes!$A$2:$A$43)),"-")</f>
        <v>-</v>
      </c>
      <c r="E110" s="105" t="str">
        <f>IFERROR(INDEX(lifespans_all!E$80:E$126,MATCH($A110,lifespans_all!$A$80:$A$126,0))*INDEX(SR_mission_minutes!E$2:E$43,MATCH($A110,SR_mission_minutes!$A$2:$A$43)),"-")</f>
        <v>-</v>
      </c>
      <c r="F110" s="105" t="str">
        <f>IFERROR(INDEX(lifespans_all!F$80:F$126,MATCH($A110,lifespans_all!$A$80:$A$126,0))*INDEX(SR_mission_minutes!F$2:F$43,MATCH($A110,SR_mission_minutes!$A$2:$A$43)),"-")</f>
        <v>-</v>
      </c>
      <c r="G110" s="105" t="str">
        <f>IFERROR(INDEX(lifespans_all!G$80:G$126,MATCH($A110,lifespans_all!$A$80:$A$126,0))*INDEX(SR_mission_minutes!G$2:G$43,MATCH($A110,SR_mission_minutes!$A$2:$A$43)),"-")</f>
        <v>-</v>
      </c>
      <c r="H110" s="105" t="str">
        <f>IFERROR(INDEX(lifespans_all!H$80:H$126,MATCH($A110,lifespans_all!$A$80:$A$126,0))*INDEX(SR_mission_minutes!H$2:H$43,MATCH($A110,SR_mission_minutes!$A$2:$A$43)),"-")</f>
        <v>-</v>
      </c>
      <c r="I110" s="105" t="str">
        <f>IFERROR(INDEX(lifespans_all!I$80:I$126,MATCH($A110,lifespans_all!$A$80:$A$126,0))*INDEX(SR_mission_minutes!I$2:I$43,MATCH($A110,SR_mission_minutes!$A$2:$A$43)),"-")</f>
        <v>-</v>
      </c>
      <c r="J110" s="105" t="str">
        <f>IFERROR(INDEX(lifespans_all!J$80:J$126,MATCH($A110,lifespans_all!$A$80:$A$126,0))*INDEX(SR_mission_minutes!J$2:J$43,MATCH($A110,SR_mission_minutes!$A$2:$A$43)),"-")</f>
        <v>-</v>
      </c>
      <c r="K110" s="105" t="str">
        <f>IFERROR(INDEX(lifespans_all!K$80:K$126,MATCH($A110,lifespans_all!$A$80:$A$126,0))*INDEX(SR_mission_minutes!K$2:K$43,MATCH($A110,SR_mission_minutes!$A$2:$A$43)),"-")</f>
        <v>-</v>
      </c>
      <c r="L110" s="105" t="str">
        <f>IFERROR(INDEX(lifespans_all!L$80:L$126,MATCH($A110,lifespans_all!$A$80:$A$126,0))*INDEX(SR_mission_minutes!L$2:L$43,MATCH($A110,SR_mission_minutes!$A$2:$A$43)),"-")</f>
        <v>-</v>
      </c>
      <c r="M110" s="105" t="str">
        <f>IFERROR(INDEX(lifespans_all!M$80:M$126,MATCH($A110,lifespans_all!$A$80:$A$126,0))*INDEX(SR_mission_minutes!M$2:M$43,MATCH($A110,SR_mission_minutes!$A$2:$A$43)),"-")</f>
        <v>-</v>
      </c>
      <c r="N110" s="105" t="str">
        <f>IFERROR(INDEX(lifespans_all!N$80:N$126,MATCH($A110,lifespans_all!$A$80:$A$126,0))*INDEX(SR_mission_minutes!N$2:N$43,MATCH($A110,SR_mission_minutes!$A$2:$A$43)),"-")</f>
        <v>-</v>
      </c>
      <c r="O110" s="105" t="str">
        <f>IFERROR(INDEX(lifespans_all!O$80:O$126,MATCH($A110,lifespans_all!$A$80:$A$126,0))*INDEX(SR_mission_minutes!O$2:O$43,MATCH($A110,SR_mission_minutes!$A$2:$A$43)),"-")</f>
        <v>-</v>
      </c>
      <c r="P110" s="105" t="str">
        <f>IFERROR(INDEX(lifespans_all!P$80:P$126,MATCH($A110,lifespans_all!$A$80:$A$126,0))*INDEX(SR_mission_minutes!P$2:P$43,MATCH($A110,SR_mission_minutes!$A$2:$A$43)),"-")</f>
        <v>-</v>
      </c>
      <c r="Q110" s="105" t="str">
        <f>IFERROR(INDEX(lifespans_all!Q$80:Q$126,MATCH($A110,lifespans_all!$A$80:$A$126,0))*INDEX(SR_mission_minutes!Q$2:Q$43,MATCH($A110,SR_mission_minutes!$A$2:$A$43)),"-")</f>
        <v>-</v>
      </c>
      <c r="R110" s="105" t="str">
        <f>IFERROR(INDEX(lifespans_all!R$80:R$126,MATCH($A110,lifespans_all!$A$80:$A$126,0))*INDEX(SR_mission_minutes!R$2:R$43,MATCH($A110,SR_mission_minutes!$A$2:$A$43)),"-")</f>
        <v>-</v>
      </c>
      <c r="S110" s="105" t="str">
        <f>IFERROR(INDEX(lifespans_all!S$80:S$126,MATCH($A110,lifespans_all!$A$80:$A$126,0))*INDEX(SR_mission_minutes!S$2:S$43,MATCH($A110,SR_mission_minutes!$A$2:$A$43)),"-")</f>
        <v>-</v>
      </c>
      <c r="T110" s="105" t="str">
        <f>IFERROR(INDEX(lifespans_all!T$80:T$126,MATCH($A110,lifespans_all!$A$80:$A$126,0))*INDEX(SR_mission_minutes!T$2:T$43,MATCH($A110,SR_mission_minutes!$A$2:$A$43)),"-")</f>
        <v>-</v>
      </c>
      <c r="U110" s="105" t="str">
        <f>IFERROR(INDEX(lifespans_all!U$80:U$126,MATCH($A110,lifespans_all!$A$80:$A$126,0))*INDEX(SR_mission_minutes!U$2:U$43,MATCH($A110,SR_mission_minutes!$A$2:$A$43)),"-")</f>
        <v>-</v>
      </c>
      <c r="V110" s="105" t="str">
        <f>IFERROR(INDEX(lifespans_all!V$80:V$126,MATCH($A110,lifespans_all!$A$80:$A$126,0))*INDEX(SR_mission_minutes!V$2:V$43,MATCH($A110,SR_mission_minutes!$A$2:$A$43)),"-")</f>
        <v>-</v>
      </c>
    </row>
    <row r="111" spans="1:22" x14ac:dyDescent="0.25">
      <c r="A111" s="29" t="s">
        <v>65</v>
      </c>
      <c r="B111" s="29" t="s">
        <v>41</v>
      </c>
      <c r="C111" s="105">
        <f>IFERROR(INDEX(lifespans_all!C$80:C$126,MATCH($A111,lifespans_all!$A$80:$A$126,0))*INDEX(SR_mission_minutes!C$2:C$43,MATCH($A111,SR_mission_minutes!$A$2:$A$43)),"-")</f>
        <v>66700.388888888891</v>
      </c>
      <c r="D111" s="105">
        <f>IFERROR(INDEX(lifespans_all!D$80:D$126,MATCH($A111,lifespans_all!$A$80:$A$126,0))*INDEX(SR_mission_minutes!D$2:D$43,MATCH($A111,SR_mission_minutes!$A$2:$A$43)),"-")</f>
        <v>66700.388888888891</v>
      </c>
      <c r="E111" s="105">
        <f>IFERROR(INDEX(lifespans_all!E$80:E$126,MATCH($A111,lifespans_all!$A$80:$A$126,0))*INDEX(SR_mission_minutes!E$2:E$43,MATCH($A111,SR_mission_minutes!$A$2:$A$43)),"-")</f>
        <v>66700.388888888891</v>
      </c>
      <c r="F111" s="105">
        <f>IFERROR(INDEX(lifespans_all!F$80:F$126,MATCH($A111,lifespans_all!$A$80:$A$126,0))*INDEX(SR_mission_minutes!F$2:F$43,MATCH($A111,SR_mission_minutes!$A$2:$A$43)),"-")</f>
        <v>66700.388888888891</v>
      </c>
      <c r="G111" s="105">
        <f>IFERROR(INDEX(lifespans_all!G$80:G$126,MATCH($A111,lifespans_all!$A$80:$A$126,0))*INDEX(SR_mission_minutes!G$2:G$43,MATCH($A111,SR_mission_minutes!$A$2:$A$43)),"-")</f>
        <v>66700.388888888891</v>
      </c>
      <c r="H111" s="105">
        <f>IFERROR(INDEX(lifespans_all!H$80:H$126,MATCH($A111,lifespans_all!$A$80:$A$126,0))*INDEX(SR_mission_minutes!H$2:H$43,MATCH($A111,SR_mission_minutes!$A$2:$A$43)),"-")</f>
        <v>66700.388888888891</v>
      </c>
      <c r="I111" s="105">
        <f>IFERROR(INDEX(lifespans_all!I$80:I$126,MATCH($A111,lifespans_all!$A$80:$A$126,0))*INDEX(SR_mission_minutes!I$2:I$43,MATCH($A111,SR_mission_minutes!$A$2:$A$43)),"-")</f>
        <v>66700.388888888891</v>
      </c>
      <c r="J111" s="105">
        <f>IFERROR(INDEX(lifespans_all!J$80:J$126,MATCH($A111,lifespans_all!$A$80:$A$126,0))*INDEX(SR_mission_minutes!J$2:J$43,MATCH($A111,SR_mission_minutes!$A$2:$A$43)),"-")</f>
        <v>0</v>
      </c>
      <c r="K111" s="105">
        <f>IFERROR(INDEX(lifespans_all!K$80:K$126,MATCH($A111,lifespans_all!$A$80:$A$126,0))*INDEX(SR_mission_minutes!K$2:K$43,MATCH($A111,SR_mission_minutes!$A$2:$A$43)),"-")</f>
        <v>0</v>
      </c>
      <c r="L111" s="105">
        <f>IFERROR(INDEX(lifespans_all!L$80:L$126,MATCH($A111,lifespans_all!$A$80:$A$126,0))*INDEX(SR_mission_minutes!L$2:L$43,MATCH($A111,SR_mission_minutes!$A$2:$A$43)),"-")</f>
        <v>0</v>
      </c>
      <c r="M111" s="105">
        <f>IFERROR(INDEX(lifespans_all!M$80:M$126,MATCH($A111,lifespans_all!$A$80:$A$126,0))*INDEX(SR_mission_minutes!M$2:M$43,MATCH($A111,SR_mission_minutes!$A$2:$A$43)),"-")</f>
        <v>0</v>
      </c>
      <c r="N111" s="105">
        <f>IFERROR(INDEX(lifespans_all!N$80:N$126,MATCH($A111,lifespans_all!$A$80:$A$126,0))*INDEX(SR_mission_minutes!N$2:N$43,MATCH($A111,SR_mission_minutes!$A$2:$A$43)),"-")</f>
        <v>0</v>
      </c>
      <c r="O111" s="105">
        <f>IFERROR(INDEX(lifespans_all!O$80:O$126,MATCH($A111,lifespans_all!$A$80:$A$126,0))*INDEX(SR_mission_minutes!O$2:O$43,MATCH($A111,SR_mission_minutes!$A$2:$A$43)),"-")</f>
        <v>0</v>
      </c>
      <c r="P111" s="105">
        <f>IFERROR(INDEX(lifespans_all!P$80:P$126,MATCH($A111,lifespans_all!$A$80:$A$126,0))*INDEX(SR_mission_minutes!P$2:P$43,MATCH($A111,SR_mission_minutes!$A$2:$A$43)),"-")</f>
        <v>0</v>
      </c>
      <c r="Q111" s="105">
        <f>IFERROR(INDEX(lifespans_all!Q$80:Q$126,MATCH($A111,lifespans_all!$A$80:$A$126,0))*INDEX(SR_mission_minutes!Q$2:Q$43,MATCH($A111,SR_mission_minutes!$A$2:$A$43)),"-")</f>
        <v>0</v>
      </c>
      <c r="R111" s="105">
        <f>IFERROR(INDEX(lifespans_all!R$80:R$126,MATCH($A111,lifespans_all!$A$80:$A$126,0))*INDEX(SR_mission_minutes!R$2:R$43,MATCH($A111,SR_mission_minutes!$A$2:$A$43)),"-")</f>
        <v>0</v>
      </c>
      <c r="S111" s="105">
        <f>IFERROR(INDEX(lifespans_all!S$80:S$126,MATCH($A111,lifespans_all!$A$80:$A$126,0))*INDEX(SR_mission_minutes!S$2:S$43,MATCH($A111,SR_mission_minutes!$A$2:$A$43)),"-")</f>
        <v>0</v>
      </c>
      <c r="T111" s="105">
        <f>IFERROR(INDEX(lifespans_all!T$80:T$126,MATCH($A111,lifespans_all!$A$80:$A$126,0))*INDEX(SR_mission_minutes!T$2:T$43,MATCH($A111,SR_mission_minutes!$A$2:$A$43)),"-")</f>
        <v>0</v>
      </c>
      <c r="U111" s="105">
        <f>IFERROR(INDEX(lifespans_all!U$80:U$126,MATCH($A111,lifespans_all!$A$80:$A$126,0))*INDEX(SR_mission_minutes!U$2:U$43,MATCH($A111,SR_mission_minutes!$A$2:$A$43)),"-")</f>
        <v>0</v>
      </c>
      <c r="V111" s="105">
        <f>IFERROR(INDEX(lifespans_all!V$80:V$126,MATCH($A111,lifespans_all!$A$80:$A$126,0))*INDEX(SR_mission_minutes!V$2:V$43,MATCH($A111,SR_mission_minutes!$A$2:$A$43)),"-")</f>
        <v>0</v>
      </c>
    </row>
    <row r="112" spans="1:22" x14ac:dyDescent="0.25">
      <c r="A112" s="29" t="s">
        <v>35</v>
      </c>
      <c r="B112" s="29" t="s">
        <v>40</v>
      </c>
      <c r="C112" s="105">
        <f>IFERROR(INDEX(lifespans_all!C$80:C$126,MATCH($A112,lifespans_all!$A$80:$A$126,0))*INDEX(SR_mission_minutes!C$2:C$43,MATCH($A112,SR_mission_minutes!$A$2:$A$43)),"-")</f>
        <v>2364.2857142857142</v>
      </c>
      <c r="D112" s="105">
        <f>IFERROR(INDEX(lifespans_all!D$80:D$126,MATCH($A112,lifespans_all!$A$80:$A$126,0))*INDEX(SR_mission_minutes!D$2:D$43,MATCH($A112,SR_mission_minutes!$A$2:$A$43)),"-")</f>
        <v>2364.2857142857142</v>
      </c>
      <c r="E112" s="105">
        <f>IFERROR(INDEX(lifespans_all!E$80:E$126,MATCH($A112,lifespans_all!$A$80:$A$126,0))*INDEX(SR_mission_minutes!E$2:E$43,MATCH($A112,SR_mission_minutes!$A$2:$A$43)),"-")</f>
        <v>0</v>
      </c>
      <c r="F112" s="105">
        <f>IFERROR(INDEX(lifespans_all!F$80:F$126,MATCH($A112,lifespans_all!$A$80:$A$126,0))*INDEX(SR_mission_minutes!F$2:F$43,MATCH($A112,SR_mission_minutes!$A$2:$A$43)),"-")</f>
        <v>0</v>
      </c>
      <c r="G112" s="105">
        <f>IFERROR(INDEX(lifespans_all!G$80:G$126,MATCH($A112,lifespans_all!$A$80:$A$126,0))*INDEX(SR_mission_minutes!G$2:G$43,MATCH($A112,SR_mission_minutes!$A$2:$A$43)),"-")</f>
        <v>0</v>
      </c>
      <c r="H112" s="105">
        <f>IFERROR(INDEX(lifespans_all!H$80:H$126,MATCH($A112,lifespans_all!$A$80:$A$126,0))*INDEX(SR_mission_minutes!H$2:H$43,MATCH($A112,SR_mission_minutes!$A$2:$A$43)),"-")</f>
        <v>0</v>
      </c>
      <c r="I112" s="105">
        <f>IFERROR(INDEX(lifespans_all!I$80:I$126,MATCH($A112,lifespans_all!$A$80:$A$126,0))*INDEX(SR_mission_minutes!I$2:I$43,MATCH($A112,SR_mission_minutes!$A$2:$A$43)),"-")</f>
        <v>0</v>
      </c>
      <c r="J112" s="105">
        <f>IFERROR(INDEX(lifespans_all!J$80:J$126,MATCH($A112,lifespans_all!$A$80:$A$126,0))*INDEX(SR_mission_minutes!J$2:J$43,MATCH($A112,SR_mission_minutes!$A$2:$A$43)),"-")</f>
        <v>0</v>
      </c>
      <c r="K112" s="105">
        <f>IFERROR(INDEX(lifespans_all!K$80:K$126,MATCH($A112,lifespans_all!$A$80:$A$126,0))*INDEX(SR_mission_minutes!K$2:K$43,MATCH($A112,SR_mission_minutes!$A$2:$A$43)),"-")</f>
        <v>0</v>
      </c>
      <c r="L112" s="105">
        <f>IFERROR(INDEX(lifespans_all!L$80:L$126,MATCH($A112,lifespans_all!$A$80:$A$126,0))*INDEX(SR_mission_minutes!L$2:L$43,MATCH($A112,SR_mission_minutes!$A$2:$A$43)),"-")</f>
        <v>0</v>
      </c>
      <c r="M112" s="105">
        <f>IFERROR(INDEX(lifespans_all!M$80:M$126,MATCH($A112,lifespans_all!$A$80:$A$126,0))*INDEX(SR_mission_minutes!M$2:M$43,MATCH($A112,SR_mission_minutes!$A$2:$A$43)),"-")</f>
        <v>0</v>
      </c>
      <c r="N112" s="105">
        <f>IFERROR(INDEX(lifespans_all!N$80:N$126,MATCH($A112,lifespans_all!$A$80:$A$126,0))*INDEX(SR_mission_minutes!N$2:N$43,MATCH($A112,SR_mission_minutes!$A$2:$A$43)),"-")</f>
        <v>0</v>
      </c>
      <c r="O112" s="105">
        <f>IFERROR(INDEX(lifespans_all!O$80:O$126,MATCH($A112,lifespans_all!$A$80:$A$126,0))*INDEX(SR_mission_minutes!O$2:O$43,MATCH($A112,SR_mission_minutes!$A$2:$A$43)),"-")</f>
        <v>0</v>
      </c>
      <c r="P112" s="105">
        <f>IFERROR(INDEX(lifespans_all!P$80:P$126,MATCH($A112,lifespans_all!$A$80:$A$126,0))*INDEX(SR_mission_minutes!P$2:P$43,MATCH($A112,SR_mission_minutes!$A$2:$A$43)),"-")</f>
        <v>0</v>
      </c>
      <c r="Q112" s="105">
        <f>IFERROR(INDEX(lifespans_all!Q$80:Q$126,MATCH($A112,lifespans_all!$A$80:$A$126,0))*INDEX(SR_mission_minutes!Q$2:Q$43,MATCH($A112,SR_mission_minutes!$A$2:$A$43)),"-")</f>
        <v>0</v>
      </c>
      <c r="R112" s="105">
        <f>IFERROR(INDEX(lifespans_all!R$80:R$126,MATCH($A112,lifespans_all!$A$80:$A$126,0))*INDEX(SR_mission_minutes!R$2:R$43,MATCH($A112,SR_mission_minutes!$A$2:$A$43)),"-")</f>
        <v>0</v>
      </c>
      <c r="S112" s="105">
        <f>IFERROR(INDEX(lifespans_all!S$80:S$126,MATCH($A112,lifespans_all!$A$80:$A$126,0))*INDEX(SR_mission_minutes!S$2:S$43,MATCH($A112,SR_mission_minutes!$A$2:$A$43)),"-")</f>
        <v>0</v>
      </c>
      <c r="T112" s="105">
        <f>IFERROR(INDEX(lifespans_all!T$80:T$126,MATCH($A112,lifespans_all!$A$80:$A$126,0))*INDEX(SR_mission_minutes!T$2:T$43,MATCH($A112,SR_mission_minutes!$A$2:$A$43)),"-")</f>
        <v>0</v>
      </c>
      <c r="U112" s="105">
        <f>IFERROR(INDEX(lifespans_all!U$80:U$126,MATCH($A112,lifespans_all!$A$80:$A$126,0))*INDEX(SR_mission_minutes!U$2:U$43,MATCH($A112,SR_mission_minutes!$A$2:$A$43)),"-")</f>
        <v>0</v>
      </c>
      <c r="V112" s="105">
        <f>IFERROR(INDEX(lifespans_all!V$80:V$126,MATCH($A112,lifespans_all!$A$80:$A$126,0))*INDEX(SR_mission_minutes!V$2:V$43,MATCH($A112,SR_mission_minutes!$A$2:$A$43)),"-")</f>
        <v>0</v>
      </c>
    </row>
    <row r="113" spans="1:22" x14ac:dyDescent="0.25">
      <c r="A113" s="29" t="s">
        <v>36</v>
      </c>
      <c r="B113" s="29" t="s">
        <v>40</v>
      </c>
      <c r="C113" s="105">
        <f>IFERROR(INDEX(lifespans_all!C$80:C$126,MATCH($A113,lifespans_all!$A$80:$A$126,0))*INDEX(SR_mission_minutes!C$2:C$43,MATCH($A113,SR_mission_minutes!$A$2:$A$43)),"-")</f>
        <v>2364.2857142857142</v>
      </c>
      <c r="D113" s="105">
        <f>IFERROR(INDEX(lifespans_all!D$80:D$126,MATCH($A113,lifespans_all!$A$80:$A$126,0))*INDEX(SR_mission_minutes!D$2:D$43,MATCH($A113,SR_mission_minutes!$A$2:$A$43)),"-")</f>
        <v>2364.2857142857142</v>
      </c>
      <c r="E113" s="105">
        <f>IFERROR(INDEX(lifespans_all!E$80:E$126,MATCH($A113,lifespans_all!$A$80:$A$126,0))*INDEX(SR_mission_minutes!E$2:E$43,MATCH($A113,SR_mission_minutes!$A$2:$A$43)),"-")</f>
        <v>0</v>
      </c>
      <c r="F113" s="105">
        <f>IFERROR(INDEX(lifespans_all!F$80:F$126,MATCH($A113,lifespans_all!$A$80:$A$126,0))*INDEX(SR_mission_minutes!F$2:F$43,MATCH($A113,SR_mission_minutes!$A$2:$A$43)),"-")</f>
        <v>0</v>
      </c>
      <c r="G113" s="105">
        <f>IFERROR(INDEX(lifespans_all!G$80:G$126,MATCH($A113,lifespans_all!$A$80:$A$126,0))*INDEX(SR_mission_minutes!G$2:G$43,MATCH($A113,SR_mission_minutes!$A$2:$A$43)),"-")</f>
        <v>0</v>
      </c>
      <c r="H113" s="105">
        <f>IFERROR(INDEX(lifespans_all!H$80:H$126,MATCH($A113,lifespans_all!$A$80:$A$126,0))*INDEX(SR_mission_minutes!H$2:H$43,MATCH($A113,SR_mission_minutes!$A$2:$A$43)),"-")</f>
        <v>0</v>
      </c>
      <c r="I113" s="105">
        <f>IFERROR(INDEX(lifespans_all!I$80:I$126,MATCH($A113,lifespans_all!$A$80:$A$126,0))*INDEX(SR_mission_minutes!I$2:I$43,MATCH($A113,SR_mission_minutes!$A$2:$A$43)),"-")</f>
        <v>0</v>
      </c>
      <c r="J113" s="105">
        <f>IFERROR(INDEX(lifespans_all!J$80:J$126,MATCH($A113,lifespans_all!$A$80:$A$126,0))*INDEX(SR_mission_minutes!J$2:J$43,MATCH($A113,SR_mission_minutes!$A$2:$A$43)),"-")</f>
        <v>0</v>
      </c>
      <c r="K113" s="105">
        <f>IFERROR(INDEX(lifespans_all!K$80:K$126,MATCH($A113,lifespans_all!$A$80:$A$126,0))*INDEX(SR_mission_minutes!K$2:K$43,MATCH($A113,SR_mission_minutes!$A$2:$A$43)),"-")</f>
        <v>0</v>
      </c>
      <c r="L113" s="105">
        <f>IFERROR(INDEX(lifespans_all!L$80:L$126,MATCH($A113,lifespans_all!$A$80:$A$126,0))*INDEX(SR_mission_minutes!L$2:L$43,MATCH($A113,SR_mission_minutes!$A$2:$A$43)),"-")</f>
        <v>0</v>
      </c>
      <c r="M113" s="105">
        <f>IFERROR(INDEX(lifespans_all!M$80:M$126,MATCH($A113,lifespans_all!$A$80:$A$126,0))*INDEX(SR_mission_minutes!M$2:M$43,MATCH($A113,SR_mission_minutes!$A$2:$A$43)),"-")</f>
        <v>0</v>
      </c>
      <c r="N113" s="105">
        <f>IFERROR(INDEX(lifespans_all!N$80:N$126,MATCH($A113,lifespans_all!$A$80:$A$126,0))*INDEX(SR_mission_minutes!N$2:N$43,MATCH($A113,SR_mission_minutes!$A$2:$A$43)),"-")</f>
        <v>0</v>
      </c>
      <c r="O113" s="105">
        <f>IFERROR(INDEX(lifespans_all!O$80:O$126,MATCH($A113,lifespans_all!$A$80:$A$126,0))*INDEX(SR_mission_minutes!O$2:O$43,MATCH($A113,SR_mission_minutes!$A$2:$A$43)),"-")</f>
        <v>0</v>
      </c>
      <c r="P113" s="105">
        <f>IFERROR(INDEX(lifespans_all!P$80:P$126,MATCH($A113,lifespans_all!$A$80:$A$126,0))*INDEX(SR_mission_minutes!P$2:P$43,MATCH($A113,SR_mission_minutes!$A$2:$A$43)),"-")</f>
        <v>0</v>
      </c>
      <c r="Q113" s="105">
        <f>IFERROR(INDEX(lifespans_all!Q$80:Q$126,MATCH($A113,lifespans_all!$A$80:$A$126,0))*INDEX(SR_mission_minutes!Q$2:Q$43,MATCH($A113,SR_mission_minutes!$A$2:$A$43)),"-")</f>
        <v>0</v>
      </c>
      <c r="R113" s="105">
        <f>IFERROR(INDEX(lifespans_all!R$80:R$126,MATCH($A113,lifespans_all!$A$80:$A$126,0))*INDEX(SR_mission_minutes!R$2:R$43,MATCH($A113,SR_mission_minutes!$A$2:$A$43)),"-")</f>
        <v>0</v>
      </c>
      <c r="S113" s="105">
        <f>IFERROR(INDEX(lifespans_all!S$80:S$126,MATCH($A113,lifespans_all!$A$80:$A$126,0))*INDEX(SR_mission_minutes!S$2:S$43,MATCH($A113,SR_mission_minutes!$A$2:$A$43)),"-")</f>
        <v>0</v>
      </c>
      <c r="T113" s="105">
        <f>IFERROR(INDEX(lifespans_all!T$80:T$126,MATCH($A113,lifespans_all!$A$80:$A$126,0))*INDEX(SR_mission_minutes!T$2:T$43,MATCH($A113,SR_mission_minutes!$A$2:$A$43)),"-")</f>
        <v>0</v>
      </c>
      <c r="U113" s="105">
        <f>IFERROR(INDEX(lifespans_all!U$80:U$126,MATCH($A113,lifespans_all!$A$80:$A$126,0))*INDEX(SR_mission_minutes!U$2:U$43,MATCH($A113,SR_mission_minutes!$A$2:$A$43)),"-")</f>
        <v>0</v>
      </c>
      <c r="V113" s="105">
        <f>IFERROR(INDEX(lifespans_all!V$80:V$126,MATCH($A113,lifespans_all!$A$80:$A$126,0))*INDEX(SR_mission_minutes!V$2:V$43,MATCH($A113,SR_mission_minutes!$A$2:$A$43)),"-")</f>
        <v>0</v>
      </c>
    </row>
    <row r="114" spans="1:22" x14ac:dyDescent="0.25">
      <c r="A114" s="29" t="s">
        <v>37</v>
      </c>
      <c r="B114" s="29" t="s">
        <v>40</v>
      </c>
      <c r="C114" s="105">
        <f>IFERROR(INDEX(lifespans_all!C$80:C$126,MATCH($A114,lifespans_all!$A$80:$A$126,0))*INDEX(SR_mission_minutes!C$2:C$43,MATCH($A114,SR_mission_minutes!$A$2:$A$43)),"-")</f>
        <v>2364.2857142857142</v>
      </c>
      <c r="D114" s="105">
        <f>IFERROR(INDEX(lifespans_all!D$80:D$126,MATCH($A114,lifespans_all!$A$80:$A$126,0))*INDEX(SR_mission_minutes!D$2:D$43,MATCH($A114,SR_mission_minutes!$A$2:$A$43)),"-")</f>
        <v>2364.2857142857142</v>
      </c>
      <c r="E114" s="105">
        <f>IFERROR(INDEX(lifespans_all!E$80:E$126,MATCH($A114,lifespans_all!$A$80:$A$126,0))*INDEX(SR_mission_minutes!E$2:E$43,MATCH($A114,SR_mission_minutes!$A$2:$A$43)),"-")</f>
        <v>0</v>
      </c>
      <c r="F114" s="105">
        <f>IFERROR(INDEX(lifespans_all!F$80:F$126,MATCH($A114,lifespans_all!$A$80:$A$126,0))*INDEX(SR_mission_minutes!F$2:F$43,MATCH($A114,SR_mission_minutes!$A$2:$A$43)),"-")</f>
        <v>0</v>
      </c>
      <c r="G114" s="105">
        <f>IFERROR(INDEX(lifespans_all!G$80:G$126,MATCH($A114,lifespans_all!$A$80:$A$126,0))*INDEX(SR_mission_minutes!G$2:G$43,MATCH($A114,SR_mission_minutes!$A$2:$A$43)),"-")</f>
        <v>0</v>
      </c>
      <c r="H114" s="105">
        <f>IFERROR(INDEX(lifespans_all!H$80:H$126,MATCH($A114,lifespans_all!$A$80:$A$126,0))*INDEX(SR_mission_minutes!H$2:H$43,MATCH($A114,SR_mission_minutes!$A$2:$A$43)),"-")</f>
        <v>0</v>
      </c>
      <c r="I114" s="105">
        <f>IFERROR(INDEX(lifespans_all!I$80:I$126,MATCH($A114,lifespans_all!$A$80:$A$126,0))*INDEX(SR_mission_minutes!I$2:I$43,MATCH($A114,SR_mission_minutes!$A$2:$A$43)),"-")</f>
        <v>0</v>
      </c>
      <c r="J114" s="105">
        <f>IFERROR(INDEX(lifespans_all!J$80:J$126,MATCH($A114,lifespans_all!$A$80:$A$126,0))*INDEX(SR_mission_minutes!J$2:J$43,MATCH($A114,SR_mission_minutes!$A$2:$A$43)),"-")</f>
        <v>0</v>
      </c>
      <c r="K114" s="105">
        <f>IFERROR(INDEX(lifespans_all!K$80:K$126,MATCH($A114,lifespans_all!$A$80:$A$126,0))*INDEX(SR_mission_minutes!K$2:K$43,MATCH($A114,SR_mission_minutes!$A$2:$A$43)),"-")</f>
        <v>0</v>
      </c>
      <c r="L114" s="105">
        <f>IFERROR(INDEX(lifespans_all!L$80:L$126,MATCH($A114,lifespans_all!$A$80:$A$126,0))*INDEX(SR_mission_minutes!L$2:L$43,MATCH($A114,SR_mission_minutes!$A$2:$A$43)),"-")</f>
        <v>0</v>
      </c>
      <c r="M114" s="105">
        <f>IFERROR(INDEX(lifespans_all!M$80:M$126,MATCH($A114,lifespans_all!$A$80:$A$126,0))*INDEX(SR_mission_minutes!M$2:M$43,MATCH($A114,SR_mission_minutes!$A$2:$A$43)),"-")</f>
        <v>0</v>
      </c>
      <c r="N114" s="105">
        <f>IFERROR(INDEX(lifespans_all!N$80:N$126,MATCH($A114,lifespans_all!$A$80:$A$126,0))*INDEX(SR_mission_minutes!N$2:N$43,MATCH($A114,SR_mission_minutes!$A$2:$A$43)),"-")</f>
        <v>0</v>
      </c>
      <c r="O114" s="105">
        <f>IFERROR(INDEX(lifespans_all!O$80:O$126,MATCH($A114,lifespans_all!$A$80:$A$126,0))*INDEX(SR_mission_minutes!O$2:O$43,MATCH($A114,SR_mission_minutes!$A$2:$A$43)),"-")</f>
        <v>0</v>
      </c>
      <c r="P114" s="105">
        <f>IFERROR(INDEX(lifespans_all!P$80:P$126,MATCH($A114,lifespans_all!$A$80:$A$126,0))*INDEX(SR_mission_minutes!P$2:P$43,MATCH($A114,SR_mission_minutes!$A$2:$A$43)),"-")</f>
        <v>0</v>
      </c>
      <c r="Q114" s="105">
        <f>IFERROR(INDEX(lifespans_all!Q$80:Q$126,MATCH($A114,lifespans_all!$A$80:$A$126,0))*INDEX(SR_mission_minutes!Q$2:Q$43,MATCH($A114,SR_mission_minutes!$A$2:$A$43)),"-")</f>
        <v>0</v>
      </c>
      <c r="R114" s="105">
        <f>IFERROR(INDEX(lifespans_all!R$80:R$126,MATCH($A114,lifespans_all!$A$80:$A$126,0))*INDEX(SR_mission_minutes!R$2:R$43,MATCH($A114,SR_mission_minutes!$A$2:$A$43)),"-")</f>
        <v>0</v>
      </c>
      <c r="S114" s="105">
        <f>IFERROR(INDEX(lifespans_all!S$80:S$126,MATCH($A114,lifespans_all!$A$80:$A$126,0))*INDEX(SR_mission_minutes!S$2:S$43,MATCH($A114,SR_mission_minutes!$A$2:$A$43)),"-")</f>
        <v>0</v>
      </c>
      <c r="T114" s="105">
        <f>IFERROR(INDEX(lifespans_all!T$80:T$126,MATCH($A114,lifespans_all!$A$80:$A$126,0))*INDEX(SR_mission_minutes!T$2:T$43,MATCH($A114,SR_mission_minutes!$A$2:$A$43)),"-")</f>
        <v>0</v>
      </c>
      <c r="U114" s="105">
        <f>IFERROR(INDEX(lifespans_all!U$80:U$126,MATCH($A114,lifespans_all!$A$80:$A$126,0))*INDEX(SR_mission_minutes!U$2:U$43,MATCH($A114,SR_mission_minutes!$A$2:$A$43)),"-")</f>
        <v>0</v>
      </c>
      <c r="V114" s="105">
        <f>IFERROR(INDEX(lifespans_all!V$80:V$126,MATCH($A114,lifespans_all!$A$80:$A$126,0))*INDEX(SR_mission_minutes!V$2:V$43,MATCH($A114,SR_mission_minutes!$A$2:$A$43)),"-")</f>
        <v>0</v>
      </c>
    </row>
    <row r="115" spans="1:22" x14ac:dyDescent="0.25">
      <c r="A115" s="29" t="s">
        <v>38</v>
      </c>
      <c r="B115" s="29" t="s">
        <v>41</v>
      </c>
      <c r="C115" s="105">
        <f>IFERROR(INDEX(lifespans_all!C$80:C$126,MATCH($A115,lifespans_all!$A$80:$A$126,0))*INDEX(SR_mission_minutes!C$2:C$43,MATCH($A115,SR_mission_minutes!$A$2:$A$43)),"-")</f>
        <v>66700.388888888891</v>
      </c>
      <c r="D115" s="105">
        <f>IFERROR(INDEX(lifespans_all!D$80:D$126,MATCH($A115,lifespans_all!$A$80:$A$126,0))*INDEX(SR_mission_minutes!D$2:D$43,MATCH($A115,SR_mission_minutes!$A$2:$A$43)),"-")</f>
        <v>0</v>
      </c>
      <c r="E115" s="105">
        <f>IFERROR(INDEX(lifespans_all!E$80:E$126,MATCH($A115,lifespans_all!$A$80:$A$126,0))*INDEX(SR_mission_minutes!E$2:E$43,MATCH($A115,SR_mission_minutes!$A$2:$A$43)),"-")</f>
        <v>0</v>
      </c>
      <c r="F115" s="105">
        <f>IFERROR(INDEX(lifespans_all!F$80:F$126,MATCH($A115,lifespans_all!$A$80:$A$126,0))*INDEX(SR_mission_minutes!F$2:F$43,MATCH($A115,SR_mission_minutes!$A$2:$A$43)),"-")</f>
        <v>0</v>
      </c>
      <c r="G115" s="105">
        <f>IFERROR(INDEX(lifespans_all!G$80:G$126,MATCH($A115,lifespans_all!$A$80:$A$126,0))*INDEX(SR_mission_minutes!G$2:G$43,MATCH($A115,SR_mission_minutes!$A$2:$A$43)),"-")</f>
        <v>0</v>
      </c>
      <c r="H115" s="105">
        <f>IFERROR(INDEX(lifespans_all!H$80:H$126,MATCH($A115,lifespans_all!$A$80:$A$126,0))*INDEX(SR_mission_minutes!H$2:H$43,MATCH($A115,SR_mission_minutes!$A$2:$A$43)),"-")</f>
        <v>0</v>
      </c>
      <c r="I115" s="105">
        <f>IFERROR(INDEX(lifespans_all!I$80:I$126,MATCH($A115,lifespans_all!$A$80:$A$126,0))*INDEX(SR_mission_minutes!I$2:I$43,MATCH($A115,SR_mission_minutes!$A$2:$A$43)),"-")</f>
        <v>0</v>
      </c>
      <c r="J115" s="105">
        <f>IFERROR(INDEX(lifespans_all!J$80:J$126,MATCH($A115,lifespans_all!$A$80:$A$126,0))*INDEX(SR_mission_minutes!J$2:J$43,MATCH($A115,SR_mission_minutes!$A$2:$A$43)),"-")</f>
        <v>0</v>
      </c>
      <c r="K115" s="105">
        <f>IFERROR(INDEX(lifespans_all!K$80:K$126,MATCH($A115,lifespans_all!$A$80:$A$126,0))*INDEX(SR_mission_minutes!K$2:K$43,MATCH($A115,SR_mission_minutes!$A$2:$A$43)),"-")</f>
        <v>0</v>
      </c>
      <c r="L115" s="105">
        <f>IFERROR(INDEX(lifespans_all!L$80:L$126,MATCH($A115,lifespans_all!$A$80:$A$126,0))*INDEX(SR_mission_minutes!L$2:L$43,MATCH($A115,SR_mission_minutes!$A$2:$A$43)),"-")</f>
        <v>0</v>
      </c>
      <c r="M115" s="105">
        <f>IFERROR(INDEX(lifespans_all!M$80:M$126,MATCH($A115,lifespans_all!$A$80:$A$126,0))*INDEX(SR_mission_minutes!M$2:M$43,MATCH($A115,SR_mission_minutes!$A$2:$A$43)),"-")</f>
        <v>0</v>
      </c>
      <c r="N115" s="105">
        <f>IFERROR(INDEX(lifespans_all!N$80:N$126,MATCH($A115,lifespans_all!$A$80:$A$126,0))*INDEX(SR_mission_minutes!N$2:N$43,MATCH($A115,SR_mission_minutes!$A$2:$A$43)),"-")</f>
        <v>0</v>
      </c>
      <c r="O115" s="105">
        <f>IFERROR(INDEX(lifespans_all!O$80:O$126,MATCH($A115,lifespans_all!$A$80:$A$126,0))*INDEX(SR_mission_minutes!O$2:O$43,MATCH($A115,SR_mission_minutes!$A$2:$A$43)),"-")</f>
        <v>0</v>
      </c>
      <c r="P115" s="105">
        <f>IFERROR(INDEX(lifespans_all!P$80:P$126,MATCH($A115,lifespans_all!$A$80:$A$126,0))*INDEX(SR_mission_minutes!P$2:P$43,MATCH($A115,SR_mission_minutes!$A$2:$A$43)),"-")</f>
        <v>0</v>
      </c>
      <c r="Q115" s="105">
        <f>IFERROR(INDEX(lifespans_all!Q$80:Q$126,MATCH($A115,lifespans_all!$A$80:$A$126,0))*INDEX(SR_mission_minutes!Q$2:Q$43,MATCH($A115,SR_mission_minutes!$A$2:$A$43)),"-")</f>
        <v>0</v>
      </c>
      <c r="R115" s="105">
        <f>IFERROR(INDEX(lifespans_all!R$80:R$126,MATCH($A115,lifespans_all!$A$80:$A$126,0))*INDEX(SR_mission_minutes!R$2:R$43,MATCH($A115,SR_mission_minutes!$A$2:$A$43)),"-")</f>
        <v>0</v>
      </c>
      <c r="S115" s="105">
        <f>IFERROR(INDEX(lifespans_all!S$80:S$126,MATCH($A115,lifespans_all!$A$80:$A$126,0))*INDEX(SR_mission_minutes!S$2:S$43,MATCH($A115,SR_mission_minutes!$A$2:$A$43)),"-")</f>
        <v>0</v>
      </c>
      <c r="T115" s="105">
        <f>IFERROR(INDEX(lifespans_all!T$80:T$126,MATCH($A115,lifespans_all!$A$80:$A$126,0))*INDEX(SR_mission_minutes!T$2:T$43,MATCH($A115,SR_mission_minutes!$A$2:$A$43)),"-")</f>
        <v>0</v>
      </c>
      <c r="U115" s="105">
        <f>IFERROR(INDEX(lifespans_all!U$80:U$126,MATCH($A115,lifespans_all!$A$80:$A$126,0))*INDEX(SR_mission_minutes!U$2:U$43,MATCH($A115,SR_mission_minutes!$A$2:$A$43)),"-")</f>
        <v>0</v>
      </c>
      <c r="V115" s="105">
        <f>IFERROR(INDEX(lifespans_all!V$80:V$126,MATCH($A115,lifespans_all!$A$80:$A$126,0))*INDEX(SR_mission_minutes!V$2:V$43,MATCH($A115,SR_mission_minutes!$A$2:$A$43)),"-")</f>
        <v>0</v>
      </c>
    </row>
    <row r="116" spans="1:22" x14ac:dyDescent="0.25">
      <c r="A116" s="29" t="s">
        <v>39</v>
      </c>
      <c r="B116" s="29" t="s">
        <v>41</v>
      </c>
      <c r="C116" s="105">
        <f>IFERROR(INDEX(lifespans_all!C$80:C$126,MATCH($A116,lifespans_all!$A$80:$A$126,0))*INDEX(SR_mission_minutes!C$2:C$43,MATCH($A116,SR_mission_minutes!$A$2:$A$43)),"-")</f>
        <v>33739.333333333336</v>
      </c>
      <c r="D116" s="105">
        <f>IFERROR(INDEX(lifespans_all!D$80:D$126,MATCH($A116,lifespans_all!$A$80:$A$126,0))*INDEX(SR_mission_minutes!D$2:D$43,MATCH($A116,SR_mission_minutes!$A$2:$A$43)),"-")</f>
        <v>33739.333333333336</v>
      </c>
      <c r="E116" s="105">
        <f>IFERROR(INDEX(lifespans_all!E$80:E$126,MATCH($A116,lifespans_all!$A$80:$A$126,0))*INDEX(SR_mission_minutes!E$2:E$43,MATCH($A116,SR_mission_minutes!$A$2:$A$43)),"-")</f>
        <v>33739.333333333336</v>
      </c>
      <c r="F116" s="105">
        <f>IFERROR(INDEX(lifespans_all!F$80:F$126,MATCH($A116,lifespans_all!$A$80:$A$126,0))*INDEX(SR_mission_minutes!F$2:F$43,MATCH($A116,SR_mission_minutes!$A$2:$A$43)),"-")</f>
        <v>33739.333333333336</v>
      </c>
      <c r="G116" s="105">
        <f>IFERROR(INDEX(lifespans_all!G$80:G$126,MATCH($A116,lifespans_all!$A$80:$A$126,0))*INDEX(SR_mission_minutes!G$2:G$43,MATCH($A116,SR_mission_minutes!$A$2:$A$43)),"-")</f>
        <v>0</v>
      </c>
      <c r="H116" s="105">
        <f>IFERROR(INDEX(lifespans_all!H$80:H$126,MATCH($A116,lifespans_all!$A$80:$A$126,0))*INDEX(SR_mission_minutes!H$2:H$43,MATCH($A116,SR_mission_minutes!$A$2:$A$43)),"-")</f>
        <v>0</v>
      </c>
      <c r="I116" s="105">
        <f>IFERROR(INDEX(lifespans_all!I$80:I$126,MATCH($A116,lifespans_all!$A$80:$A$126,0))*INDEX(SR_mission_minutes!I$2:I$43,MATCH($A116,SR_mission_minutes!$A$2:$A$43)),"-")</f>
        <v>0</v>
      </c>
      <c r="J116" s="105">
        <f>IFERROR(INDEX(lifespans_all!J$80:J$126,MATCH($A116,lifespans_all!$A$80:$A$126,0))*INDEX(SR_mission_minutes!J$2:J$43,MATCH($A116,SR_mission_minutes!$A$2:$A$43)),"-")</f>
        <v>0</v>
      </c>
      <c r="K116" s="105">
        <f>IFERROR(INDEX(lifespans_all!K$80:K$126,MATCH($A116,lifespans_all!$A$80:$A$126,0))*INDEX(SR_mission_minutes!K$2:K$43,MATCH($A116,SR_mission_minutes!$A$2:$A$43)),"-")</f>
        <v>0</v>
      </c>
      <c r="L116" s="105">
        <f>IFERROR(INDEX(lifespans_all!L$80:L$126,MATCH($A116,lifespans_all!$A$80:$A$126,0))*INDEX(SR_mission_minutes!L$2:L$43,MATCH($A116,SR_mission_minutes!$A$2:$A$43)),"-")</f>
        <v>0</v>
      </c>
      <c r="M116" s="105">
        <f>IFERROR(INDEX(lifespans_all!M$80:M$126,MATCH($A116,lifespans_all!$A$80:$A$126,0))*INDEX(SR_mission_minutes!M$2:M$43,MATCH($A116,SR_mission_minutes!$A$2:$A$43)),"-")</f>
        <v>0</v>
      </c>
      <c r="N116" s="105">
        <f>IFERROR(INDEX(lifespans_all!N$80:N$126,MATCH($A116,lifespans_all!$A$80:$A$126,0))*INDEX(SR_mission_minutes!N$2:N$43,MATCH($A116,SR_mission_minutes!$A$2:$A$43)),"-")</f>
        <v>0</v>
      </c>
      <c r="O116" s="105">
        <f>IFERROR(INDEX(lifespans_all!O$80:O$126,MATCH($A116,lifespans_all!$A$80:$A$126,0))*INDEX(SR_mission_minutes!O$2:O$43,MATCH($A116,SR_mission_minutes!$A$2:$A$43)),"-")</f>
        <v>0</v>
      </c>
      <c r="P116" s="105">
        <f>IFERROR(INDEX(lifespans_all!P$80:P$126,MATCH($A116,lifespans_all!$A$80:$A$126,0))*INDEX(SR_mission_minutes!P$2:P$43,MATCH($A116,SR_mission_minutes!$A$2:$A$43)),"-")</f>
        <v>0</v>
      </c>
      <c r="Q116" s="105">
        <f>IFERROR(INDEX(lifespans_all!Q$80:Q$126,MATCH($A116,lifespans_all!$A$80:$A$126,0))*INDEX(SR_mission_minutes!Q$2:Q$43,MATCH($A116,SR_mission_minutes!$A$2:$A$43)),"-")</f>
        <v>0</v>
      </c>
      <c r="R116" s="105">
        <f>IFERROR(INDEX(lifespans_all!R$80:R$126,MATCH($A116,lifespans_all!$A$80:$A$126,0))*INDEX(SR_mission_minutes!R$2:R$43,MATCH($A116,SR_mission_minutes!$A$2:$A$43)),"-")</f>
        <v>0</v>
      </c>
      <c r="S116" s="105">
        <f>IFERROR(INDEX(lifespans_all!S$80:S$126,MATCH($A116,lifespans_all!$A$80:$A$126,0))*INDEX(SR_mission_minutes!S$2:S$43,MATCH($A116,SR_mission_minutes!$A$2:$A$43)),"-")</f>
        <v>0</v>
      </c>
      <c r="T116" s="105">
        <f>IFERROR(INDEX(lifespans_all!T$80:T$126,MATCH($A116,lifespans_all!$A$80:$A$126,0))*INDEX(SR_mission_minutes!T$2:T$43,MATCH($A116,SR_mission_minutes!$A$2:$A$43)),"-")</f>
        <v>0</v>
      </c>
      <c r="U116" s="105">
        <f>IFERROR(INDEX(lifespans_all!U$80:U$126,MATCH($A116,lifespans_all!$A$80:$A$126,0))*INDEX(SR_mission_minutes!U$2:U$43,MATCH($A116,SR_mission_minutes!$A$2:$A$43)),"-")</f>
        <v>0</v>
      </c>
      <c r="V116" s="105">
        <f>IFERROR(INDEX(lifespans_all!V$80:V$126,MATCH($A116,lifespans_all!$A$80:$A$126,0))*INDEX(SR_mission_minutes!V$2:V$43,MATCH($A116,SR_mission_minutes!$A$2:$A$43)),"-")</f>
        <v>0</v>
      </c>
    </row>
    <row r="117" spans="1:22" x14ac:dyDescent="0.25">
      <c r="A117" s="21" t="s">
        <v>88</v>
      </c>
      <c r="B117" s="20" t="s">
        <v>43</v>
      </c>
      <c r="C117" s="105" t="str">
        <f>IFERROR((INDEX(lifespans_all!C$127:C$134,MATCH($B117,lifespans_all!$B$127:$B$134,0))*SR_mission_minutes!C44)*POWER(1+(#REF!/100),C$1-2021),"-")</f>
        <v>-</v>
      </c>
      <c r="D117" s="105" t="str">
        <f>IFERROR((INDEX(lifespans_all!D$127:D$134,MATCH($B117,lifespans_all!$B$127:$B$134,0))*SR_mission_minutes!D44)*POWER(1+(#REF!/100),D$1-2021),"-")</f>
        <v>-</v>
      </c>
      <c r="E117" s="105" t="str">
        <f>IFERROR((INDEX(lifespans_all!E$127:E$134,MATCH($B117,lifespans_all!$B$127:$B$134,0))*SR_mission_minutes!E44)*POWER(1+(#REF!/100),E$1-2021),"-")</f>
        <v>-</v>
      </c>
      <c r="F117" s="105" t="str">
        <f>IFERROR((INDEX(lifespans_all!F$127:F$134,MATCH($B117,lifespans_all!$B$127:$B$134,0))*SR_mission_minutes!F44)*POWER(1+(#REF!/100),F$1-2021),"-")</f>
        <v>-</v>
      </c>
      <c r="G117" s="105" t="str">
        <f>IFERROR((INDEX(lifespans_all!G$127:G$134,MATCH($B117,lifespans_all!$B$127:$B$134,0))*SR_mission_minutes!G44)*POWER(1+(#REF!/100),G$1-2021),"-")</f>
        <v>-</v>
      </c>
      <c r="H117" s="105" t="str">
        <f>IFERROR((INDEX(lifespans_all!H$127:H$134,MATCH($B117,lifespans_all!$B$127:$B$134,0))*SR_mission_minutes!H44)*POWER(1+(#REF!/100),H$1-2021),"-")</f>
        <v>-</v>
      </c>
      <c r="I117" s="105" t="str">
        <f>IFERROR((INDEX(lifespans_all!I$127:I$134,MATCH($B117,lifespans_all!$B$127:$B$134,0))*SR_mission_minutes!I44)*POWER(1+(#REF!/100),I$1-2021),"-")</f>
        <v>-</v>
      </c>
      <c r="J117" s="105" t="str">
        <f>IFERROR((INDEX(lifespans_all!J$127:J$134,MATCH($B117,lifespans_all!$B$127:$B$134,0))*SR_mission_minutes!J44)*POWER(1+(#REF!/100),J$1-2021),"-")</f>
        <v>-</v>
      </c>
      <c r="K117" s="105" t="str">
        <f>IFERROR((INDEX(lifespans_all!K$127:K$134,MATCH($B117,lifespans_all!$B$127:$B$134,0))*SR_mission_minutes!K44)*POWER(1+(#REF!/100),K$1-2021),"-")</f>
        <v>-</v>
      </c>
      <c r="L117" s="105" t="str">
        <f>IFERROR((INDEX(lifespans_all!L$127:L$134,MATCH($B117,lifespans_all!$B$127:$B$134,0))*SR_mission_minutes!L44)*POWER(1+(#REF!/100),L$1-2021),"-")</f>
        <v>-</v>
      </c>
      <c r="M117" s="105" t="str">
        <f>IFERROR((INDEX(lifespans_all!M$127:M$134,MATCH($B117,lifespans_all!$B$127:$B$134,0))*SR_mission_minutes!M44)*POWER(1+(#REF!/100),M$1-2021),"-")</f>
        <v>-</v>
      </c>
      <c r="N117" s="105" t="str">
        <f>IFERROR((INDEX(lifespans_all!N$127:N$134,MATCH($B117,lifespans_all!$B$127:$B$134,0))*SR_mission_minutes!N44)*POWER(1+(#REF!/100),N$1-2021),"-")</f>
        <v>-</v>
      </c>
      <c r="O117" s="105" t="str">
        <f>IFERROR((INDEX(lifespans_all!O$127:O$134,MATCH($B117,lifespans_all!$B$127:$B$134,0))*SR_mission_minutes!O44)*POWER(1+(#REF!/100),O$1-2021),"-")</f>
        <v>-</v>
      </c>
      <c r="P117" s="105" t="str">
        <f>IFERROR((INDEX(lifespans_all!P$127:P$134,MATCH($B117,lifespans_all!$B$127:$B$134,0))*SR_mission_minutes!P44)*POWER(1+(#REF!/100),P$1-2021),"-")</f>
        <v>-</v>
      </c>
      <c r="Q117" s="105" t="str">
        <f>IFERROR((INDEX(lifespans_all!Q$127:Q$134,MATCH($B117,lifespans_all!$B$127:$B$134,0))*SR_mission_minutes!Q44)*POWER(1+(#REF!/100),Q$1-2021),"-")</f>
        <v>-</v>
      </c>
      <c r="R117" s="105" t="str">
        <f>IFERROR((INDEX(lifespans_all!R$127:R$134,MATCH($B117,lifespans_all!$B$127:$B$134,0))*SR_mission_minutes!R44)*POWER(1+(#REF!/100),R$1-2021),"-")</f>
        <v>-</v>
      </c>
      <c r="S117" s="105" t="str">
        <f>IFERROR((INDEX(lifespans_all!S$127:S$134,MATCH($B117,lifespans_all!$B$127:$B$134,0))*SR_mission_minutes!S44)*POWER(1+(#REF!/100),S$1-2021),"-")</f>
        <v>-</v>
      </c>
      <c r="T117" s="105" t="str">
        <f>IFERROR((INDEX(lifespans_all!T$127:T$134,MATCH($B117,lifespans_all!$B$127:$B$134,0))*SR_mission_minutes!T44)*POWER(1+(#REF!/100),T$1-2021),"-")</f>
        <v>-</v>
      </c>
      <c r="U117" s="105" t="str">
        <f>IFERROR((INDEX(lifespans_all!U$127:U$134,MATCH($B117,lifespans_all!$B$127:$B$134,0))*SR_mission_minutes!U44)*POWER(1+(#REF!/100),U$1-2021),"-")</f>
        <v>-</v>
      </c>
      <c r="V117" s="105" t="str">
        <f>IFERROR((INDEX(lifespans_all!V$127:V$134,MATCH($B117,lifespans_all!$B$127:$B$134,0))*SR_mission_minutes!V44)*POWER(1+(#REF!/100),V$1-2021),"-")</f>
        <v>-</v>
      </c>
    </row>
    <row r="118" spans="1:22" x14ac:dyDescent="0.25">
      <c r="A118" s="21" t="s">
        <v>88</v>
      </c>
      <c r="B118" s="20" t="s">
        <v>41</v>
      </c>
      <c r="C118" s="105" t="str">
        <f>IFERROR((INDEX(lifespans_all!C$127:C$134,MATCH($B118,lifespans_all!$B$127:$B$134,0))*SR_mission_minutes!C45)*POWER(1+(#REF!/100),C$1-2021),"-")</f>
        <v>-</v>
      </c>
      <c r="D118" s="105" t="str">
        <f>IFERROR((INDEX(lifespans_all!D$127:D$134,MATCH($B118,lifespans_all!$B$127:$B$134,0))*SR_mission_minutes!D45)*POWER(1+(#REF!/100),D$1-2021),"-")</f>
        <v>-</v>
      </c>
      <c r="E118" s="105" t="str">
        <f>IFERROR((INDEX(lifespans_all!E$127:E$134,MATCH($B118,lifespans_all!$B$127:$B$134,0))*SR_mission_minutes!E45)*POWER(1+(#REF!/100),E$1-2021),"-")</f>
        <v>-</v>
      </c>
      <c r="F118" s="105" t="str">
        <f>IFERROR((INDEX(lifespans_all!F$127:F$134,MATCH($B118,lifespans_all!$B$127:$B$134,0))*SR_mission_minutes!F45)*POWER(1+(#REF!/100),F$1-2021),"-")</f>
        <v>-</v>
      </c>
      <c r="G118" s="105" t="str">
        <f>IFERROR((INDEX(lifespans_all!G$127:G$134,MATCH($B118,lifespans_all!$B$127:$B$134,0))*SR_mission_minutes!G45)*POWER(1+(#REF!/100),G$1-2021),"-")</f>
        <v>-</v>
      </c>
      <c r="H118" s="105" t="str">
        <f>IFERROR((INDEX(lifespans_all!H$127:H$134,MATCH($B118,lifespans_all!$B$127:$B$134,0))*SR_mission_minutes!H45)*POWER(1+(#REF!/100),H$1-2021),"-")</f>
        <v>-</v>
      </c>
      <c r="I118" s="105" t="str">
        <f>IFERROR((INDEX(lifespans_all!I$127:I$134,MATCH($B118,lifespans_all!$B$127:$B$134,0))*SR_mission_minutes!I45)*POWER(1+(#REF!/100),I$1-2021),"-")</f>
        <v>-</v>
      </c>
      <c r="J118" s="105" t="str">
        <f>IFERROR((INDEX(lifespans_all!J$127:J$134,MATCH($B118,lifespans_all!$B$127:$B$134,0))*SR_mission_minutes!J45)*POWER(1+(#REF!/100),J$1-2021),"-")</f>
        <v>-</v>
      </c>
      <c r="K118" s="105" t="str">
        <f>IFERROR((INDEX(lifespans_all!K$127:K$134,MATCH($B118,lifespans_all!$B$127:$B$134,0))*SR_mission_minutes!K45)*POWER(1+(#REF!/100),K$1-2021),"-")</f>
        <v>-</v>
      </c>
      <c r="L118" s="105" t="str">
        <f>IFERROR((INDEX(lifespans_all!L$127:L$134,MATCH($B118,lifespans_all!$B$127:$B$134,0))*SR_mission_minutes!L45)*POWER(1+(#REF!/100),L$1-2021),"-")</f>
        <v>-</v>
      </c>
      <c r="M118" s="105" t="str">
        <f>IFERROR((INDEX(lifespans_all!M$127:M$134,MATCH($B118,lifespans_all!$B$127:$B$134,0))*SR_mission_minutes!M45)*POWER(1+(#REF!/100),M$1-2021),"-")</f>
        <v>-</v>
      </c>
      <c r="N118" s="105" t="str">
        <f>IFERROR((INDEX(lifespans_all!N$127:N$134,MATCH($B118,lifespans_all!$B$127:$B$134,0))*SR_mission_minutes!N45)*POWER(1+(#REF!/100),N$1-2021),"-")</f>
        <v>-</v>
      </c>
      <c r="O118" s="105" t="str">
        <f>IFERROR((INDEX(lifespans_all!O$127:O$134,MATCH($B118,lifespans_all!$B$127:$B$134,0))*SR_mission_minutes!O45)*POWER(1+(#REF!/100),O$1-2021),"-")</f>
        <v>-</v>
      </c>
      <c r="P118" s="105" t="str">
        <f>IFERROR((INDEX(lifespans_all!P$127:P$134,MATCH($B118,lifespans_all!$B$127:$B$134,0))*SR_mission_minutes!P45)*POWER(1+(#REF!/100),P$1-2021),"-")</f>
        <v>-</v>
      </c>
      <c r="Q118" s="105" t="str">
        <f>IFERROR((INDEX(lifespans_all!Q$127:Q$134,MATCH($B118,lifespans_all!$B$127:$B$134,0))*SR_mission_minutes!Q45)*POWER(1+(#REF!/100),Q$1-2021),"-")</f>
        <v>-</v>
      </c>
      <c r="R118" s="105" t="str">
        <f>IFERROR((INDEX(lifespans_all!R$127:R$134,MATCH($B118,lifespans_all!$B$127:$B$134,0))*SR_mission_minutes!R45)*POWER(1+(#REF!/100),R$1-2021),"-")</f>
        <v>-</v>
      </c>
      <c r="S118" s="105" t="str">
        <f>IFERROR((INDEX(lifespans_all!S$127:S$134,MATCH($B118,lifespans_all!$B$127:$B$134,0))*SR_mission_minutes!S45)*POWER(1+(#REF!/100),S$1-2021),"-")</f>
        <v>-</v>
      </c>
      <c r="T118" s="105" t="str">
        <f>IFERROR((INDEX(lifespans_all!T$127:T$134,MATCH($B118,lifespans_all!$B$127:$B$134,0))*SR_mission_minutes!T45)*POWER(1+(#REF!/100),T$1-2021),"-")</f>
        <v>-</v>
      </c>
      <c r="U118" s="105" t="str">
        <f>IFERROR((INDEX(lifespans_all!U$127:U$134,MATCH($B118,lifespans_all!$B$127:$B$134,0))*SR_mission_minutes!U45)*POWER(1+(#REF!/100),U$1-2021),"-")</f>
        <v>-</v>
      </c>
      <c r="V118" s="105" t="str">
        <f>IFERROR((INDEX(lifespans_all!V$127:V$134,MATCH($B118,lifespans_all!$B$127:$B$134,0))*SR_mission_minutes!V45)*POWER(1+(#REF!/100),V$1-2021),"-")</f>
        <v>-</v>
      </c>
    </row>
    <row r="119" spans="1:22" x14ac:dyDescent="0.25">
      <c r="A119" s="21" t="s">
        <v>88</v>
      </c>
      <c r="B119" s="20" t="s">
        <v>40</v>
      </c>
      <c r="C119" s="105" t="str">
        <f>IFERROR((INDEX(lifespans_all!C$127:C$134,MATCH($B119,lifespans_all!$B$127:$B$134,0))*SR_mission_minutes!C46)*POWER(1+(#REF!/100),C$1-2021),"-")</f>
        <v>-</v>
      </c>
      <c r="D119" s="105" t="str">
        <f>IFERROR((INDEX(lifespans_all!D$127:D$134,MATCH($B119,lifespans_all!$B$127:$B$134,0))*SR_mission_minutes!D46)*POWER(1+(#REF!/100),D$1-2021),"-")</f>
        <v>-</v>
      </c>
      <c r="E119" s="105" t="str">
        <f>IFERROR((INDEX(lifespans_all!E$127:E$134,MATCH($B119,lifespans_all!$B$127:$B$134,0))*SR_mission_minutes!E46)*POWER(1+(#REF!/100),E$1-2021),"-")</f>
        <v>-</v>
      </c>
      <c r="F119" s="105" t="str">
        <f>IFERROR((INDEX(lifespans_all!F$127:F$134,MATCH($B119,lifespans_all!$B$127:$B$134,0))*SR_mission_minutes!F46)*POWER(1+(#REF!/100),F$1-2021),"-")</f>
        <v>-</v>
      </c>
      <c r="G119" s="105" t="str">
        <f>IFERROR((INDEX(lifespans_all!G$127:G$134,MATCH($B119,lifespans_all!$B$127:$B$134,0))*SR_mission_minutes!G46)*POWER(1+(#REF!/100),G$1-2021),"-")</f>
        <v>-</v>
      </c>
      <c r="H119" s="105" t="str">
        <f>IFERROR((INDEX(lifespans_all!H$127:H$134,MATCH($B119,lifespans_all!$B$127:$B$134,0))*SR_mission_minutes!H46)*POWER(1+(#REF!/100),H$1-2021),"-")</f>
        <v>-</v>
      </c>
      <c r="I119" s="105" t="str">
        <f>IFERROR((INDEX(lifespans_all!I$127:I$134,MATCH($B119,lifespans_all!$B$127:$B$134,0))*SR_mission_minutes!I46)*POWER(1+(#REF!/100),I$1-2021),"-")</f>
        <v>-</v>
      </c>
      <c r="J119" s="105" t="str">
        <f>IFERROR((INDEX(lifespans_all!J$127:J$134,MATCH($B119,lifespans_all!$B$127:$B$134,0))*SR_mission_minutes!J46)*POWER(1+(#REF!/100),J$1-2021),"-")</f>
        <v>-</v>
      </c>
      <c r="K119" s="105" t="str">
        <f>IFERROR((INDEX(lifespans_all!K$127:K$134,MATCH($B119,lifespans_all!$B$127:$B$134,0))*SR_mission_minutes!K46)*POWER(1+(#REF!/100),K$1-2021),"-")</f>
        <v>-</v>
      </c>
      <c r="L119" s="105" t="str">
        <f>IFERROR((INDEX(lifespans_all!L$127:L$134,MATCH($B119,lifespans_all!$B$127:$B$134,0))*SR_mission_minutes!L46)*POWER(1+(#REF!/100),L$1-2021),"-")</f>
        <v>-</v>
      </c>
      <c r="M119" s="105" t="str">
        <f>IFERROR((INDEX(lifespans_all!M$127:M$134,MATCH($B119,lifespans_all!$B$127:$B$134,0))*SR_mission_minutes!M46)*POWER(1+(#REF!/100),M$1-2021),"-")</f>
        <v>-</v>
      </c>
      <c r="N119" s="105" t="str">
        <f>IFERROR((INDEX(lifespans_all!N$127:N$134,MATCH($B119,lifespans_all!$B$127:$B$134,0))*SR_mission_minutes!N46)*POWER(1+(#REF!/100),N$1-2021),"-")</f>
        <v>-</v>
      </c>
      <c r="O119" s="105" t="str">
        <f>IFERROR((INDEX(lifespans_all!O$127:O$134,MATCH($B119,lifespans_all!$B$127:$B$134,0))*SR_mission_minutes!O46)*POWER(1+(#REF!/100),O$1-2021),"-")</f>
        <v>-</v>
      </c>
      <c r="P119" s="105" t="str">
        <f>IFERROR((INDEX(lifespans_all!P$127:P$134,MATCH($B119,lifespans_all!$B$127:$B$134,0))*SR_mission_minutes!P46)*POWER(1+(#REF!/100),P$1-2021),"-")</f>
        <v>-</v>
      </c>
      <c r="Q119" s="105" t="str">
        <f>IFERROR((INDEX(lifespans_all!Q$127:Q$134,MATCH($B119,lifespans_all!$B$127:$B$134,0))*SR_mission_minutes!Q46)*POWER(1+(#REF!/100),Q$1-2021),"-")</f>
        <v>-</v>
      </c>
      <c r="R119" s="105" t="str">
        <f>IFERROR((INDEX(lifespans_all!R$127:R$134,MATCH($B119,lifespans_all!$B$127:$B$134,0))*SR_mission_minutes!R46)*POWER(1+(#REF!/100),R$1-2021),"-")</f>
        <v>-</v>
      </c>
      <c r="S119" s="105" t="str">
        <f>IFERROR((INDEX(lifespans_all!S$127:S$134,MATCH($B119,lifespans_all!$B$127:$B$134,0))*SR_mission_minutes!S46)*POWER(1+(#REF!/100),S$1-2021),"-")</f>
        <v>-</v>
      </c>
      <c r="T119" s="105" t="str">
        <f>IFERROR((INDEX(lifespans_all!T$127:T$134,MATCH($B119,lifespans_all!$B$127:$B$134,0))*SR_mission_minutes!T46)*POWER(1+(#REF!/100),T$1-2021),"-")</f>
        <v>-</v>
      </c>
      <c r="U119" s="105" t="str">
        <f>IFERROR((INDEX(lifespans_all!U$127:U$134,MATCH($B119,lifespans_all!$B$127:$B$134,0))*SR_mission_minutes!U46)*POWER(1+(#REF!/100),U$1-2021),"-")</f>
        <v>-</v>
      </c>
      <c r="V119" s="105" t="str">
        <f>IFERROR((INDEX(lifespans_all!V$127:V$134,MATCH($B119,lifespans_all!$B$127:$B$134,0))*SR_mission_minutes!V46)*POWER(1+(#REF!/100),V$1-2021),"-")</f>
        <v>-</v>
      </c>
    </row>
    <row r="120" spans="1:22" x14ac:dyDescent="0.25">
      <c r="A120" s="21" t="s">
        <v>88</v>
      </c>
      <c r="B120" s="20" t="s">
        <v>80</v>
      </c>
      <c r="C120" s="105" t="str">
        <f>IFERROR((INDEX(lifespans_all!C$127:C$134,MATCH($B120,lifespans_all!$B$127:$B$134,0))*SR_mission_minutes!C47)*POWER(1+(#REF!/100),C$1-2021),"-")</f>
        <v>-</v>
      </c>
      <c r="D120" s="105" t="str">
        <f>IFERROR((INDEX(lifespans_all!D$127:D$134,MATCH($B120,lifespans_all!$B$127:$B$134,0))*SR_mission_minutes!D47)*POWER(1+(#REF!/100),D$1-2021),"-")</f>
        <v>-</v>
      </c>
      <c r="E120" s="105" t="str">
        <f>IFERROR((INDEX(lifespans_all!E$127:E$134,MATCH($B120,lifespans_all!$B$127:$B$134,0))*SR_mission_minutes!E47)*POWER(1+(#REF!/100),E$1-2021),"-")</f>
        <v>-</v>
      </c>
      <c r="F120" s="105" t="str">
        <f>IFERROR((INDEX(lifespans_all!F$127:F$134,MATCH($B120,lifespans_all!$B$127:$B$134,0))*SR_mission_minutes!F47)*POWER(1+(#REF!/100),F$1-2021),"-")</f>
        <v>-</v>
      </c>
      <c r="G120" s="105" t="str">
        <f>IFERROR((INDEX(lifespans_all!G$127:G$134,MATCH($B120,lifespans_all!$B$127:$B$134,0))*SR_mission_minutes!G47)*POWER(1+(#REF!/100),G$1-2021),"-")</f>
        <v>-</v>
      </c>
      <c r="H120" s="105" t="str">
        <f>IFERROR((INDEX(lifespans_all!H$127:H$134,MATCH($B120,lifespans_all!$B$127:$B$134,0))*SR_mission_minutes!H47)*POWER(1+(#REF!/100),H$1-2021),"-")</f>
        <v>-</v>
      </c>
      <c r="I120" s="105" t="str">
        <f>IFERROR((INDEX(lifespans_all!I$127:I$134,MATCH($B120,lifespans_all!$B$127:$B$134,0))*SR_mission_minutes!I47)*POWER(1+(#REF!/100),I$1-2021),"-")</f>
        <v>-</v>
      </c>
      <c r="J120" s="105" t="str">
        <f>IFERROR((INDEX(lifespans_all!J$127:J$134,MATCH($B120,lifespans_all!$B$127:$B$134,0))*SR_mission_minutes!J47)*POWER(1+(#REF!/100),J$1-2021),"-")</f>
        <v>-</v>
      </c>
      <c r="K120" s="105" t="str">
        <f>IFERROR((INDEX(lifespans_all!K$127:K$134,MATCH($B120,lifespans_all!$B$127:$B$134,0))*SR_mission_minutes!K47)*POWER(1+(#REF!/100),K$1-2021),"-")</f>
        <v>-</v>
      </c>
      <c r="L120" s="105" t="str">
        <f>IFERROR((INDEX(lifespans_all!L$127:L$134,MATCH($B120,lifespans_all!$B$127:$B$134,0))*SR_mission_minutes!L47)*POWER(1+(#REF!/100),L$1-2021),"-")</f>
        <v>-</v>
      </c>
      <c r="M120" s="105" t="str">
        <f>IFERROR((INDEX(lifespans_all!M$127:M$134,MATCH($B120,lifespans_all!$B$127:$B$134,0))*SR_mission_minutes!M47)*POWER(1+(#REF!/100),M$1-2021),"-")</f>
        <v>-</v>
      </c>
      <c r="N120" s="105" t="str">
        <f>IFERROR((INDEX(lifespans_all!N$127:N$134,MATCH($B120,lifespans_all!$B$127:$B$134,0))*SR_mission_minutes!N47)*POWER(1+(#REF!/100),N$1-2021),"-")</f>
        <v>-</v>
      </c>
      <c r="O120" s="105" t="str">
        <f>IFERROR((INDEX(lifespans_all!O$127:O$134,MATCH($B120,lifespans_all!$B$127:$B$134,0))*SR_mission_minutes!O47)*POWER(1+(#REF!/100),O$1-2021),"-")</f>
        <v>-</v>
      </c>
      <c r="P120" s="105" t="str">
        <f>IFERROR((INDEX(lifespans_all!P$127:P$134,MATCH($B120,lifespans_all!$B$127:$B$134,0))*SR_mission_minutes!P47)*POWER(1+(#REF!/100),P$1-2021),"-")</f>
        <v>-</v>
      </c>
      <c r="Q120" s="105" t="str">
        <f>IFERROR((INDEX(lifespans_all!Q$127:Q$134,MATCH($B120,lifespans_all!$B$127:$B$134,0))*SR_mission_minutes!Q47)*POWER(1+(#REF!/100),Q$1-2021),"-")</f>
        <v>-</v>
      </c>
      <c r="R120" s="105" t="str">
        <f>IFERROR((INDEX(lifespans_all!R$127:R$134,MATCH($B120,lifespans_all!$B$127:$B$134,0))*SR_mission_minutes!R47)*POWER(1+(#REF!/100),R$1-2021),"-")</f>
        <v>-</v>
      </c>
      <c r="S120" s="105" t="str">
        <f>IFERROR((INDEX(lifespans_all!S$127:S$134,MATCH($B120,lifespans_all!$B$127:$B$134,0))*SR_mission_minutes!S47)*POWER(1+(#REF!/100),S$1-2021),"-")</f>
        <v>-</v>
      </c>
      <c r="T120" s="105" t="str">
        <f>IFERROR((INDEX(lifespans_all!T$127:T$134,MATCH($B120,lifespans_all!$B$127:$B$134,0))*SR_mission_minutes!T47)*POWER(1+(#REF!/100),T$1-2021),"-")</f>
        <v>-</v>
      </c>
      <c r="U120" s="105" t="str">
        <f>IFERROR((INDEX(lifespans_all!U$127:U$134,MATCH($B120,lifespans_all!$B$127:$B$134,0))*SR_mission_minutes!U47)*POWER(1+(#REF!/100),U$1-2021),"-")</f>
        <v>-</v>
      </c>
      <c r="V120" s="105" t="str">
        <f>IFERROR((INDEX(lifespans_all!V$127:V$134,MATCH($B120,lifespans_all!$B$127:$B$134,0))*SR_mission_minutes!V47)*POWER(1+(#REF!/100),V$1-2021),"-")</f>
        <v>-</v>
      </c>
    </row>
    <row r="121" spans="1:22" x14ac:dyDescent="0.25">
      <c r="A121" s="21" t="s">
        <v>88</v>
      </c>
      <c r="B121" s="20" t="s">
        <v>44</v>
      </c>
      <c r="C121" s="105" t="str">
        <f>IFERROR((INDEX(lifespans_all!C$127:C$134,MATCH($B121,lifespans_all!$B$127:$B$134,0))*SR_mission_minutes!C48)*POWER(1+(#REF!/100),C$1-2021),"-")</f>
        <v>-</v>
      </c>
      <c r="D121" s="105" t="str">
        <f>IFERROR((INDEX(lifespans_all!D$127:D$134,MATCH($B121,lifespans_all!$B$127:$B$134,0))*SR_mission_minutes!D48)*POWER(1+(#REF!/100),D$1-2021),"-")</f>
        <v>-</v>
      </c>
      <c r="E121" s="105" t="str">
        <f>IFERROR((INDEX(lifespans_all!E$127:E$134,MATCH($B121,lifespans_all!$B$127:$B$134,0))*SR_mission_minutes!E48)*POWER(1+(#REF!/100),E$1-2021),"-")</f>
        <v>-</v>
      </c>
      <c r="F121" s="105" t="str">
        <f>IFERROR((INDEX(lifespans_all!F$127:F$134,MATCH($B121,lifespans_all!$B$127:$B$134,0))*SR_mission_minutes!F48)*POWER(1+(#REF!/100),F$1-2021),"-")</f>
        <v>-</v>
      </c>
      <c r="G121" s="105" t="str">
        <f>IFERROR((INDEX(lifespans_all!G$127:G$134,MATCH($B121,lifespans_all!$B$127:$B$134,0))*SR_mission_minutes!G48)*POWER(1+(#REF!/100),G$1-2021),"-")</f>
        <v>-</v>
      </c>
      <c r="H121" s="105" t="str">
        <f>IFERROR((INDEX(lifespans_all!H$127:H$134,MATCH($B121,lifespans_all!$B$127:$B$134,0))*SR_mission_minutes!H48)*POWER(1+(#REF!/100),H$1-2021),"-")</f>
        <v>-</v>
      </c>
      <c r="I121" s="105" t="str">
        <f>IFERROR((INDEX(lifespans_all!I$127:I$134,MATCH($B121,lifespans_all!$B$127:$B$134,0))*SR_mission_minutes!I48)*POWER(1+(#REF!/100),I$1-2021),"-")</f>
        <v>-</v>
      </c>
      <c r="J121" s="105" t="str">
        <f>IFERROR((INDEX(lifespans_all!J$127:J$134,MATCH($B121,lifespans_all!$B$127:$B$134,0))*SR_mission_minutes!J48)*POWER(1+(#REF!/100),J$1-2021),"-")</f>
        <v>-</v>
      </c>
      <c r="K121" s="105" t="str">
        <f>IFERROR((INDEX(lifespans_all!K$127:K$134,MATCH($B121,lifespans_all!$B$127:$B$134,0))*SR_mission_minutes!K48)*POWER(1+(#REF!/100),K$1-2021),"-")</f>
        <v>-</v>
      </c>
      <c r="L121" s="105" t="str">
        <f>IFERROR((INDEX(lifespans_all!L$127:L$134,MATCH($B121,lifespans_all!$B$127:$B$134,0))*SR_mission_minutes!L48)*POWER(1+(#REF!/100),L$1-2021),"-")</f>
        <v>-</v>
      </c>
      <c r="M121" s="105" t="str">
        <f>IFERROR((INDEX(lifespans_all!M$127:M$134,MATCH($B121,lifespans_all!$B$127:$B$134,0))*SR_mission_minutes!M48)*POWER(1+(#REF!/100),M$1-2021),"-")</f>
        <v>-</v>
      </c>
      <c r="N121" s="105" t="str">
        <f>IFERROR((INDEX(lifespans_all!N$127:N$134,MATCH($B121,lifespans_all!$B$127:$B$134,0))*SR_mission_minutes!N48)*POWER(1+(#REF!/100),N$1-2021),"-")</f>
        <v>-</v>
      </c>
      <c r="O121" s="105" t="str">
        <f>IFERROR((INDEX(lifespans_all!O$127:O$134,MATCH($B121,lifespans_all!$B$127:$B$134,0))*SR_mission_minutes!O48)*POWER(1+(#REF!/100),O$1-2021),"-")</f>
        <v>-</v>
      </c>
      <c r="P121" s="105" t="str">
        <f>IFERROR((INDEX(lifespans_all!P$127:P$134,MATCH($B121,lifespans_all!$B$127:$B$134,0))*SR_mission_minutes!P48)*POWER(1+(#REF!/100),P$1-2021),"-")</f>
        <v>-</v>
      </c>
      <c r="Q121" s="105" t="str">
        <f>IFERROR((INDEX(lifespans_all!Q$127:Q$134,MATCH($B121,lifespans_all!$B$127:$B$134,0))*SR_mission_minutes!Q48)*POWER(1+(#REF!/100),Q$1-2021),"-")</f>
        <v>-</v>
      </c>
      <c r="R121" s="105" t="str">
        <f>IFERROR((INDEX(lifespans_all!R$127:R$134,MATCH($B121,lifespans_all!$B$127:$B$134,0))*SR_mission_minutes!R48)*POWER(1+(#REF!/100),R$1-2021),"-")</f>
        <v>-</v>
      </c>
      <c r="S121" s="105" t="str">
        <f>IFERROR((INDEX(lifespans_all!S$127:S$134,MATCH($B121,lifespans_all!$B$127:$B$134,0))*SR_mission_minutes!S48)*POWER(1+(#REF!/100),S$1-2021),"-")</f>
        <v>-</v>
      </c>
      <c r="T121" s="105" t="str">
        <f>IFERROR((INDEX(lifespans_all!T$127:T$134,MATCH($B121,lifespans_all!$B$127:$B$134,0))*SR_mission_minutes!T48)*POWER(1+(#REF!/100),T$1-2021),"-")</f>
        <v>-</v>
      </c>
      <c r="U121" s="105" t="str">
        <f>IFERROR((INDEX(lifespans_all!U$127:U$134,MATCH($B121,lifespans_all!$B$127:$B$134,0))*SR_mission_minutes!U48)*POWER(1+(#REF!/100),U$1-2021),"-")</f>
        <v>-</v>
      </c>
      <c r="V121" s="105" t="str">
        <f>IFERROR((INDEX(lifespans_all!V$127:V$134,MATCH($B121,lifespans_all!$B$127:$B$134,0))*SR_mission_minutes!V48)*POWER(1+(#REF!/100),V$1-2021),"-")</f>
        <v>-</v>
      </c>
    </row>
    <row r="122" spans="1:22" x14ac:dyDescent="0.25">
      <c r="A122" s="21" t="s">
        <v>88</v>
      </c>
      <c r="B122" s="20" t="s">
        <v>81</v>
      </c>
      <c r="C122" s="105" t="str">
        <f>IFERROR((INDEX(lifespans_all!C$127:C$134,MATCH($B122,lifespans_all!$B$127:$B$134,0))*SR_mission_minutes!C49)*POWER(1+(#REF!/100),C$1-2021),"-")</f>
        <v>-</v>
      </c>
      <c r="D122" s="105" t="str">
        <f>IFERROR((INDEX(lifespans_all!D$127:D$134,MATCH($B122,lifespans_all!$B$127:$B$134,0))*SR_mission_minutes!D49)*POWER(1+(#REF!/100),D$1-2021),"-")</f>
        <v>-</v>
      </c>
      <c r="E122" s="105" t="str">
        <f>IFERROR((INDEX(lifespans_all!E$127:E$134,MATCH($B122,lifespans_all!$B$127:$B$134,0))*SR_mission_minutes!E49)*POWER(1+(#REF!/100),E$1-2021),"-")</f>
        <v>-</v>
      </c>
      <c r="F122" s="105" t="str">
        <f>IFERROR((INDEX(lifespans_all!F$127:F$134,MATCH($B122,lifespans_all!$B$127:$B$134,0))*SR_mission_minutes!F49)*POWER(1+(#REF!/100),F$1-2021),"-")</f>
        <v>-</v>
      </c>
      <c r="G122" s="105" t="str">
        <f>IFERROR((INDEX(lifespans_all!G$127:G$134,MATCH($B122,lifespans_all!$B$127:$B$134,0))*SR_mission_minutes!G49)*POWER(1+(#REF!/100),G$1-2021),"-")</f>
        <v>-</v>
      </c>
      <c r="H122" s="105" t="str">
        <f>IFERROR((INDEX(lifespans_all!H$127:H$134,MATCH($B122,lifespans_all!$B$127:$B$134,0))*SR_mission_minutes!H49)*POWER(1+(#REF!/100),H$1-2021),"-")</f>
        <v>-</v>
      </c>
      <c r="I122" s="105" t="str">
        <f>IFERROR((INDEX(lifespans_all!I$127:I$134,MATCH($B122,lifespans_all!$B$127:$B$134,0))*SR_mission_minutes!I49)*POWER(1+(#REF!/100),I$1-2021),"-")</f>
        <v>-</v>
      </c>
      <c r="J122" s="105" t="str">
        <f>IFERROR((INDEX(lifespans_all!J$127:J$134,MATCH($B122,lifespans_all!$B$127:$B$134,0))*SR_mission_minutes!J49)*POWER(1+(#REF!/100),J$1-2021),"-")</f>
        <v>-</v>
      </c>
      <c r="K122" s="105" t="str">
        <f>IFERROR((INDEX(lifespans_all!K$127:K$134,MATCH($B122,lifespans_all!$B$127:$B$134,0))*SR_mission_minutes!K49)*POWER(1+(#REF!/100),K$1-2021),"-")</f>
        <v>-</v>
      </c>
      <c r="L122" s="105" t="str">
        <f>IFERROR((INDEX(lifespans_all!L$127:L$134,MATCH($B122,lifespans_all!$B$127:$B$134,0))*SR_mission_minutes!L49)*POWER(1+(#REF!/100),L$1-2021),"-")</f>
        <v>-</v>
      </c>
      <c r="M122" s="105" t="str">
        <f>IFERROR((INDEX(lifespans_all!M$127:M$134,MATCH($B122,lifespans_all!$B$127:$B$134,0))*SR_mission_minutes!M49)*POWER(1+(#REF!/100),M$1-2021),"-")</f>
        <v>-</v>
      </c>
      <c r="N122" s="105" t="str">
        <f>IFERROR((INDEX(lifespans_all!N$127:N$134,MATCH($B122,lifespans_all!$B$127:$B$134,0))*SR_mission_minutes!N49)*POWER(1+(#REF!/100),N$1-2021),"-")</f>
        <v>-</v>
      </c>
      <c r="O122" s="105" t="str">
        <f>IFERROR((INDEX(lifespans_all!O$127:O$134,MATCH($B122,lifespans_all!$B$127:$B$134,0))*SR_mission_minutes!O49)*POWER(1+(#REF!/100),O$1-2021),"-")</f>
        <v>-</v>
      </c>
      <c r="P122" s="105" t="str">
        <f>IFERROR((INDEX(lifespans_all!P$127:P$134,MATCH($B122,lifespans_all!$B$127:$B$134,0))*SR_mission_minutes!P49)*POWER(1+(#REF!/100),P$1-2021),"-")</f>
        <v>-</v>
      </c>
      <c r="Q122" s="105" t="str">
        <f>IFERROR((INDEX(lifespans_all!Q$127:Q$134,MATCH($B122,lifespans_all!$B$127:$B$134,0))*SR_mission_minutes!Q49)*POWER(1+(#REF!/100),Q$1-2021),"-")</f>
        <v>-</v>
      </c>
      <c r="R122" s="105" t="str">
        <f>IFERROR((INDEX(lifespans_all!R$127:R$134,MATCH($B122,lifespans_all!$B$127:$B$134,0))*SR_mission_minutes!R49)*POWER(1+(#REF!/100),R$1-2021),"-")</f>
        <v>-</v>
      </c>
      <c r="S122" s="105" t="str">
        <f>IFERROR((INDEX(lifespans_all!S$127:S$134,MATCH($B122,lifespans_all!$B$127:$B$134,0))*SR_mission_minutes!S49)*POWER(1+(#REF!/100),S$1-2021),"-")</f>
        <v>-</v>
      </c>
      <c r="T122" s="105" t="str">
        <f>IFERROR((INDEX(lifespans_all!T$127:T$134,MATCH($B122,lifespans_all!$B$127:$B$134,0))*SR_mission_minutes!T49)*POWER(1+(#REF!/100),T$1-2021),"-")</f>
        <v>-</v>
      </c>
      <c r="U122" s="105" t="str">
        <f>IFERROR((INDEX(lifespans_all!U$127:U$134,MATCH($B122,lifespans_all!$B$127:$B$134,0))*SR_mission_minutes!U49)*POWER(1+(#REF!/100),U$1-2021),"-")</f>
        <v>-</v>
      </c>
      <c r="V122" s="105" t="str">
        <f>IFERROR((INDEX(lifespans_all!V$127:V$134,MATCH($B122,lifespans_all!$B$127:$B$134,0))*SR_mission_minutes!V49)*POWER(1+(#REF!/100),V$1-2021),"-")</f>
        <v>-</v>
      </c>
    </row>
    <row r="123" spans="1:22" x14ac:dyDescent="0.25">
      <c r="A123" s="21" t="s">
        <v>88</v>
      </c>
      <c r="B123" s="20" t="s">
        <v>42</v>
      </c>
      <c r="C123" s="105" t="str">
        <f>IFERROR((INDEX(lifespans_all!C$127:C$134,MATCH($B123,lifespans_all!$B$127:$B$134,0))*SR_mission_minutes!C50)*POWER(1+(#REF!/100),C$1-2021),"-")</f>
        <v>-</v>
      </c>
      <c r="D123" s="105" t="str">
        <f>IFERROR((INDEX(lifespans_all!D$127:D$134,MATCH($B123,lifespans_all!$B$127:$B$134,0))*SR_mission_minutes!D50)*POWER(1+(#REF!/100),D$1-2021),"-")</f>
        <v>-</v>
      </c>
      <c r="E123" s="105" t="str">
        <f>IFERROR((INDEX(lifespans_all!E$127:E$134,MATCH($B123,lifespans_all!$B$127:$B$134,0))*SR_mission_minutes!E50)*POWER(1+(#REF!/100),E$1-2021),"-")</f>
        <v>-</v>
      </c>
      <c r="F123" s="105" t="str">
        <f>IFERROR((INDEX(lifespans_all!F$127:F$134,MATCH($B123,lifespans_all!$B$127:$B$134,0))*SR_mission_minutes!F50)*POWER(1+(#REF!/100),F$1-2021),"-")</f>
        <v>-</v>
      </c>
      <c r="G123" s="105" t="str">
        <f>IFERROR((INDEX(lifespans_all!G$127:G$134,MATCH($B123,lifespans_all!$B$127:$B$134,0))*SR_mission_minutes!G50)*POWER(1+(#REF!/100),G$1-2021),"-")</f>
        <v>-</v>
      </c>
      <c r="H123" s="105" t="str">
        <f>IFERROR((INDEX(lifespans_all!H$127:H$134,MATCH($B123,lifespans_all!$B$127:$B$134,0))*SR_mission_minutes!H50)*POWER(1+(#REF!/100),H$1-2021),"-")</f>
        <v>-</v>
      </c>
      <c r="I123" s="105" t="str">
        <f>IFERROR((INDEX(lifespans_all!I$127:I$134,MATCH($B123,lifespans_all!$B$127:$B$134,0))*SR_mission_minutes!I50)*POWER(1+(#REF!/100),I$1-2021),"-")</f>
        <v>-</v>
      </c>
      <c r="J123" s="105" t="str">
        <f>IFERROR((INDEX(lifespans_all!J$127:J$134,MATCH($B123,lifespans_all!$B$127:$B$134,0))*SR_mission_minutes!J50)*POWER(1+(#REF!/100),J$1-2021),"-")</f>
        <v>-</v>
      </c>
      <c r="K123" s="105" t="str">
        <f>IFERROR((INDEX(lifespans_all!K$127:K$134,MATCH($B123,lifespans_all!$B$127:$B$134,0))*SR_mission_minutes!K50)*POWER(1+(#REF!/100),K$1-2021),"-")</f>
        <v>-</v>
      </c>
      <c r="L123" s="105" t="str">
        <f>IFERROR((INDEX(lifespans_all!L$127:L$134,MATCH($B123,lifespans_all!$B$127:$B$134,0))*SR_mission_minutes!L50)*POWER(1+(#REF!/100),L$1-2021),"-")</f>
        <v>-</v>
      </c>
      <c r="M123" s="105" t="str">
        <f>IFERROR((INDEX(lifespans_all!M$127:M$134,MATCH($B123,lifespans_all!$B$127:$B$134,0))*SR_mission_minutes!M50)*POWER(1+(#REF!/100),M$1-2021),"-")</f>
        <v>-</v>
      </c>
      <c r="N123" s="105" t="str">
        <f>IFERROR((INDEX(lifespans_all!N$127:N$134,MATCH($B123,lifespans_all!$B$127:$B$134,0))*SR_mission_minutes!N50)*POWER(1+(#REF!/100),N$1-2021),"-")</f>
        <v>-</v>
      </c>
      <c r="O123" s="105" t="str">
        <f>IFERROR((INDEX(lifespans_all!O$127:O$134,MATCH($B123,lifespans_all!$B$127:$B$134,0))*SR_mission_minutes!O50)*POWER(1+(#REF!/100),O$1-2021),"-")</f>
        <v>-</v>
      </c>
      <c r="P123" s="105" t="str">
        <f>IFERROR((INDEX(lifespans_all!P$127:P$134,MATCH($B123,lifespans_all!$B$127:$B$134,0))*SR_mission_minutes!P50)*POWER(1+(#REF!/100),P$1-2021),"-")</f>
        <v>-</v>
      </c>
      <c r="Q123" s="105" t="str">
        <f>IFERROR((INDEX(lifespans_all!Q$127:Q$134,MATCH($B123,lifespans_all!$B$127:$B$134,0))*SR_mission_minutes!Q50)*POWER(1+(#REF!/100),Q$1-2021),"-")</f>
        <v>-</v>
      </c>
      <c r="R123" s="105" t="str">
        <f>IFERROR((INDEX(lifespans_all!R$127:R$134,MATCH($B123,lifespans_all!$B$127:$B$134,0))*SR_mission_minutes!R50)*POWER(1+(#REF!/100),R$1-2021),"-")</f>
        <v>-</v>
      </c>
      <c r="S123" s="105" t="str">
        <f>IFERROR((INDEX(lifespans_all!S$127:S$134,MATCH($B123,lifespans_all!$B$127:$B$134,0))*SR_mission_minutes!S50)*POWER(1+(#REF!/100),S$1-2021),"-")</f>
        <v>-</v>
      </c>
      <c r="T123" s="105" t="str">
        <f>IFERROR((INDEX(lifespans_all!T$127:T$134,MATCH($B123,lifespans_all!$B$127:$B$134,0))*SR_mission_minutes!T50)*POWER(1+(#REF!/100),T$1-2021),"-")</f>
        <v>-</v>
      </c>
      <c r="U123" s="105" t="str">
        <f>IFERROR((INDEX(lifespans_all!U$127:U$134,MATCH($B123,lifespans_all!$B$127:$B$134,0))*SR_mission_minutes!U50)*POWER(1+(#REF!/100),U$1-2021),"-")</f>
        <v>-</v>
      </c>
      <c r="V123" s="105" t="str">
        <f>IFERROR((INDEX(lifespans_all!V$127:V$134,MATCH($B123,lifespans_all!$B$127:$B$134,0))*SR_mission_minutes!V50)*POWER(1+(#REF!/100),V$1-2021),"-")</f>
        <v>-</v>
      </c>
    </row>
    <row r="124" spans="1:22" x14ac:dyDescent="0.25">
      <c r="A124" s="21" t="s">
        <v>88</v>
      </c>
      <c r="B124" s="20" t="s">
        <v>45</v>
      </c>
      <c r="C124" s="105" t="str">
        <f>IFERROR((INDEX(lifespans_all!C$127:C$134,MATCH($B124,lifespans_all!$B$127:$B$134,0))*SR_mission_minutes!C51)*POWER(1+(#REF!/100),C$1-2021),"-")</f>
        <v>-</v>
      </c>
      <c r="D124" s="105" t="str">
        <f>IFERROR((INDEX(lifespans_all!D$127:D$134,MATCH($B124,lifespans_all!$B$127:$B$134,0))*SR_mission_minutes!D51)*POWER(1+(#REF!/100),D$1-2021),"-")</f>
        <v>-</v>
      </c>
      <c r="E124" s="105" t="str">
        <f>IFERROR((INDEX(lifespans_all!E$127:E$134,MATCH($B124,lifespans_all!$B$127:$B$134,0))*SR_mission_minutes!E51)*POWER(1+(#REF!/100),E$1-2021),"-")</f>
        <v>-</v>
      </c>
      <c r="F124" s="105" t="str">
        <f>IFERROR((INDEX(lifespans_all!F$127:F$134,MATCH($B124,lifespans_all!$B$127:$B$134,0))*SR_mission_minutes!F51)*POWER(1+(#REF!/100),F$1-2021),"-")</f>
        <v>-</v>
      </c>
      <c r="G124" s="105" t="str">
        <f>IFERROR((INDEX(lifespans_all!G$127:G$134,MATCH($B124,lifespans_all!$B$127:$B$134,0))*SR_mission_minutes!G51)*POWER(1+(#REF!/100),G$1-2021),"-")</f>
        <v>-</v>
      </c>
      <c r="H124" s="105" t="str">
        <f>IFERROR((INDEX(lifespans_all!H$127:H$134,MATCH($B124,lifespans_all!$B$127:$B$134,0))*SR_mission_minutes!H51)*POWER(1+(#REF!/100),H$1-2021),"-")</f>
        <v>-</v>
      </c>
      <c r="I124" s="105" t="str">
        <f>IFERROR((INDEX(lifespans_all!I$127:I$134,MATCH($B124,lifespans_all!$B$127:$B$134,0))*SR_mission_minutes!I51)*POWER(1+(#REF!/100),I$1-2021),"-")</f>
        <v>-</v>
      </c>
      <c r="J124" s="105" t="str">
        <f>IFERROR((INDEX(lifespans_all!J$127:J$134,MATCH($B124,lifespans_all!$B$127:$B$134,0))*SR_mission_minutes!J51)*POWER(1+(#REF!/100),J$1-2021),"-")</f>
        <v>-</v>
      </c>
      <c r="K124" s="105" t="str">
        <f>IFERROR((INDEX(lifespans_all!K$127:K$134,MATCH($B124,lifespans_all!$B$127:$B$134,0))*SR_mission_minutes!K51)*POWER(1+(#REF!/100),K$1-2021),"-")</f>
        <v>-</v>
      </c>
      <c r="L124" s="105" t="str">
        <f>IFERROR((INDEX(lifespans_all!L$127:L$134,MATCH($B124,lifespans_all!$B$127:$B$134,0))*SR_mission_minutes!L51)*POWER(1+(#REF!/100),L$1-2021),"-")</f>
        <v>-</v>
      </c>
      <c r="M124" s="105" t="str">
        <f>IFERROR((INDEX(lifespans_all!M$127:M$134,MATCH($B124,lifespans_all!$B$127:$B$134,0))*SR_mission_minutes!M51)*POWER(1+(#REF!/100),M$1-2021),"-")</f>
        <v>-</v>
      </c>
      <c r="N124" s="105" t="str">
        <f>IFERROR((INDEX(lifespans_all!N$127:N$134,MATCH($B124,lifespans_all!$B$127:$B$134,0))*SR_mission_minutes!N51)*POWER(1+(#REF!/100),N$1-2021),"-")</f>
        <v>-</v>
      </c>
      <c r="O124" s="105" t="str">
        <f>IFERROR((INDEX(lifespans_all!O$127:O$134,MATCH($B124,lifespans_all!$B$127:$B$134,0))*SR_mission_minutes!O51)*POWER(1+(#REF!/100),O$1-2021),"-")</f>
        <v>-</v>
      </c>
      <c r="P124" s="105" t="str">
        <f>IFERROR((INDEX(lifespans_all!P$127:P$134,MATCH($B124,lifespans_all!$B$127:$B$134,0))*SR_mission_minutes!P51)*POWER(1+(#REF!/100),P$1-2021),"-")</f>
        <v>-</v>
      </c>
      <c r="Q124" s="105" t="str">
        <f>IFERROR((INDEX(lifespans_all!Q$127:Q$134,MATCH($B124,lifespans_all!$B$127:$B$134,0))*SR_mission_minutes!Q51)*POWER(1+(#REF!/100),Q$1-2021),"-")</f>
        <v>-</v>
      </c>
      <c r="R124" s="105" t="str">
        <f>IFERROR((INDEX(lifespans_all!R$127:R$134,MATCH($B124,lifespans_all!$B$127:$B$134,0))*SR_mission_minutes!R51)*POWER(1+(#REF!/100),R$1-2021),"-")</f>
        <v>-</v>
      </c>
      <c r="S124" s="105" t="str">
        <f>IFERROR((INDEX(lifespans_all!S$127:S$134,MATCH($B124,lifespans_all!$B$127:$B$134,0))*SR_mission_minutes!S51)*POWER(1+(#REF!/100),S$1-2021),"-")</f>
        <v>-</v>
      </c>
      <c r="T124" s="105" t="str">
        <f>IFERROR((INDEX(lifespans_all!T$127:T$134,MATCH($B124,lifespans_all!$B$127:$B$134,0))*SR_mission_minutes!T51)*POWER(1+(#REF!/100),T$1-2021),"-")</f>
        <v>-</v>
      </c>
      <c r="U124" s="105" t="str">
        <f>IFERROR((INDEX(lifespans_all!U$127:U$134,MATCH($B124,lifespans_all!$B$127:$B$134,0))*SR_mission_minutes!U51)*POWER(1+(#REF!/100),U$1-2021),"-")</f>
        <v>-</v>
      </c>
      <c r="V124" s="105" t="str">
        <f>IFERROR((INDEX(lifespans_all!V$127:V$134,MATCH($B124,lifespans_all!$B$127:$B$134,0))*SR_mission_minutes!V51)*POWER(1+(#REF!/100),V$1-2021),"-")</f>
        <v>-</v>
      </c>
    </row>
    <row r="125" spans="1:22" x14ac:dyDescent="0.25">
      <c r="A125" s="45"/>
      <c r="B125" s="45"/>
      <c r="C125" s="118"/>
      <c r="D125" s="2"/>
      <c r="E125" s="2"/>
      <c r="F125" s="2"/>
      <c r="G125" s="2"/>
      <c r="H125" s="2"/>
      <c r="I125" s="2"/>
      <c r="J125" s="2"/>
      <c r="K125" s="2"/>
      <c r="L125" s="2"/>
      <c r="M125" s="2"/>
      <c r="N125" s="2"/>
      <c r="O125" s="2"/>
      <c r="P125" s="2"/>
      <c r="Q125" s="2"/>
      <c r="R125" s="2"/>
      <c r="S125" s="2"/>
      <c r="T125" s="2"/>
      <c r="U125" s="2"/>
      <c r="V125" s="2"/>
    </row>
    <row r="126" spans="1:22" x14ac:dyDescent="0.25">
      <c r="A126" s="45"/>
      <c r="B126" s="45"/>
      <c r="C126" s="22">
        <f t="shared" ref="C126:U126" si="13">SUM(C75:C124)</f>
        <v>1676114.912698413</v>
      </c>
      <c r="D126" s="22">
        <f t="shared" si="13"/>
        <v>1442274.4126984125</v>
      </c>
      <c r="E126" s="22">
        <f t="shared" si="13"/>
        <v>1435181.5555555555</v>
      </c>
      <c r="F126" s="22">
        <f t="shared" si="13"/>
        <v>1301780.7777777778</v>
      </c>
      <c r="G126" s="22">
        <f t="shared" si="13"/>
        <v>1131886.1666666667</v>
      </c>
      <c r="H126" s="22">
        <f t="shared" si="13"/>
        <v>898045.66666666674</v>
      </c>
      <c r="I126" s="22">
        <f t="shared" si="13"/>
        <v>697944.49999999988</v>
      </c>
      <c r="J126" s="22">
        <f t="shared" si="13"/>
        <v>564543.72222222225</v>
      </c>
      <c r="K126" s="22">
        <f t="shared" si="13"/>
        <v>564543.72222222225</v>
      </c>
      <c r="L126" s="22">
        <f t="shared" si="13"/>
        <v>564543.72222222225</v>
      </c>
      <c r="M126" s="22">
        <f t="shared" si="13"/>
        <v>449664.72222222225</v>
      </c>
      <c r="N126" s="22">
        <f t="shared" si="13"/>
        <v>449664.72222222225</v>
      </c>
      <c r="O126" s="22">
        <f t="shared" si="13"/>
        <v>449664.72222222225</v>
      </c>
      <c r="P126" s="22">
        <f t="shared" si="13"/>
        <v>449664.72222222225</v>
      </c>
      <c r="Q126" s="22">
        <f t="shared" si="13"/>
        <v>449664.72222222225</v>
      </c>
      <c r="R126" s="22">
        <f t="shared" si="13"/>
        <v>449664.72222222225</v>
      </c>
      <c r="S126" s="22">
        <f t="shared" si="13"/>
        <v>449664.72222222225</v>
      </c>
      <c r="T126" s="22">
        <f t="shared" si="13"/>
        <v>449664.72222222225</v>
      </c>
      <c r="U126" s="22">
        <f t="shared" si="13"/>
        <v>449664.72222222225</v>
      </c>
      <c r="V126" s="22">
        <f>SUM(V75:V124)</f>
        <v>449664.72222222225</v>
      </c>
    </row>
    <row r="127" spans="1:22" ht="14.4" thickBot="1" x14ac:dyDescent="0.3">
      <c r="B127" s="2" t="s">
        <v>76</v>
      </c>
      <c r="C127" s="23"/>
      <c r="D127" s="23"/>
      <c r="E127" s="23"/>
      <c r="F127" s="23"/>
      <c r="G127" s="23"/>
      <c r="H127" s="23"/>
      <c r="I127" s="23"/>
      <c r="J127" s="23"/>
      <c r="K127" s="23"/>
      <c r="L127" s="2"/>
      <c r="M127" s="2"/>
      <c r="N127" s="23"/>
      <c r="O127" s="23"/>
      <c r="P127" s="23"/>
      <c r="Q127" s="23"/>
      <c r="R127" s="23"/>
      <c r="S127" s="23"/>
      <c r="T127" s="23"/>
      <c r="U127" s="23"/>
      <c r="V127" s="23"/>
    </row>
    <row r="128" spans="1:22" x14ac:dyDescent="0.25">
      <c r="B128" s="54" t="s">
        <v>82</v>
      </c>
      <c r="C128" s="75">
        <v>2021</v>
      </c>
      <c r="D128" s="76">
        <v>2022</v>
      </c>
      <c r="E128" s="75">
        <v>2023</v>
      </c>
      <c r="F128" s="76">
        <v>2024</v>
      </c>
      <c r="G128" s="75">
        <v>2025</v>
      </c>
      <c r="H128" s="76">
        <v>2026</v>
      </c>
      <c r="I128" s="75">
        <v>2027</v>
      </c>
      <c r="J128" s="76">
        <v>2028</v>
      </c>
      <c r="K128" s="75">
        <v>2029</v>
      </c>
      <c r="L128" s="76">
        <v>2030</v>
      </c>
      <c r="M128" s="75">
        <v>2031</v>
      </c>
      <c r="N128" s="76">
        <v>2032</v>
      </c>
      <c r="O128" s="75">
        <v>2033</v>
      </c>
      <c r="P128" s="76">
        <v>2034</v>
      </c>
      <c r="Q128" s="75">
        <v>2035</v>
      </c>
      <c r="R128" s="76">
        <v>2036</v>
      </c>
      <c r="S128" s="75">
        <v>2037</v>
      </c>
      <c r="T128" s="76">
        <v>2038</v>
      </c>
      <c r="U128" s="75">
        <v>2039</v>
      </c>
      <c r="V128" s="76">
        <v>2040</v>
      </c>
    </row>
    <row r="129" spans="2:22" x14ac:dyDescent="0.25">
      <c r="B129" s="33" t="s">
        <v>43</v>
      </c>
      <c r="C129" s="78">
        <f>SUMIF($B75:$B124,$B129,C$75:C$124)</f>
        <v>459516</v>
      </c>
      <c r="D129" s="78">
        <f t="shared" ref="D129:V129" si="14">SUMIF($B75:$B124,$B129,D$75:D$124)</f>
        <v>459516</v>
      </c>
      <c r="E129" s="78">
        <f t="shared" si="14"/>
        <v>459516</v>
      </c>
      <c r="F129" s="78">
        <f t="shared" si="14"/>
        <v>459516</v>
      </c>
      <c r="G129" s="78">
        <f t="shared" si="14"/>
        <v>459516</v>
      </c>
      <c r="H129" s="78">
        <f t="shared" si="14"/>
        <v>459516</v>
      </c>
      <c r="I129" s="78">
        <f t="shared" si="14"/>
        <v>459516</v>
      </c>
      <c r="J129" s="78">
        <f t="shared" si="14"/>
        <v>459516</v>
      </c>
      <c r="K129" s="78">
        <f t="shared" si="14"/>
        <v>459516</v>
      </c>
      <c r="L129" s="78">
        <f t="shared" si="14"/>
        <v>459516</v>
      </c>
      <c r="M129" s="78">
        <f t="shared" si="14"/>
        <v>344637</v>
      </c>
      <c r="N129" s="78">
        <f t="shared" si="14"/>
        <v>344637</v>
      </c>
      <c r="O129" s="78">
        <f t="shared" si="14"/>
        <v>344637</v>
      </c>
      <c r="P129" s="78">
        <f t="shared" si="14"/>
        <v>344637</v>
      </c>
      <c r="Q129" s="78">
        <f t="shared" si="14"/>
        <v>344637</v>
      </c>
      <c r="R129" s="78">
        <f t="shared" si="14"/>
        <v>344637</v>
      </c>
      <c r="S129" s="78">
        <f t="shared" si="14"/>
        <v>344637</v>
      </c>
      <c r="T129" s="78">
        <f t="shared" si="14"/>
        <v>344637</v>
      </c>
      <c r="U129" s="78">
        <f t="shared" si="14"/>
        <v>344637</v>
      </c>
      <c r="V129" s="78">
        <f t="shared" si="14"/>
        <v>344637</v>
      </c>
    </row>
    <row r="130" spans="2:22" x14ac:dyDescent="0.25">
      <c r="B130" s="33" t="s">
        <v>41</v>
      </c>
      <c r="C130" s="78">
        <f>SUMIF($B75:$B124,$B130,C$75:C$124)</f>
        <v>1100945.5555555555</v>
      </c>
      <c r="D130" s="78">
        <f t="shared" ref="D130:V130" si="15">SUMIF($B75:$B124,$B130,D$75:D$124)</f>
        <v>900844.38888888888</v>
      </c>
      <c r="E130" s="78">
        <f t="shared" si="15"/>
        <v>900844.38888888888</v>
      </c>
      <c r="F130" s="78">
        <f t="shared" si="15"/>
        <v>767443.61111111112</v>
      </c>
      <c r="G130" s="78">
        <f t="shared" si="15"/>
        <v>600303.5</v>
      </c>
      <c r="H130" s="78">
        <f t="shared" si="15"/>
        <v>400202.33333333331</v>
      </c>
      <c r="I130" s="78">
        <f t="shared" si="15"/>
        <v>200101.16666666669</v>
      </c>
      <c r="J130" s="78">
        <f t="shared" si="15"/>
        <v>66700.388888888891</v>
      </c>
      <c r="K130" s="78">
        <f t="shared" si="15"/>
        <v>66700.388888888891</v>
      </c>
      <c r="L130" s="78">
        <f t="shared" si="15"/>
        <v>66700.388888888891</v>
      </c>
      <c r="M130" s="78">
        <f t="shared" si="15"/>
        <v>66700.388888888891</v>
      </c>
      <c r="N130" s="78">
        <f t="shared" si="15"/>
        <v>66700.388888888891</v>
      </c>
      <c r="O130" s="78">
        <f t="shared" si="15"/>
        <v>66700.388888888891</v>
      </c>
      <c r="P130" s="78">
        <f t="shared" si="15"/>
        <v>66700.388888888891</v>
      </c>
      <c r="Q130" s="78">
        <f t="shared" si="15"/>
        <v>66700.388888888891</v>
      </c>
      <c r="R130" s="78">
        <f t="shared" si="15"/>
        <v>66700.388888888891</v>
      </c>
      <c r="S130" s="78">
        <f t="shared" si="15"/>
        <v>66700.388888888891</v>
      </c>
      <c r="T130" s="78">
        <f t="shared" si="15"/>
        <v>66700.388888888891</v>
      </c>
      <c r="U130" s="78">
        <f t="shared" si="15"/>
        <v>66700.388888888891</v>
      </c>
      <c r="V130" s="78">
        <f t="shared" si="15"/>
        <v>66700.388888888891</v>
      </c>
    </row>
    <row r="131" spans="2:22" x14ac:dyDescent="0.25">
      <c r="B131" s="33" t="s">
        <v>40</v>
      </c>
      <c r="C131" s="78">
        <f>SUMIF($B75:$B124,$B131,C$75:C$124)</f>
        <v>7092.8571428571431</v>
      </c>
      <c r="D131" s="78">
        <f t="shared" ref="D131:V131" si="16">SUMIF($B75:$B124,$B131,D$75:D$124)</f>
        <v>7092.8571428571431</v>
      </c>
      <c r="E131" s="78">
        <f t="shared" si="16"/>
        <v>0</v>
      </c>
      <c r="F131" s="78">
        <f t="shared" si="16"/>
        <v>0</v>
      </c>
      <c r="G131" s="78">
        <f t="shared" si="16"/>
        <v>0</v>
      </c>
      <c r="H131" s="78">
        <f t="shared" si="16"/>
        <v>0</v>
      </c>
      <c r="I131" s="78">
        <f t="shared" si="16"/>
        <v>0</v>
      </c>
      <c r="J131" s="78">
        <f t="shared" si="16"/>
        <v>0</v>
      </c>
      <c r="K131" s="78">
        <f t="shared" si="16"/>
        <v>0</v>
      </c>
      <c r="L131" s="78">
        <f t="shared" si="16"/>
        <v>0</v>
      </c>
      <c r="M131" s="78">
        <f t="shared" si="16"/>
        <v>0</v>
      </c>
      <c r="N131" s="78">
        <f t="shared" si="16"/>
        <v>0</v>
      </c>
      <c r="O131" s="78">
        <f t="shared" si="16"/>
        <v>0</v>
      </c>
      <c r="P131" s="78">
        <f t="shared" si="16"/>
        <v>0</v>
      </c>
      <c r="Q131" s="78">
        <f t="shared" si="16"/>
        <v>0</v>
      </c>
      <c r="R131" s="78">
        <f t="shared" si="16"/>
        <v>0</v>
      </c>
      <c r="S131" s="78">
        <f t="shared" si="16"/>
        <v>0</v>
      </c>
      <c r="T131" s="78">
        <f t="shared" si="16"/>
        <v>0</v>
      </c>
      <c r="U131" s="78">
        <f t="shared" si="16"/>
        <v>0</v>
      </c>
      <c r="V131" s="78">
        <f t="shared" si="16"/>
        <v>0</v>
      </c>
    </row>
    <row r="132" spans="2:22" x14ac:dyDescent="0.25">
      <c r="B132" s="33" t="s">
        <v>80</v>
      </c>
      <c r="C132" s="78">
        <f>SUMIF($B75:$B124,$B132,C$75:C$124)</f>
        <v>0</v>
      </c>
      <c r="D132" s="78">
        <f t="shared" ref="D132:V132" si="17">SUMIF($B75:$B124,$B132,D$75:D$124)</f>
        <v>0</v>
      </c>
      <c r="E132" s="78">
        <f t="shared" si="17"/>
        <v>0</v>
      </c>
      <c r="F132" s="78">
        <f t="shared" si="17"/>
        <v>0</v>
      </c>
      <c r="G132" s="78">
        <f t="shared" si="17"/>
        <v>0</v>
      </c>
      <c r="H132" s="78">
        <f t="shared" si="17"/>
        <v>0</v>
      </c>
      <c r="I132" s="78">
        <f t="shared" si="17"/>
        <v>0</v>
      </c>
      <c r="J132" s="78">
        <f t="shared" si="17"/>
        <v>0</v>
      </c>
      <c r="K132" s="78">
        <f t="shared" si="17"/>
        <v>0</v>
      </c>
      <c r="L132" s="78">
        <f t="shared" si="17"/>
        <v>0</v>
      </c>
      <c r="M132" s="78">
        <f t="shared" si="17"/>
        <v>0</v>
      </c>
      <c r="N132" s="78">
        <f t="shared" si="17"/>
        <v>0</v>
      </c>
      <c r="O132" s="78">
        <f t="shared" si="17"/>
        <v>0</v>
      </c>
      <c r="P132" s="78">
        <f t="shared" si="17"/>
        <v>0</v>
      </c>
      <c r="Q132" s="78">
        <f t="shared" si="17"/>
        <v>0</v>
      </c>
      <c r="R132" s="78">
        <f t="shared" si="17"/>
        <v>0</v>
      </c>
      <c r="S132" s="78">
        <f t="shared" si="17"/>
        <v>0</v>
      </c>
      <c r="T132" s="78">
        <f t="shared" si="17"/>
        <v>0</v>
      </c>
      <c r="U132" s="78">
        <f t="shared" si="17"/>
        <v>0</v>
      </c>
      <c r="V132" s="78">
        <f t="shared" si="17"/>
        <v>0</v>
      </c>
    </row>
    <row r="133" spans="2:22" x14ac:dyDescent="0.25">
      <c r="B133" s="33" t="s">
        <v>44</v>
      </c>
      <c r="C133" s="78">
        <f>SUMIF($B75:$B124,$B133,C$75:C$124)</f>
        <v>460.5</v>
      </c>
      <c r="D133" s="78">
        <f t="shared" ref="D133:V133" si="18">SUMIF($B75:$B124,$B133,D$75:D$124)</f>
        <v>460.5</v>
      </c>
      <c r="E133" s="78">
        <f t="shared" si="18"/>
        <v>460.5</v>
      </c>
      <c r="F133" s="78">
        <f t="shared" si="18"/>
        <v>460.5</v>
      </c>
      <c r="G133" s="78">
        <f t="shared" si="18"/>
        <v>0</v>
      </c>
      <c r="H133" s="78">
        <f t="shared" si="18"/>
        <v>0</v>
      </c>
      <c r="I133" s="78">
        <f t="shared" si="18"/>
        <v>0</v>
      </c>
      <c r="J133" s="78">
        <f t="shared" si="18"/>
        <v>0</v>
      </c>
      <c r="K133" s="78">
        <f t="shared" si="18"/>
        <v>0</v>
      </c>
      <c r="L133" s="78">
        <f t="shared" si="18"/>
        <v>0</v>
      </c>
      <c r="M133" s="78">
        <f t="shared" si="18"/>
        <v>0</v>
      </c>
      <c r="N133" s="78">
        <f t="shared" si="18"/>
        <v>0</v>
      </c>
      <c r="O133" s="78">
        <f t="shared" si="18"/>
        <v>0</v>
      </c>
      <c r="P133" s="78">
        <f t="shared" si="18"/>
        <v>0</v>
      </c>
      <c r="Q133" s="78">
        <f t="shared" si="18"/>
        <v>0</v>
      </c>
      <c r="R133" s="78">
        <f t="shared" si="18"/>
        <v>0</v>
      </c>
      <c r="S133" s="78">
        <f t="shared" si="18"/>
        <v>0</v>
      </c>
      <c r="T133" s="78">
        <f t="shared" si="18"/>
        <v>0</v>
      </c>
      <c r="U133" s="78">
        <f t="shared" si="18"/>
        <v>0</v>
      </c>
      <c r="V133" s="78">
        <f t="shared" si="18"/>
        <v>0</v>
      </c>
    </row>
    <row r="134" spans="2:22" x14ac:dyDescent="0.25">
      <c r="B134" s="33" t="s">
        <v>81</v>
      </c>
      <c r="C134" s="78">
        <f>SUMIF($B75:$B124,$B134,C$75:C$124)</f>
        <v>0</v>
      </c>
      <c r="D134" s="78">
        <f t="shared" ref="D134:V134" si="19">SUMIF($B75:$B124,$B134,D$75:D$124)</f>
        <v>0</v>
      </c>
      <c r="E134" s="78">
        <f t="shared" si="19"/>
        <v>0</v>
      </c>
      <c r="F134" s="78">
        <f t="shared" si="19"/>
        <v>0</v>
      </c>
      <c r="G134" s="78">
        <f t="shared" si="19"/>
        <v>0</v>
      </c>
      <c r="H134" s="78">
        <f t="shared" si="19"/>
        <v>0</v>
      </c>
      <c r="I134" s="78">
        <f t="shared" si="19"/>
        <v>0</v>
      </c>
      <c r="J134" s="78">
        <f t="shared" si="19"/>
        <v>0</v>
      </c>
      <c r="K134" s="78">
        <f t="shared" si="19"/>
        <v>0</v>
      </c>
      <c r="L134" s="78">
        <f t="shared" si="19"/>
        <v>0</v>
      </c>
      <c r="M134" s="78">
        <f t="shared" si="19"/>
        <v>0</v>
      </c>
      <c r="N134" s="78">
        <f t="shared" si="19"/>
        <v>0</v>
      </c>
      <c r="O134" s="78">
        <f t="shared" si="19"/>
        <v>0</v>
      </c>
      <c r="P134" s="78">
        <f t="shared" si="19"/>
        <v>0</v>
      </c>
      <c r="Q134" s="78">
        <f t="shared" si="19"/>
        <v>0</v>
      </c>
      <c r="R134" s="78">
        <f t="shared" si="19"/>
        <v>0</v>
      </c>
      <c r="S134" s="78">
        <f t="shared" si="19"/>
        <v>0</v>
      </c>
      <c r="T134" s="78">
        <f t="shared" si="19"/>
        <v>0</v>
      </c>
      <c r="U134" s="78">
        <f t="shared" si="19"/>
        <v>0</v>
      </c>
      <c r="V134" s="78">
        <f t="shared" si="19"/>
        <v>0</v>
      </c>
    </row>
    <row r="135" spans="2:22" x14ac:dyDescent="0.25">
      <c r="B135" s="33" t="s">
        <v>42</v>
      </c>
      <c r="C135" s="78">
        <f>SUMIF($B75:$B124,$B135,C$75:C$124)</f>
        <v>6882</v>
      </c>
      <c r="D135" s="78">
        <f t="shared" ref="D135:V135" si="20">SUMIF($B75:$B124,$B135,D$75:D$124)</f>
        <v>6882</v>
      </c>
      <c r="E135" s="78">
        <f t="shared" si="20"/>
        <v>6882</v>
      </c>
      <c r="F135" s="78">
        <f t="shared" si="20"/>
        <v>6882</v>
      </c>
      <c r="G135" s="78">
        <f t="shared" si="20"/>
        <v>4588</v>
      </c>
      <c r="H135" s="78">
        <f t="shared" si="20"/>
        <v>4588</v>
      </c>
      <c r="I135" s="78">
        <f t="shared" si="20"/>
        <v>4588</v>
      </c>
      <c r="J135" s="78">
        <f t="shared" si="20"/>
        <v>4588</v>
      </c>
      <c r="K135" s="78">
        <f t="shared" si="20"/>
        <v>4588</v>
      </c>
      <c r="L135" s="78">
        <f t="shared" si="20"/>
        <v>4588</v>
      </c>
      <c r="M135" s="78">
        <f t="shared" si="20"/>
        <v>4588</v>
      </c>
      <c r="N135" s="78">
        <f t="shared" si="20"/>
        <v>4588</v>
      </c>
      <c r="O135" s="78">
        <f t="shared" si="20"/>
        <v>4588</v>
      </c>
      <c r="P135" s="78">
        <f t="shared" si="20"/>
        <v>4588</v>
      </c>
      <c r="Q135" s="78">
        <f t="shared" si="20"/>
        <v>4588</v>
      </c>
      <c r="R135" s="78">
        <f t="shared" si="20"/>
        <v>4588</v>
      </c>
      <c r="S135" s="78">
        <f t="shared" si="20"/>
        <v>4588</v>
      </c>
      <c r="T135" s="78">
        <f t="shared" si="20"/>
        <v>4588</v>
      </c>
      <c r="U135" s="78">
        <f t="shared" si="20"/>
        <v>4588</v>
      </c>
      <c r="V135" s="78">
        <f t="shared" si="20"/>
        <v>4588</v>
      </c>
    </row>
    <row r="136" spans="2:22" ht="14.4" thickBot="1" x14ac:dyDescent="0.3">
      <c r="B136" s="39" t="s">
        <v>45</v>
      </c>
      <c r="C136" s="78">
        <f>SUMIF($B75:$B124,$B136,C$75:C$124)</f>
        <v>101218</v>
      </c>
      <c r="D136" s="78">
        <f>SUMIF($B75:$B124,$B136,D$75:D$124)</f>
        <v>67478.666666666672</v>
      </c>
      <c r="E136" s="78">
        <f>SUMIF($B75:$B124,$B136,E$75:E$124)</f>
        <v>67478.666666666672</v>
      </c>
      <c r="F136" s="78">
        <f t="shared" ref="F136:V136" si="21">SUMIF($B75:$B124,$B136,F$75:F$124)</f>
        <v>67478.666666666672</v>
      </c>
      <c r="G136" s="78">
        <f t="shared" si="21"/>
        <v>67478.666666666672</v>
      </c>
      <c r="H136" s="78">
        <f t="shared" si="21"/>
        <v>33739.333333333336</v>
      </c>
      <c r="I136" s="78">
        <f t="shared" si="21"/>
        <v>33739.333333333336</v>
      </c>
      <c r="J136" s="78">
        <f t="shared" si="21"/>
        <v>33739.333333333336</v>
      </c>
      <c r="K136" s="78">
        <f t="shared" si="21"/>
        <v>33739.333333333336</v>
      </c>
      <c r="L136" s="78">
        <f t="shared" si="21"/>
        <v>33739.333333333336</v>
      </c>
      <c r="M136" s="78">
        <f t="shared" si="21"/>
        <v>33739.333333333336</v>
      </c>
      <c r="N136" s="78">
        <f t="shared" si="21"/>
        <v>33739.333333333336</v>
      </c>
      <c r="O136" s="78">
        <f t="shared" si="21"/>
        <v>33739.333333333336</v>
      </c>
      <c r="P136" s="78">
        <f t="shared" si="21"/>
        <v>33739.333333333336</v>
      </c>
      <c r="Q136" s="78">
        <f t="shared" si="21"/>
        <v>33739.333333333336</v>
      </c>
      <c r="R136" s="78">
        <f t="shared" si="21"/>
        <v>33739.333333333336</v>
      </c>
      <c r="S136" s="78">
        <f t="shared" si="21"/>
        <v>33739.333333333336</v>
      </c>
      <c r="T136" s="78">
        <f t="shared" si="21"/>
        <v>33739.333333333336</v>
      </c>
      <c r="U136" s="78">
        <f t="shared" si="21"/>
        <v>33739.333333333336</v>
      </c>
      <c r="V136" s="78">
        <f t="shared" si="21"/>
        <v>33739.333333333336</v>
      </c>
    </row>
    <row r="137" spans="2:22" x14ac:dyDescent="0.25">
      <c r="C137" s="23"/>
      <c r="D137" s="23"/>
      <c r="E137" s="23"/>
      <c r="F137" s="23"/>
      <c r="G137" s="23"/>
      <c r="H137" s="23"/>
      <c r="I137" s="23"/>
      <c r="J137" s="23"/>
      <c r="K137" s="23"/>
      <c r="L137" s="24"/>
      <c r="M137" s="23"/>
      <c r="N137" s="23"/>
      <c r="O137" s="23"/>
      <c r="P137" s="23"/>
      <c r="Q137" s="23"/>
      <c r="R137" s="23"/>
      <c r="S137" s="23"/>
      <c r="T137" s="23"/>
      <c r="U137" s="23"/>
      <c r="V137" s="23"/>
    </row>
    <row r="138" spans="2:22" x14ac:dyDescent="0.25">
      <c r="C138" s="23">
        <f>SUM(C129:C136)</f>
        <v>1676114.9126984125</v>
      </c>
      <c r="D138" s="23">
        <f t="shared" ref="D138:U138" si="22">SUM(D129:D136)</f>
        <v>1442274.4126984128</v>
      </c>
      <c r="E138" s="23">
        <f t="shared" si="22"/>
        <v>1435181.5555555557</v>
      </c>
      <c r="F138" s="23">
        <f t="shared" si="22"/>
        <v>1301780.7777777778</v>
      </c>
      <c r="G138" s="23">
        <f t="shared" si="22"/>
        <v>1131886.1666666667</v>
      </c>
      <c r="H138" s="23">
        <f t="shared" si="22"/>
        <v>898045.66666666663</v>
      </c>
      <c r="I138" s="23">
        <f t="shared" si="22"/>
        <v>697944.50000000012</v>
      </c>
      <c r="J138" s="23">
        <f t="shared" si="22"/>
        <v>564543.72222222225</v>
      </c>
      <c r="K138" s="23">
        <f t="shared" si="22"/>
        <v>564543.72222222225</v>
      </c>
      <c r="L138" s="24">
        <f t="shared" si="22"/>
        <v>564543.72222222225</v>
      </c>
      <c r="M138" s="23">
        <f t="shared" si="22"/>
        <v>449664.72222222219</v>
      </c>
      <c r="N138" s="23">
        <f t="shared" si="22"/>
        <v>449664.72222222219</v>
      </c>
      <c r="O138" s="23">
        <f t="shared" si="22"/>
        <v>449664.72222222219</v>
      </c>
      <c r="P138" s="23">
        <f t="shared" si="22"/>
        <v>449664.72222222219</v>
      </c>
      <c r="Q138" s="23">
        <f t="shared" si="22"/>
        <v>449664.72222222219</v>
      </c>
      <c r="R138" s="23">
        <f t="shared" si="22"/>
        <v>449664.72222222219</v>
      </c>
      <c r="S138" s="23">
        <f t="shared" si="22"/>
        <v>449664.72222222219</v>
      </c>
      <c r="T138" s="23">
        <f t="shared" si="22"/>
        <v>449664.72222222219</v>
      </c>
      <c r="U138" s="23">
        <f t="shared" si="22"/>
        <v>449664.72222222219</v>
      </c>
      <c r="V138" s="23">
        <f>SUM(V129:V136)</f>
        <v>449664.72222222219</v>
      </c>
    </row>
    <row r="139" spans="2:22" x14ac:dyDescent="0.25">
      <c r="C139" s="23"/>
      <c r="D139" s="23"/>
      <c r="E139" s="23"/>
      <c r="F139" s="23"/>
      <c r="G139" s="23"/>
      <c r="H139" s="23"/>
      <c r="I139" s="23"/>
      <c r="J139" s="23"/>
      <c r="K139" s="23"/>
      <c r="L139" s="24"/>
      <c r="M139" s="2"/>
      <c r="N139" s="23"/>
      <c r="O139" s="23"/>
      <c r="P139" s="23"/>
      <c r="Q139" s="23"/>
      <c r="R139" s="23"/>
      <c r="S139" s="23"/>
      <c r="T139" s="23"/>
      <c r="U139" s="23"/>
      <c r="V139" s="23"/>
    </row>
    <row r="140" spans="2:22" ht="14.4" thickBot="1" x14ac:dyDescent="0.3">
      <c r="B140" s="2" t="s">
        <v>76</v>
      </c>
      <c r="C140" s="23"/>
      <c r="D140" s="23"/>
      <c r="E140" s="23"/>
      <c r="F140" s="23"/>
      <c r="G140" s="23"/>
      <c r="H140" s="23"/>
      <c r="I140" s="23"/>
      <c r="J140" s="23"/>
      <c r="K140" s="23"/>
      <c r="L140" s="24"/>
      <c r="M140" s="2"/>
      <c r="N140" s="23"/>
      <c r="O140" s="23"/>
      <c r="P140" s="23"/>
      <c r="Q140" s="23"/>
      <c r="R140" s="23"/>
      <c r="S140" s="23"/>
      <c r="T140" s="23"/>
      <c r="U140" s="23"/>
      <c r="V140" s="23"/>
    </row>
    <row r="141" spans="2:22" x14ac:dyDescent="0.25">
      <c r="B141" s="54" t="s">
        <v>82</v>
      </c>
      <c r="C141" s="75">
        <v>2021</v>
      </c>
      <c r="D141" s="75">
        <v>2022</v>
      </c>
      <c r="E141" s="75">
        <v>2023</v>
      </c>
      <c r="F141" s="75">
        <v>2024</v>
      </c>
      <c r="G141" s="75">
        <v>2025</v>
      </c>
      <c r="H141" s="75">
        <v>2026</v>
      </c>
      <c r="I141" s="75">
        <v>2027</v>
      </c>
      <c r="J141" s="75">
        <v>2028</v>
      </c>
      <c r="K141" s="75">
        <v>2029</v>
      </c>
      <c r="L141" s="75">
        <v>2030</v>
      </c>
      <c r="M141" s="75">
        <v>2031</v>
      </c>
      <c r="N141" s="75">
        <v>2032</v>
      </c>
      <c r="O141" s="75">
        <v>2033</v>
      </c>
      <c r="P141" s="75">
        <v>2034</v>
      </c>
      <c r="Q141" s="75">
        <v>2035</v>
      </c>
      <c r="R141" s="75">
        <v>2036</v>
      </c>
      <c r="S141" s="75">
        <v>2037</v>
      </c>
      <c r="T141" s="75">
        <v>2038</v>
      </c>
      <c r="U141" s="75">
        <v>2039</v>
      </c>
      <c r="V141" s="75">
        <v>2040</v>
      </c>
    </row>
    <row r="142" spans="2:22" x14ac:dyDescent="0.25">
      <c r="B142" s="33" t="s">
        <v>93</v>
      </c>
      <c r="C142" s="25">
        <f>SUM(C75:C116)</f>
        <v>1676114.912698413</v>
      </c>
      <c r="D142" s="25">
        <f t="shared" ref="D142:V142" si="23">SUM(D75:D116)</f>
        <v>1442274.4126984125</v>
      </c>
      <c r="E142" s="25">
        <f t="shared" si="23"/>
        <v>1435181.5555555555</v>
      </c>
      <c r="F142" s="25">
        <f t="shared" si="23"/>
        <v>1301780.7777777778</v>
      </c>
      <c r="G142" s="25">
        <f t="shared" si="23"/>
        <v>1131886.1666666667</v>
      </c>
      <c r="H142" s="25">
        <f t="shared" si="23"/>
        <v>898045.66666666674</v>
      </c>
      <c r="I142" s="25">
        <f t="shared" si="23"/>
        <v>697944.49999999988</v>
      </c>
      <c r="J142" s="25">
        <f t="shared" si="23"/>
        <v>564543.72222222225</v>
      </c>
      <c r="K142" s="25">
        <f t="shared" si="23"/>
        <v>564543.72222222225</v>
      </c>
      <c r="L142" s="25">
        <f t="shared" si="23"/>
        <v>564543.72222222225</v>
      </c>
      <c r="M142" s="25">
        <f t="shared" si="23"/>
        <v>449664.72222222225</v>
      </c>
      <c r="N142" s="25">
        <f t="shared" si="23"/>
        <v>449664.72222222225</v>
      </c>
      <c r="O142" s="25">
        <f t="shared" si="23"/>
        <v>449664.72222222225</v>
      </c>
      <c r="P142" s="25">
        <f t="shared" si="23"/>
        <v>449664.72222222225</v>
      </c>
      <c r="Q142" s="25">
        <f t="shared" si="23"/>
        <v>449664.72222222225</v>
      </c>
      <c r="R142" s="25">
        <f t="shared" si="23"/>
        <v>449664.72222222225</v>
      </c>
      <c r="S142" s="25">
        <f t="shared" si="23"/>
        <v>449664.72222222225</v>
      </c>
      <c r="T142" s="25">
        <f t="shared" si="23"/>
        <v>449664.72222222225</v>
      </c>
      <c r="U142" s="25">
        <f t="shared" si="23"/>
        <v>449664.72222222225</v>
      </c>
      <c r="V142" s="25">
        <f t="shared" si="23"/>
        <v>449664.72222222225</v>
      </c>
    </row>
    <row r="143" spans="2:22" x14ac:dyDescent="0.25">
      <c r="B143" s="33" t="s">
        <v>94</v>
      </c>
      <c r="C143" s="25">
        <f>SUM(C117:C124)</f>
        <v>0</v>
      </c>
      <c r="D143" s="25">
        <f t="shared" ref="D143:V143" si="24">SUM(D117:D124)</f>
        <v>0</v>
      </c>
      <c r="E143" s="25">
        <f t="shared" si="24"/>
        <v>0</v>
      </c>
      <c r="F143" s="25">
        <f t="shared" si="24"/>
        <v>0</v>
      </c>
      <c r="G143" s="25">
        <f t="shared" si="24"/>
        <v>0</v>
      </c>
      <c r="H143" s="25">
        <f t="shared" si="24"/>
        <v>0</v>
      </c>
      <c r="I143" s="25">
        <f t="shared" si="24"/>
        <v>0</v>
      </c>
      <c r="J143" s="25">
        <f t="shared" si="24"/>
        <v>0</v>
      </c>
      <c r="K143" s="25">
        <f t="shared" si="24"/>
        <v>0</v>
      </c>
      <c r="L143" s="25">
        <f t="shared" si="24"/>
        <v>0</v>
      </c>
      <c r="M143" s="25">
        <f t="shared" si="24"/>
        <v>0</v>
      </c>
      <c r="N143" s="25">
        <f t="shared" si="24"/>
        <v>0</v>
      </c>
      <c r="O143" s="25">
        <f t="shared" si="24"/>
        <v>0</v>
      </c>
      <c r="P143" s="25">
        <f t="shared" si="24"/>
        <v>0</v>
      </c>
      <c r="Q143" s="25">
        <f t="shared" si="24"/>
        <v>0</v>
      </c>
      <c r="R143" s="25">
        <f t="shared" si="24"/>
        <v>0</v>
      </c>
      <c r="S143" s="25">
        <f t="shared" si="24"/>
        <v>0</v>
      </c>
      <c r="T143" s="25">
        <f t="shared" si="24"/>
        <v>0</v>
      </c>
      <c r="U143" s="25">
        <f t="shared" si="24"/>
        <v>0</v>
      </c>
      <c r="V143" s="25">
        <f t="shared" si="24"/>
        <v>0</v>
      </c>
    </row>
    <row r="144" spans="2:22" x14ac:dyDescent="0.25">
      <c r="C144" s="2"/>
      <c r="D144" s="2"/>
      <c r="E144" s="2"/>
      <c r="F144" s="2"/>
      <c r="G144" s="2"/>
      <c r="H144" s="2"/>
      <c r="I144" s="2"/>
      <c r="J144" s="2"/>
      <c r="K144" s="2"/>
      <c r="L144" s="2"/>
      <c r="M144" s="2"/>
      <c r="N144" s="2"/>
      <c r="O144" s="2"/>
      <c r="P144" s="2"/>
      <c r="Q144" s="2"/>
      <c r="R144" s="2"/>
      <c r="S144" s="2"/>
      <c r="T144" s="2"/>
      <c r="U144" s="2"/>
      <c r="V144" s="2"/>
    </row>
    <row r="145" spans="1:22" x14ac:dyDescent="0.25">
      <c r="C145" s="22">
        <f>SUM(C142:C143)</f>
        <v>1676114.912698413</v>
      </c>
      <c r="D145" s="22">
        <f t="shared" ref="D145:V145" si="25">SUM(D142:D143)</f>
        <v>1442274.4126984125</v>
      </c>
      <c r="E145" s="22">
        <f t="shared" si="25"/>
        <v>1435181.5555555555</v>
      </c>
      <c r="F145" s="22">
        <f t="shared" si="25"/>
        <v>1301780.7777777778</v>
      </c>
      <c r="G145" s="22">
        <f t="shared" si="25"/>
        <v>1131886.1666666667</v>
      </c>
      <c r="H145" s="22">
        <f t="shared" si="25"/>
        <v>898045.66666666674</v>
      </c>
      <c r="I145" s="22">
        <f t="shared" si="25"/>
        <v>697944.49999999988</v>
      </c>
      <c r="J145" s="22">
        <f t="shared" si="25"/>
        <v>564543.72222222225</v>
      </c>
      <c r="K145" s="22">
        <f t="shared" si="25"/>
        <v>564543.72222222225</v>
      </c>
      <c r="L145" s="22">
        <f t="shared" si="25"/>
        <v>564543.72222222225</v>
      </c>
      <c r="M145" s="22">
        <f t="shared" si="25"/>
        <v>449664.72222222225</v>
      </c>
      <c r="N145" s="22">
        <f t="shared" si="25"/>
        <v>449664.72222222225</v>
      </c>
      <c r="O145" s="22">
        <f t="shared" si="25"/>
        <v>449664.72222222225</v>
      </c>
      <c r="P145" s="22">
        <f t="shared" si="25"/>
        <v>449664.72222222225</v>
      </c>
      <c r="Q145" s="22">
        <f t="shared" si="25"/>
        <v>449664.72222222225</v>
      </c>
      <c r="R145" s="22">
        <f t="shared" si="25"/>
        <v>449664.72222222225</v>
      </c>
      <c r="S145" s="22">
        <f t="shared" si="25"/>
        <v>449664.72222222225</v>
      </c>
      <c r="T145" s="22">
        <f t="shared" si="25"/>
        <v>449664.72222222225</v>
      </c>
      <c r="U145" s="22">
        <f t="shared" si="25"/>
        <v>449664.72222222225</v>
      </c>
      <c r="V145" s="22">
        <f t="shared" si="25"/>
        <v>449664.72222222225</v>
      </c>
    </row>
    <row r="147" spans="1:22" x14ac:dyDescent="0.25">
      <c r="A147" s="76" t="s">
        <v>16</v>
      </c>
      <c r="B147" s="76" t="s">
        <v>82</v>
      </c>
      <c r="C147" s="75">
        <v>2021</v>
      </c>
      <c r="D147" s="76">
        <v>2022</v>
      </c>
      <c r="E147" s="75">
        <v>2023</v>
      </c>
      <c r="F147" s="76">
        <v>2024</v>
      </c>
      <c r="G147" s="75">
        <v>2025</v>
      </c>
      <c r="H147" s="76">
        <v>2026</v>
      </c>
      <c r="I147" s="75">
        <v>2027</v>
      </c>
      <c r="J147" s="76">
        <v>2028</v>
      </c>
      <c r="K147" s="75">
        <v>2029</v>
      </c>
      <c r="L147" s="76">
        <v>2030</v>
      </c>
      <c r="M147" s="75">
        <v>2031</v>
      </c>
      <c r="N147" s="76">
        <v>2032</v>
      </c>
      <c r="O147" s="75">
        <v>2033</v>
      </c>
      <c r="P147" s="76">
        <v>2034</v>
      </c>
      <c r="Q147" s="75">
        <v>2035</v>
      </c>
      <c r="R147" s="76">
        <v>2036</v>
      </c>
      <c r="S147" s="75">
        <v>2037</v>
      </c>
      <c r="T147" s="76">
        <v>2038</v>
      </c>
      <c r="U147" s="75">
        <v>2039</v>
      </c>
      <c r="V147" s="76">
        <v>2040</v>
      </c>
    </row>
    <row r="148" spans="1:22" x14ac:dyDescent="0.25">
      <c r="A148" s="29" t="s">
        <v>17</v>
      </c>
      <c r="B148" s="29" t="s">
        <v>41</v>
      </c>
      <c r="C148" s="105">
        <f>IFERROR(INDEX(lifespans_all!C$158:C$212,MATCH($A148,lifespans_all!$A$158:$A$212,0))*INDEX(SR_mission_minutes!C$2:C$43,MATCH($A148,SR_mission_minutes!$A$2:$A$43)),"-")</f>
        <v>66700.388888888891</v>
      </c>
      <c r="D148" s="105">
        <f>IFERROR(INDEX(lifespans_all!D$80:D$126,MATCH($A148,lifespans_all!$A$80:$A$126,0))*INDEX(SR_mission_minutes!D$2:D$43,MATCH($A148,SR_mission_minutes!$A$2:$A$43)),"-")</f>
        <v>66700.388888888891</v>
      </c>
      <c r="E148" s="105">
        <f>IFERROR(INDEX(lifespans_all!E$80:E$126,MATCH($A148,lifespans_all!$A$80:$A$126,0))*INDEX(SR_mission_minutes!E$2:E$43,MATCH($A148,SR_mission_minutes!$A$2:$A$43)),"-")</f>
        <v>66700.388888888891</v>
      </c>
      <c r="F148" s="105">
        <f>IFERROR(INDEX(lifespans_all!F$80:F$126,MATCH($A148,lifespans_all!$A$80:$A$126,0))*INDEX(SR_mission_minutes!F$2:F$43,MATCH($A148,SR_mission_minutes!$A$2:$A$43)),"-")</f>
        <v>66700.388888888891</v>
      </c>
      <c r="G148" s="105">
        <f>IFERROR(INDEX(lifespans_all!G$80:G$126,MATCH($A148,lifespans_all!$A$80:$A$126,0))*INDEX(SR_mission_minutes!G$2:G$43,MATCH($A148,SR_mission_minutes!$A$2:$A$43)),"-")</f>
        <v>0</v>
      </c>
      <c r="H148" s="105">
        <f>IFERROR(INDEX(lifespans_all!H$80:H$126,MATCH($A148,lifespans_all!$A$80:$A$126,0))*INDEX(SR_mission_minutes!H$2:H$43,MATCH($A148,SR_mission_minutes!$A$2:$A$43)),"-")</f>
        <v>0</v>
      </c>
      <c r="I148" s="105">
        <f>IFERROR(INDEX(lifespans_all!I$80:I$126,MATCH($A148,lifespans_all!$A$80:$A$126,0))*INDEX(SR_mission_minutes!I$2:I$43,MATCH($A148,SR_mission_minutes!$A$2:$A$43)),"-")</f>
        <v>0</v>
      </c>
      <c r="J148" s="105">
        <f>IFERROR(INDEX(lifespans_all!J$80:J$126,MATCH($A148,lifespans_all!$A$80:$A$126,0))*INDEX(SR_mission_minutes!J$2:J$43,MATCH($A148,SR_mission_minutes!$A$2:$A$43)),"-")</f>
        <v>0</v>
      </c>
      <c r="K148" s="105">
        <f>IFERROR(INDEX(lifespans_all!K$80:K$126,MATCH($A148,lifespans_all!$A$80:$A$126,0))*INDEX(SR_mission_minutes!K$2:K$43,MATCH($A148,SR_mission_minutes!$A$2:$A$43)),"-")</f>
        <v>0</v>
      </c>
      <c r="L148" s="105">
        <f>IFERROR(INDEX(lifespans_all!L$80:L$126,MATCH($A148,lifespans_all!$A$80:$A$126,0))*INDEX(SR_mission_minutes!L$2:L$43,MATCH($A148,SR_mission_minutes!$A$2:$A$43)),"-")</f>
        <v>0</v>
      </c>
      <c r="M148" s="105">
        <f>IFERROR(INDEX(lifespans_all!M$80:M$126,MATCH($A148,lifespans_all!$A$80:$A$126,0))*INDEX(SR_mission_minutes!M$2:M$43,MATCH($A148,SR_mission_minutes!$A$2:$A$43)),"-")</f>
        <v>0</v>
      </c>
      <c r="N148" s="105">
        <f>IFERROR(INDEX(lifespans_all!N$80:N$126,MATCH($A148,lifespans_all!$A$80:$A$126,0))*INDEX(SR_mission_minutes!N$2:N$43,MATCH($A148,SR_mission_minutes!$A$2:$A$43)),"-")</f>
        <v>0</v>
      </c>
      <c r="O148" s="105">
        <f>IFERROR(INDEX(lifespans_all!O$80:O$126,MATCH($A148,lifespans_all!$A$80:$A$126,0))*INDEX(SR_mission_minutes!O$2:O$43,MATCH($A148,SR_mission_minutes!$A$2:$A$43)),"-")</f>
        <v>0</v>
      </c>
      <c r="P148" s="105">
        <f>IFERROR(INDEX(lifespans_all!P$80:P$126,MATCH($A148,lifespans_all!$A$80:$A$126,0))*INDEX(SR_mission_minutes!P$2:P$43,MATCH($A148,SR_mission_minutes!$A$2:$A$43)),"-")</f>
        <v>0</v>
      </c>
      <c r="Q148" s="105">
        <f>IFERROR(INDEX(lifespans_all!Q$80:Q$126,MATCH($A148,lifespans_all!$A$80:$A$126,0))*INDEX(SR_mission_minutes!Q$2:Q$43,MATCH($A148,SR_mission_minutes!$A$2:$A$43)),"-")</f>
        <v>0</v>
      </c>
      <c r="R148" s="105">
        <f>IFERROR(INDEX(lifespans_all!R$80:R$126,MATCH($A148,lifespans_all!$A$80:$A$126,0))*INDEX(SR_mission_minutes!R$2:R$43,MATCH($A148,SR_mission_minutes!$A$2:$A$43)),"-")</f>
        <v>0</v>
      </c>
      <c r="S148" s="105">
        <f>IFERROR(INDEX(lifespans_all!S$80:S$126,MATCH($A148,lifespans_all!$A$80:$A$126,0))*INDEX(SR_mission_minutes!S$2:S$43,MATCH($A148,SR_mission_minutes!$A$2:$A$43)),"-")</f>
        <v>0</v>
      </c>
      <c r="T148" s="105">
        <f>IFERROR(INDEX(lifespans_all!T$80:T$126,MATCH($A148,lifespans_all!$A$80:$A$126,0))*INDEX(SR_mission_minutes!T$2:T$43,MATCH($A148,SR_mission_minutes!$A$2:$A$43)),"-")</f>
        <v>0</v>
      </c>
      <c r="U148" s="105">
        <f>IFERROR(INDEX(lifespans_all!U$80:U$126,MATCH($A148,lifespans_all!$A$80:$A$126,0))*INDEX(SR_mission_minutes!U$2:U$43,MATCH($A148,SR_mission_minutes!$A$2:$A$43)),"-")</f>
        <v>0</v>
      </c>
      <c r="V148" s="105">
        <f>IFERROR(INDEX(lifespans_all!V$80:V$126,MATCH($A148,lifespans_all!$A$80:$A$126,0))*INDEX(SR_mission_minutes!V$2:V$43,MATCH($A148,SR_mission_minutes!$A$2:$A$43)),"-")</f>
        <v>0</v>
      </c>
    </row>
    <row r="149" spans="1:22" x14ac:dyDescent="0.25">
      <c r="A149" s="29" t="s">
        <v>49</v>
      </c>
      <c r="B149" s="29" t="s">
        <v>41</v>
      </c>
      <c r="C149" s="105">
        <f>IFERROR(INDEX(lifespans_all!C$158:C$212,MATCH($A149,lifespans_all!$A$158:$A$212,0))*INDEX(SR_mission_minutes!C$2:C$43,MATCH($A149,SR_mission_minutes!$A$2:$A$43)),"-")</f>
        <v>66700.388888888891</v>
      </c>
      <c r="D149" s="105">
        <f>IFERROR(INDEX(lifespans_all!D$80:D$126,MATCH($A149,lifespans_all!$A$80:$A$126,0))*INDEX(SR_mission_minutes!D$2:D$43,MATCH($A149,SR_mission_minutes!$A$2:$A$43)),"-")</f>
        <v>66700.388888888891</v>
      </c>
      <c r="E149" s="105">
        <f>IFERROR(INDEX(lifespans_all!E$80:E$126,MATCH($A149,lifespans_all!$A$80:$A$126,0))*INDEX(SR_mission_minutes!E$2:E$43,MATCH($A149,SR_mission_minutes!$A$2:$A$43)),"-")</f>
        <v>66700.388888888891</v>
      </c>
      <c r="F149" s="105">
        <f>IFERROR(INDEX(lifespans_all!F$80:F$126,MATCH($A149,lifespans_all!$A$80:$A$126,0))*INDEX(SR_mission_minutes!F$2:F$43,MATCH($A149,SR_mission_minutes!$A$2:$A$43)),"-")</f>
        <v>66700.388888888891</v>
      </c>
      <c r="G149" s="105">
        <f>IFERROR(INDEX(lifespans_all!G$80:G$126,MATCH($A149,lifespans_all!$A$80:$A$126,0))*INDEX(SR_mission_minutes!G$2:G$43,MATCH($A149,SR_mission_minutes!$A$2:$A$43)),"-")</f>
        <v>66700.388888888891</v>
      </c>
      <c r="H149" s="105">
        <f>IFERROR(INDEX(lifespans_all!H$80:H$126,MATCH($A149,lifespans_all!$A$80:$A$126,0))*INDEX(SR_mission_minutes!H$2:H$43,MATCH($A149,SR_mission_minutes!$A$2:$A$43)),"-")</f>
        <v>66700.388888888891</v>
      </c>
      <c r="I149" s="105">
        <f>IFERROR(INDEX(lifespans_all!I$80:I$126,MATCH($A149,lifespans_all!$A$80:$A$126,0))*INDEX(SR_mission_minutes!I$2:I$43,MATCH($A149,SR_mission_minutes!$A$2:$A$43)),"-")</f>
        <v>0</v>
      </c>
      <c r="J149" s="105">
        <f>IFERROR(INDEX(lifespans_all!J$80:J$126,MATCH($A149,lifespans_all!$A$80:$A$126,0))*INDEX(SR_mission_minutes!J$2:J$43,MATCH($A149,SR_mission_minutes!$A$2:$A$43)),"-")</f>
        <v>0</v>
      </c>
      <c r="K149" s="105">
        <f>IFERROR(INDEX(lifespans_all!K$80:K$126,MATCH($A149,lifespans_all!$A$80:$A$126,0))*INDEX(SR_mission_minutes!K$2:K$43,MATCH($A149,SR_mission_minutes!$A$2:$A$43)),"-")</f>
        <v>0</v>
      </c>
      <c r="L149" s="105">
        <f>IFERROR(INDEX(lifespans_all!L$80:L$126,MATCH($A149,lifespans_all!$A$80:$A$126,0))*INDEX(SR_mission_minutes!L$2:L$43,MATCH($A149,SR_mission_minutes!$A$2:$A$43)),"-")</f>
        <v>0</v>
      </c>
      <c r="M149" s="105">
        <f>IFERROR(INDEX(lifespans_all!M$80:M$126,MATCH($A149,lifespans_all!$A$80:$A$126,0))*INDEX(SR_mission_minutes!M$2:M$43,MATCH($A149,SR_mission_minutes!$A$2:$A$43)),"-")</f>
        <v>0</v>
      </c>
      <c r="N149" s="105">
        <f>IFERROR(INDEX(lifespans_all!N$80:N$126,MATCH($A149,lifespans_all!$A$80:$A$126,0))*INDEX(SR_mission_minutes!N$2:N$43,MATCH($A149,SR_mission_minutes!$A$2:$A$43)),"-")</f>
        <v>0</v>
      </c>
      <c r="O149" s="105">
        <f>IFERROR(INDEX(lifespans_all!O$80:O$126,MATCH($A149,lifespans_all!$A$80:$A$126,0))*INDEX(SR_mission_minutes!O$2:O$43,MATCH($A149,SR_mission_minutes!$A$2:$A$43)),"-")</f>
        <v>0</v>
      </c>
      <c r="P149" s="105">
        <f>IFERROR(INDEX(lifespans_all!P$80:P$126,MATCH($A149,lifespans_all!$A$80:$A$126,0))*INDEX(SR_mission_minutes!P$2:P$43,MATCH($A149,SR_mission_minutes!$A$2:$A$43)),"-")</f>
        <v>0</v>
      </c>
      <c r="Q149" s="105">
        <f>IFERROR(INDEX(lifespans_all!Q$80:Q$126,MATCH($A149,lifespans_all!$A$80:$A$126,0))*INDEX(SR_mission_minutes!Q$2:Q$43,MATCH($A149,SR_mission_minutes!$A$2:$A$43)),"-")</f>
        <v>0</v>
      </c>
      <c r="R149" s="105">
        <f>IFERROR(INDEX(lifespans_all!R$80:R$126,MATCH($A149,lifespans_all!$A$80:$A$126,0))*INDEX(SR_mission_minutes!R$2:R$43,MATCH($A149,SR_mission_minutes!$A$2:$A$43)),"-")</f>
        <v>0</v>
      </c>
      <c r="S149" s="105">
        <f>IFERROR(INDEX(lifespans_all!S$80:S$126,MATCH($A149,lifespans_all!$A$80:$A$126,0))*INDEX(SR_mission_minutes!S$2:S$43,MATCH($A149,SR_mission_minutes!$A$2:$A$43)),"-")</f>
        <v>0</v>
      </c>
      <c r="T149" s="105">
        <f>IFERROR(INDEX(lifespans_all!T$80:T$126,MATCH($A149,lifespans_all!$A$80:$A$126,0))*INDEX(SR_mission_minutes!T$2:T$43,MATCH($A149,SR_mission_minutes!$A$2:$A$43)),"-")</f>
        <v>0</v>
      </c>
      <c r="U149" s="105">
        <f>IFERROR(INDEX(lifespans_all!U$80:U$126,MATCH($A149,lifespans_all!$A$80:$A$126,0))*INDEX(SR_mission_minutes!U$2:U$43,MATCH($A149,SR_mission_minutes!$A$2:$A$43)),"-")</f>
        <v>0</v>
      </c>
      <c r="V149" s="105">
        <f>IFERROR(INDEX(lifespans_all!V$80:V$126,MATCH($A149,lifespans_all!$A$80:$A$126,0))*INDEX(SR_mission_minutes!V$2:V$43,MATCH($A149,SR_mission_minutes!$A$2:$A$43)),"-")</f>
        <v>0</v>
      </c>
    </row>
    <row r="150" spans="1:22" x14ac:dyDescent="0.25">
      <c r="A150" s="29" t="s">
        <v>51</v>
      </c>
      <c r="B150" s="29" t="s">
        <v>42</v>
      </c>
      <c r="C150" s="105">
        <f>IFERROR(INDEX(lifespans_all!C$158:C$212,MATCH($A150,lifespans_all!$A$158:$A$212,0))*INDEX(SR_mission_minutes!C$2:C$43,MATCH($A150,SR_mission_minutes!$A$2:$A$43)),"-")</f>
        <v>2294</v>
      </c>
      <c r="D150" s="105">
        <f>IFERROR(INDEX(lifespans_all!D$80:D$126,MATCH($A150,lifespans_all!$A$80:$A$126,0))*INDEX(SR_mission_minutes!D$2:D$43,MATCH($A150,SR_mission_minutes!$A$2:$A$43)),"-")</f>
        <v>2294</v>
      </c>
      <c r="E150" s="105">
        <f>IFERROR(INDEX(lifespans_all!E$80:E$126,MATCH($A150,lifespans_all!$A$80:$A$126,0))*INDEX(SR_mission_minutes!E$2:E$43,MATCH($A150,SR_mission_minutes!$A$2:$A$43)),"-")</f>
        <v>2294</v>
      </c>
      <c r="F150" s="105">
        <f>IFERROR(INDEX(lifespans_all!F$80:F$126,MATCH($A150,lifespans_all!$A$80:$A$126,0))*INDEX(SR_mission_minutes!F$2:F$43,MATCH($A150,SR_mission_minutes!$A$2:$A$43)),"-")</f>
        <v>2294</v>
      </c>
      <c r="G150" s="105">
        <f>IFERROR(INDEX(lifespans_all!G$80:G$126,MATCH($A150,lifespans_all!$A$80:$A$126,0))*INDEX(SR_mission_minutes!G$2:G$43,MATCH($A150,SR_mission_minutes!$A$2:$A$43)),"-")</f>
        <v>0</v>
      </c>
      <c r="H150" s="105">
        <f>IFERROR(INDEX(lifespans_all!H$80:H$126,MATCH($A150,lifespans_all!$A$80:$A$126,0))*INDEX(SR_mission_minutes!H$2:H$43,MATCH($A150,SR_mission_minutes!$A$2:$A$43)),"-")</f>
        <v>0</v>
      </c>
      <c r="I150" s="105">
        <f>IFERROR(INDEX(lifespans_all!I$80:I$126,MATCH($A150,lifespans_all!$A$80:$A$126,0))*INDEX(SR_mission_minutes!I$2:I$43,MATCH($A150,SR_mission_minutes!$A$2:$A$43)),"-")</f>
        <v>0</v>
      </c>
      <c r="J150" s="105">
        <f>IFERROR(INDEX(lifespans_all!J$80:J$126,MATCH($A150,lifespans_all!$A$80:$A$126,0))*INDEX(SR_mission_minutes!J$2:J$43,MATCH($A150,SR_mission_minutes!$A$2:$A$43)),"-")</f>
        <v>0</v>
      </c>
      <c r="K150" s="105">
        <f>IFERROR(INDEX(lifespans_all!K$80:K$126,MATCH($A150,lifespans_all!$A$80:$A$126,0))*INDEX(SR_mission_minutes!K$2:K$43,MATCH($A150,SR_mission_minutes!$A$2:$A$43)),"-")</f>
        <v>0</v>
      </c>
      <c r="L150" s="105">
        <f>IFERROR(INDEX(lifespans_all!L$80:L$126,MATCH($A150,lifespans_all!$A$80:$A$126,0))*INDEX(SR_mission_minutes!L$2:L$43,MATCH($A150,SR_mission_minutes!$A$2:$A$43)),"-")</f>
        <v>0</v>
      </c>
      <c r="M150" s="105">
        <f>IFERROR(INDEX(lifespans_all!M$80:M$126,MATCH($A150,lifespans_all!$A$80:$A$126,0))*INDEX(SR_mission_minutes!M$2:M$43,MATCH($A150,SR_mission_minutes!$A$2:$A$43)),"-")</f>
        <v>0</v>
      </c>
      <c r="N150" s="105">
        <f>IFERROR(INDEX(lifespans_all!N$80:N$126,MATCH($A150,lifespans_all!$A$80:$A$126,0))*INDEX(SR_mission_minutes!N$2:N$43,MATCH($A150,SR_mission_minutes!$A$2:$A$43)),"-")</f>
        <v>0</v>
      </c>
      <c r="O150" s="105">
        <f>IFERROR(INDEX(lifespans_all!O$80:O$126,MATCH($A150,lifespans_all!$A$80:$A$126,0))*INDEX(SR_mission_minutes!O$2:O$43,MATCH($A150,SR_mission_minutes!$A$2:$A$43)),"-")</f>
        <v>0</v>
      </c>
      <c r="P150" s="105">
        <f>IFERROR(INDEX(lifespans_all!P$80:P$126,MATCH($A150,lifespans_all!$A$80:$A$126,0))*INDEX(SR_mission_minutes!P$2:P$43,MATCH($A150,SR_mission_minutes!$A$2:$A$43)),"-")</f>
        <v>0</v>
      </c>
      <c r="Q150" s="105">
        <f>IFERROR(INDEX(lifespans_all!Q$80:Q$126,MATCH($A150,lifespans_all!$A$80:$A$126,0))*INDEX(SR_mission_minutes!Q$2:Q$43,MATCH($A150,SR_mission_minutes!$A$2:$A$43)),"-")</f>
        <v>0</v>
      </c>
      <c r="R150" s="105">
        <f>IFERROR(INDEX(lifespans_all!R$80:R$126,MATCH($A150,lifespans_all!$A$80:$A$126,0))*INDEX(SR_mission_minutes!R$2:R$43,MATCH($A150,SR_mission_minutes!$A$2:$A$43)),"-")</f>
        <v>0</v>
      </c>
      <c r="S150" s="105">
        <f>IFERROR(INDEX(lifespans_all!S$80:S$126,MATCH($A150,lifespans_all!$A$80:$A$126,0))*INDEX(SR_mission_minutes!S$2:S$43,MATCH($A150,SR_mission_minutes!$A$2:$A$43)),"-")</f>
        <v>0</v>
      </c>
      <c r="T150" s="105">
        <f>IFERROR(INDEX(lifespans_all!T$80:T$126,MATCH($A150,lifespans_all!$A$80:$A$126,0))*INDEX(SR_mission_minutes!T$2:T$43,MATCH($A150,SR_mission_minutes!$A$2:$A$43)),"-")</f>
        <v>0</v>
      </c>
      <c r="U150" s="105">
        <f>IFERROR(INDEX(lifespans_all!U$80:U$126,MATCH($A150,lifespans_all!$A$80:$A$126,0))*INDEX(SR_mission_minutes!U$2:U$43,MATCH($A150,SR_mission_minutes!$A$2:$A$43)),"-")</f>
        <v>0</v>
      </c>
      <c r="V150" s="105">
        <f>IFERROR(INDEX(lifespans_all!V$80:V$126,MATCH($A150,lifespans_all!$A$80:$A$126,0))*INDEX(SR_mission_minutes!V$2:V$43,MATCH($A150,SR_mission_minutes!$A$2:$A$43)),"-")</f>
        <v>0</v>
      </c>
    </row>
    <row r="151" spans="1:22" x14ac:dyDescent="0.25">
      <c r="A151" s="29" t="s">
        <v>52</v>
      </c>
      <c r="B151" s="29" t="s">
        <v>41</v>
      </c>
      <c r="C151" s="105">
        <f>IFERROR(INDEX(lifespans_all!C$158:C$212,MATCH($A151,lifespans_all!$A$158:$A$212,0))*INDEX(SR_mission_minutes!C$2:C$43,MATCH($A151,SR_mission_minutes!$A$2:$A$43)),"-")</f>
        <v>66700.388888888891</v>
      </c>
      <c r="D151" s="105">
        <f>IFERROR(INDEX(lifespans_all!D$80:D$126,MATCH($A151,lifespans_all!$A$80:$A$126,0))*INDEX(SR_mission_minutes!D$2:D$43,MATCH($A151,SR_mission_minutes!$A$2:$A$43)),"-")</f>
        <v>66700.388888888891</v>
      </c>
      <c r="E151" s="105">
        <f>IFERROR(INDEX(lifespans_all!E$80:E$126,MATCH($A151,lifespans_all!$A$80:$A$126,0))*INDEX(SR_mission_minutes!E$2:E$43,MATCH($A151,SR_mission_minutes!$A$2:$A$43)),"-")</f>
        <v>66700.388888888891</v>
      </c>
      <c r="F151" s="105">
        <f>IFERROR(INDEX(lifespans_all!F$80:F$126,MATCH($A151,lifespans_all!$A$80:$A$126,0))*INDEX(SR_mission_minutes!F$2:F$43,MATCH($A151,SR_mission_minutes!$A$2:$A$43)),"-")</f>
        <v>66700.388888888891</v>
      </c>
      <c r="G151" s="105">
        <f>IFERROR(INDEX(lifespans_all!G$80:G$126,MATCH($A151,lifespans_all!$A$80:$A$126,0))*INDEX(SR_mission_minutes!G$2:G$43,MATCH($A151,SR_mission_minutes!$A$2:$A$43)),"-")</f>
        <v>66700.388888888891</v>
      </c>
      <c r="H151" s="105">
        <f>IFERROR(INDEX(lifespans_all!H$80:H$126,MATCH($A151,lifespans_all!$A$80:$A$126,0))*INDEX(SR_mission_minutes!H$2:H$43,MATCH($A151,SR_mission_minutes!$A$2:$A$43)),"-")</f>
        <v>66700.388888888891</v>
      </c>
      <c r="I151" s="105">
        <f>IFERROR(INDEX(lifespans_all!I$80:I$126,MATCH($A151,lifespans_all!$A$80:$A$126,0))*INDEX(SR_mission_minutes!I$2:I$43,MATCH($A151,SR_mission_minutes!$A$2:$A$43)),"-")</f>
        <v>0</v>
      </c>
      <c r="J151" s="105">
        <f>IFERROR(INDEX(lifespans_all!J$80:J$126,MATCH($A151,lifespans_all!$A$80:$A$126,0))*INDEX(SR_mission_minutes!J$2:J$43,MATCH($A151,SR_mission_minutes!$A$2:$A$43)),"-")</f>
        <v>0</v>
      </c>
      <c r="K151" s="105">
        <f>IFERROR(INDEX(lifespans_all!K$80:K$126,MATCH($A151,lifespans_all!$A$80:$A$126,0))*INDEX(SR_mission_minutes!K$2:K$43,MATCH($A151,SR_mission_minutes!$A$2:$A$43)),"-")</f>
        <v>0</v>
      </c>
      <c r="L151" s="105">
        <f>IFERROR(INDEX(lifespans_all!L$80:L$126,MATCH($A151,lifespans_all!$A$80:$A$126,0))*INDEX(SR_mission_minutes!L$2:L$43,MATCH($A151,SR_mission_minutes!$A$2:$A$43)),"-")</f>
        <v>0</v>
      </c>
      <c r="M151" s="105">
        <f>IFERROR(INDEX(lifespans_all!M$80:M$126,MATCH($A151,lifespans_all!$A$80:$A$126,0))*INDEX(SR_mission_minutes!M$2:M$43,MATCH($A151,SR_mission_minutes!$A$2:$A$43)),"-")</f>
        <v>0</v>
      </c>
      <c r="N151" s="105">
        <f>IFERROR(INDEX(lifespans_all!N$80:N$126,MATCH($A151,lifespans_all!$A$80:$A$126,0))*INDEX(SR_mission_minutes!N$2:N$43,MATCH($A151,SR_mission_minutes!$A$2:$A$43)),"-")</f>
        <v>0</v>
      </c>
      <c r="O151" s="105">
        <f>IFERROR(INDEX(lifespans_all!O$80:O$126,MATCH($A151,lifespans_all!$A$80:$A$126,0))*INDEX(SR_mission_minutes!O$2:O$43,MATCH($A151,SR_mission_minutes!$A$2:$A$43)),"-")</f>
        <v>0</v>
      </c>
      <c r="P151" s="105">
        <f>IFERROR(INDEX(lifespans_all!P$80:P$126,MATCH($A151,lifespans_all!$A$80:$A$126,0))*INDEX(SR_mission_minutes!P$2:P$43,MATCH($A151,SR_mission_minutes!$A$2:$A$43)),"-")</f>
        <v>0</v>
      </c>
      <c r="Q151" s="105">
        <f>IFERROR(INDEX(lifespans_all!Q$80:Q$126,MATCH($A151,lifespans_all!$A$80:$A$126,0))*INDEX(SR_mission_minutes!Q$2:Q$43,MATCH($A151,SR_mission_minutes!$A$2:$A$43)),"-")</f>
        <v>0</v>
      </c>
      <c r="R151" s="105">
        <f>IFERROR(INDEX(lifespans_all!R$80:R$126,MATCH($A151,lifespans_all!$A$80:$A$126,0))*INDEX(SR_mission_minutes!R$2:R$43,MATCH($A151,SR_mission_minutes!$A$2:$A$43)),"-")</f>
        <v>0</v>
      </c>
      <c r="S151" s="105">
        <f>IFERROR(INDEX(lifespans_all!S$80:S$126,MATCH($A151,lifespans_all!$A$80:$A$126,0))*INDEX(SR_mission_minutes!S$2:S$43,MATCH($A151,SR_mission_minutes!$A$2:$A$43)),"-")</f>
        <v>0</v>
      </c>
      <c r="T151" s="105">
        <f>IFERROR(INDEX(lifespans_all!T$80:T$126,MATCH($A151,lifespans_all!$A$80:$A$126,0))*INDEX(SR_mission_minutes!T$2:T$43,MATCH($A151,SR_mission_minutes!$A$2:$A$43)),"-")</f>
        <v>0</v>
      </c>
      <c r="U151" s="105">
        <f>IFERROR(INDEX(lifespans_all!U$80:U$126,MATCH($A151,lifespans_all!$A$80:$A$126,0))*INDEX(SR_mission_minutes!U$2:U$43,MATCH($A151,SR_mission_minutes!$A$2:$A$43)),"-")</f>
        <v>0</v>
      </c>
      <c r="V151" s="105">
        <f>IFERROR(INDEX(lifespans_all!V$80:V$126,MATCH($A151,lifespans_all!$A$80:$A$126,0))*INDEX(SR_mission_minutes!V$2:V$43,MATCH($A151,SR_mission_minutes!$A$2:$A$43)),"-")</f>
        <v>0</v>
      </c>
    </row>
    <row r="152" spans="1:22" x14ac:dyDescent="0.25">
      <c r="A152" s="29" t="s">
        <v>18</v>
      </c>
      <c r="B152" s="29" t="s">
        <v>48</v>
      </c>
      <c r="C152" s="105" t="str">
        <f>IFERROR(INDEX(lifespans_all!C$158:C$212,MATCH($A152,lifespans_all!$A$158:$A$212,0))*INDEX(SR_mission_minutes!C$2:C$43,MATCH($A152,SR_mission_minutes!$A$2:$A$43)),"-")</f>
        <v>-</v>
      </c>
      <c r="D152" s="105" t="str">
        <f>IFERROR(INDEX(lifespans_all!D$80:D$126,MATCH($A152,lifespans_all!$A$80:$A$126,0))*INDEX(SR_mission_minutes!D$2:D$43,MATCH($A152,SR_mission_minutes!$A$2:$A$43)),"-")</f>
        <v>-</v>
      </c>
      <c r="E152" s="105" t="str">
        <f>IFERROR(INDEX(lifespans_all!E$80:E$126,MATCH($A152,lifespans_all!$A$80:$A$126,0))*INDEX(SR_mission_minutes!E$2:E$43,MATCH($A152,SR_mission_minutes!$A$2:$A$43)),"-")</f>
        <v>-</v>
      </c>
      <c r="F152" s="105" t="str">
        <f>IFERROR(INDEX(lifespans_all!F$80:F$126,MATCH($A152,lifespans_all!$A$80:$A$126,0))*INDEX(SR_mission_minutes!F$2:F$43,MATCH($A152,SR_mission_minutes!$A$2:$A$43)),"-")</f>
        <v>-</v>
      </c>
      <c r="G152" s="105" t="str">
        <f>IFERROR(INDEX(lifespans_all!G$80:G$126,MATCH($A152,lifespans_all!$A$80:$A$126,0))*INDEX(SR_mission_minutes!G$2:G$43,MATCH($A152,SR_mission_minutes!$A$2:$A$43)),"-")</f>
        <v>-</v>
      </c>
      <c r="H152" s="105" t="str">
        <f>IFERROR(INDEX(lifespans_all!H$80:H$126,MATCH($A152,lifespans_all!$A$80:$A$126,0))*INDEX(SR_mission_minutes!H$2:H$43,MATCH($A152,SR_mission_minutes!$A$2:$A$43)),"-")</f>
        <v>-</v>
      </c>
      <c r="I152" s="105" t="str">
        <f>IFERROR(INDEX(lifespans_all!I$80:I$126,MATCH($A152,lifespans_all!$A$80:$A$126,0))*INDEX(SR_mission_minutes!I$2:I$43,MATCH($A152,SR_mission_minutes!$A$2:$A$43)),"-")</f>
        <v>-</v>
      </c>
      <c r="J152" s="105" t="str">
        <f>IFERROR(INDEX(lifespans_all!J$80:J$126,MATCH($A152,lifespans_all!$A$80:$A$126,0))*INDEX(SR_mission_minutes!J$2:J$43,MATCH($A152,SR_mission_minutes!$A$2:$A$43)),"-")</f>
        <v>-</v>
      </c>
      <c r="K152" s="105" t="str">
        <f>IFERROR(INDEX(lifespans_all!K$80:K$126,MATCH($A152,lifespans_all!$A$80:$A$126,0))*INDEX(SR_mission_minutes!K$2:K$43,MATCH($A152,SR_mission_minutes!$A$2:$A$43)),"-")</f>
        <v>-</v>
      </c>
      <c r="L152" s="105" t="str">
        <f>IFERROR(INDEX(lifespans_all!L$80:L$126,MATCH($A152,lifespans_all!$A$80:$A$126,0))*INDEX(SR_mission_minutes!L$2:L$43,MATCH($A152,SR_mission_minutes!$A$2:$A$43)),"-")</f>
        <v>-</v>
      </c>
      <c r="M152" s="105" t="str">
        <f>IFERROR(INDEX(lifespans_all!M$80:M$126,MATCH($A152,lifespans_all!$A$80:$A$126,0))*INDEX(SR_mission_minutes!M$2:M$43,MATCH($A152,SR_mission_minutes!$A$2:$A$43)),"-")</f>
        <v>-</v>
      </c>
      <c r="N152" s="105" t="str">
        <f>IFERROR(INDEX(lifespans_all!N$80:N$126,MATCH($A152,lifespans_all!$A$80:$A$126,0))*INDEX(SR_mission_minutes!N$2:N$43,MATCH($A152,SR_mission_minutes!$A$2:$A$43)),"-")</f>
        <v>-</v>
      </c>
      <c r="O152" s="105" t="str">
        <f>IFERROR(INDEX(lifespans_all!O$80:O$126,MATCH($A152,lifespans_all!$A$80:$A$126,0))*INDEX(SR_mission_minutes!O$2:O$43,MATCH($A152,SR_mission_minutes!$A$2:$A$43)),"-")</f>
        <v>-</v>
      </c>
      <c r="P152" s="105" t="str">
        <f>IFERROR(INDEX(lifespans_all!P$80:P$126,MATCH($A152,lifespans_all!$A$80:$A$126,0))*INDEX(SR_mission_minutes!P$2:P$43,MATCH($A152,SR_mission_minutes!$A$2:$A$43)),"-")</f>
        <v>-</v>
      </c>
      <c r="Q152" s="105" t="str">
        <f>IFERROR(INDEX(lifespans_all!Q$80:Q$126,MATCH($A152,lifespans_all!$A$80:$A$126,0))*INDEX(SR_mission_minutes!Q$2:Q$43,MATCH($A152,SR_mission_minutes!$A$2:$A$43)),"-")</f>
        <v>-</v>
      </c>
      <c r="R152" s="105" t="str">
        <f>IFERROR(INDEX(lifespans_all!R$80:R$126,MATCH($A152,lifespans_all!$A$80:$A$126,0))*INDEX(SR_mission_minutes!R$2:R$43,MATCH($A152,SR_mission_minutes!$A$2:$A$43)),"-")</f>
        <v>-</v>
      </c>
      <c r="S152" s="105" t="str">
        <f>IFERROR(INDEX(lifespans_all!S$80:S$126,MATCH($A152,lifespans_all!$A$80:$A$126,0))*INDEX(SR_mission_minutes!S$2:S$43,MATCH($A152,SR_mission_minutes!$A$2:$A$43)),"-")</f>
        <v>-</v>
      </c>
      <c r="T152" s="105" t="str">
        <f>IFERROR(INDEX(lifespans_all!T$80:T$126,MATCH($A152,lifespans_all!$A$80:$A$126,0))*INDEX(SR_mission_minutes!T$2:T$43,MATCH($A152,SR_mission_minutes!$A$2:$A$43)),"-")</f>
        <v>-</v>
      </c>
      <c r="U152" s="105" t="str">
        <f>IFERROR(INDEX(lifespans_all!U$80:U$126,MATCH($A152,lifespans_all!$A$80:$A$126,0))*INDEX(SR_mission_minutes!U$2:U$43,MATCH($A152,SR_mission_minutes!$A$2:$A$43)),"-")</f>
        <v>-</v>
      </c>
      <c r="V152" s="105" t="str">
        <f>IFERROR(INDEX(lifespans_all!V$80:V$126,MATCH($A152,lifespans_all!$A$80:$A$126,0))*INDEX(SR_mission_minutes!V$2:V$43,MATCH($A152,SR_mission_minutes!$A$2:$A$43)),"-")</f>
        <v>-</v>
      </c>
    </row>
    <row r="153" spans="1:22" x14ac:dyDescent="0.25">
      <c r="A153" s="29" t="s">
        <v>55</v>
      </c>
      <c r="B153" s="29" t="s">
        <v>42</v>
      </c>
      <c r="C153" s="105">
        <f>IFERROR(INDEX(lifespans_all!C$158:C$212,MATCH($A153,lifespans_all!$A$158:$A$212,0))*INDEX(SR_mission_minutes!C$2:C$43,MATCH($A153,SR_mission_minutes!$A$2:$A$43)),"-")</f>
        <v>2294</v>
      </c>
      <c r="D153" s="105">
        <f>IFERROR(INDEX(lifespans_all!D$80:D$126,MATCH($A153,lifespans_all!$A$80:$A$126,0))*INDEX(SR_mission_minutes!D$2:D$43,MATCH($A153,SR_mission_minutes!$A$2:$A$43)),"-")</f>
        <v>2294</v>
      </c>
      <c r="E153" s="105">
        <f>IFERROR(INDEX(lifespans_all!E$80:E$126,MATCH($A153,lifespans_all!$A$80:$A$126,0))*INDEX(SR_mission_minutes!E$2:E$43,MATCH($A153,SR_mission_minutes!$A$2:$A$43)),"-")</f>
        <v>2294</v>
      </c>
      <c r="F153" s="105">
        <f>IFERROR(INDEX(lifespans_all!F$80:F$126,MATCH($A153,lifespans_all!$A$80:$A$126,0))*INDEX(SR_mission_minutes!F$2:F$43,MATCH($A153,SR_mission_minutes!$A$2:$A$43)),"-")</f>
        <v>2294</v>
      </c>
      <c r="G153" s="105">
        <f>IFERROR(INDEX(lifespans_all!G$80:G$126,MATCH($A153,lifespans_all!$A$80:$A$126,0))*INDEX(SR_mission_minutes!G$2:G$43,MATCH($A153,SR_mission_minutes!$A$2:$A$43)),"-")</f>
        <v>2294</v>
      </c>
      <c r="H153" s="105">
        <f>IFERROR(INDEX(lifespans_all!H$80:H$126,MATCH($A153,lifespans_all!$A$80:$A$126,0))*INDEX(SR_mission_minutes!H$2:H$43,MATCH($A153,SR_mission_minutes!$A$2:$A$43)),"-")</f>
        <v>2294</v>
      </c>
      <c r="I153" s="105">
        <f>IFERROR(INDEX(lifespans_all!I$80:I$126,MATCH($A153,lifespans_all!$A$80:$A$126,0))*INDEX(SR_mission_minutes!I$2:I$43,MATCH($A153,SR_mission_minutes!$A$2:$A$43)),"-")</f>
        <v>2294</v>
      </c>
      <c r="J153" s="105">
        <f>IFERROR(INDEX(lifespans_all!J$80:J$126,MATCH($A153,lifespans_all!$A$80:$A$126,0))*INDEX(SR_mission_minutes!J$2:J$43,MATCH($A153,SR_mission_minutes!$A$2:$A$43)),"-")</f>
        <v>2294</v>
      </c>
      <c r="K153" s="105">
        <f>IFERROR(INDEX(lifespans_all!K$80:K$126,MATCH($A153,lifespans_all!$A$80:$A$126,0))*INDEX(SR_mission_minutes!K$2:K$43,MATCH($A153,SR_mission_minutes!$A$2:$A$43)),"-")</f>
        <v>2294</v>
      </c>
      <c r="L153" s="105">
        <f>IFERROR(INDEX(lifespans_all!L$80:L$126,MATCH($A153,lifespans_all!$A$80:$A$126,0))*INDEX(SR_mission_minutes!L$2:L$43,MATCH($A153,SR_mission_minutes!$A$2:$A$43)),"-")</f>
        <v>2294</v>
      </c>
      <c r="M153" s="105">
        <f>IFERROR(INDEX(lifespans_all!M$80:M$126,MATCH($A153,lifespans_all!$A$80:$A$126,0))*INDEX(SR_mission_minutes!M$2:M$43,MATCH($A153,SR_mission_minutes!$A$2:$A$43)),"-")</f>
        <v>2294</v>
      </c>
      <c r="N153" s="105">
        <f>IFERROR(INDEX(lifespans_all!N$80:N$126,MATCH($A153,lifespans_all!$A$80:$A$126,0))*INDEX(SR_mission_minutes!N$2:N$43,MATCH($A153,SR_mission_minutes!$A$2:$A$43)),"-")</f>
        <v>2294</v>
      </c>
      <c r="O153" s="105">
        <f>IFERROR(INDEX(lifespans_all!O$80:O$126,MATCH($A153,lifespans_all!$A$80:$A$126,0))*INDEX(SR_mission_minutes!O$2:O$43,MATCH($A153,SR_mission_minutes!$A$2:$A$43)),"-")</f>
        <v>2294</v>
      </c>
      <c r="P153" s="105">
        <f>IFERROR(INDEX(lifespans_all!P$80:P$126,MATCH($A153,lifespans_all!$A$80:$A$126,0))*INDEX(SR_mission_minutes!P$2:P$43,MATCH($A153,SR_mission_minutes!$A$2:$A$43)),"-")</f>
        <v>2294</v>
      </c>
      <c r="Q153" s="105">
        <f>IFERROR(INDEX(lifespans_all!Q$80:Q$126,MATCH($A153,lifespans_all!$A$80:$A$126,0))*INDEX(SR_mission_minutes!Q$2:Q$43,MATCH($A153,SR_mission_minutes!$A$2:$A$43)),"-")</f>
        <v>2294</v>
      </c>
      <c r="R153" s="105">
        <f>IFERROR(INDEX(lifespans_all!R$80:R$126,MATCH($A153,lifespans_all!$A$80:$A$126,0))*INDEX(SR_mission_minutes!R$2:R$43,MATCH($A153,SR_mission_minutes!$A$2:$A$43)),"-")</f>
        <v>2294</v>
      </c>
      <c r="S153" s="105">
        <f>IFERROR(INDEX(lifespans_all!S$80:S$126,MATCH($A153,lifespans_all!$A$80:$A$126,0))*INDEX(SR_mission_minutes!S$2:S$43,MATCH($A153,SR_mission_minutes!$A$2:$A$43)),"-")</f>
        <v>2294</v>
      </c>
      <c r="T153" s="105">
        <f>IFERROR(INDEX(lifespans_all!T$80:T$126,MATCH($A153,lifespans_all!$A$80:$A$126,0))*INDEX(SR_mission_minutes!T$2:T$43,MATCH($A153,SR_mission_minutes!$A$2:$A$43)),"-")</f>
        <v>2294</v>
      </c>
      <c r="U153" s="105">
        <f>IFERROR(INDEX(lifespans_all!U$80:U$126,MATCH($A153,lifespans_all!$A$80:$A$126,0))*INDEX(SR_mission_minutes!U$2:U$43,MATCH($A153,SR_mission_minutes!$A$2:$A$43)),"-")</f>
        <v>2294</v>
      </c>
      <c r="V153" s="105">
        <f>IFERROR(INDEX(lifespans_all!V$80:V$126,MATCH($A153,lifespans_all!$A$80:$A$126,0))*INDEX(SR_mission_minutes!V$2:V$43,MATCH($A153,SR_mission_minutes!$A$2:$A$43)),"-")</f>
        <v>2294</v>
      </c>
    </row>
    <row r="154" spans="1:22" x14ac:dyDescent="0.25">
      <c r="A154" s="29" t="s">
        <v>56</v>
      </c>
      <c r="B154" s="29" t="s">
        <v>43</v>
      </c>
      <c r="C154" s="105">
        <f>IFERROR(INDEX(lifespans_all!C$158:C$212,MATCH($A154,lifespans_all!$A$158:$A$212,0))*INDEX(SR_mission_minutes!C$2:C$43,MATCH($A154,SR_mission_minutes!$A$2:$A$43)),"-")</f>
        <v>114879</v>
      </c>
      <c r="D154" s="105">
        <f>IFERROR(INDEX(lifespans_all!D$80:D$126,MATCH($A154,lifespans_all!$A$80:$A$126,0))*INDEX(SR_mission_minutes!D$2:D$43,MATCH($A154,SR_mission_minutes!$A$2:$A$43)),"-")</f>
        <v>114879</v>
      </c>
      <c r="E154" s="105">
        <f>IFERROR(INDEX(lifespans_all!E$80:E$126,MATCH($A154,lifespans_all!$A$80:$A$126,0))*INDEX(SR_mission_minutes!E$2:E$43,MATCH($A154,SR_mission_minutes!$A$2:$A$43)),"-")</f>
        <v>114879</v>
      </c>
      <c r="F154" s="105">
        <f>IFERROR(INDEX(lifespans_all!F$80:F$126,MATCH($A154,lifespans_all!$A$80:$A$126,0))*INDEX(SR_mission_minutes!F$2:F$43,MATCH($A154,SR_mission_minutes!$A$2:$A$43)),"-")</f>
        <v>114879</v>
      </c>
      <c r="G154" s="105">
        <f>IFERROR(INDEX(lifespans_all!G$80:G$126,MATCH($A154,lifespans_all!$A$80:$A$126,0))*INDEX(SR_mission_minutes!G$2:G$43,MATCH($A154,SR_mission_minutes!$A$2:$A$43)),"-")</f>
        <v>114879</v>
      </c>
      <c r="H154" s="105">
        <f>IFERROR(INDEX(lifespans_all!H$80:H$126,MATCH($A154,lifespans_all!$A$80:$A$126,0))*INDEX(SR_mission_minutes!H$2:H$43,MATCH($A154,SR_mission_minutes!$A$2:$A$43)),"-")</f>
        <v>114879</v>
      </c>
      <c r="I154" s="105">
        <f>IFERROR(INDEX(lifespans_all!I$80:I$126,MATCH($A154,lifespans_all!$A$80:$A$126,0))*INDEX(SR_mission_minutes!I$2:I$43,MATCH($A154,SR_mission_minutes!$A$2:$A$43)),"-")</f>
        <v>114879</v>
      </c>
      <c r="J154" s="105">
        <f>IFERROR(INDEX(lifespans_all!J$80:J$126,MATCH($A154,lifespans_all!$A$80:$A$126,0))*INDEX(SR_mission_minutes!J$2:J$43,MATCH($A154,SR_mission_minutes!$A$2:$A$43)),"-")</f>
        <v>114879</v>
      </c>
      <c r="K154" s="105">
        <f>IFERROR(INDEX(lifespans_all!K$80:K$126,MATCH($A154,lifespans_all!$A$80:$A$126,0))*INDEX(SR_mission_minutes!K$2:K$43,MATCH($A154,SR_mission_minutes!$A$2:$A$43)),"-")</f>
        <v>114879</v>
      </c>
      <c r="L154" s="105">
        <f>IFERROR(INDEX(lifespans_all!L$80:L$126,MATCH($A154,lifespans_all!$A$80:$A$126,0))*INDEX(SR_mission_minutes!L$2:L$43,MATCH($A154,SR_mission_minutes!$A$2:$A$43)),"-")</f>
        <v>114879</v>
      </c>
      <c r="M154" s="105">
        <f>IFERROR(INDEX(lifespans_all!M$80:M$126,MATCH($A154,lifespans_all!$A$80:$A$126,0))*INDEX(SR_mission_minutes!M$2:M$43,MATCH($A154,SR_mission_minutes!$A$2:$A$43)),"-")</f>
        <v>114879</v>
      </c>
      <c r="N154" s="105">
        <f>IFERROR(INDEX(lifespans_all!N$80:N$126,MATCH($A154,lifespans_all!$A$80:$A$126,0))*INDEX(SR_mission_minutes!N$2:N$43,MATCH($A154,SR_mission_minutes!$A$2:$A$43)),"-")</f>
        <v>114879</v>
      </c>
      <c r="O154" s="105">
        <f>IFERROR(INDEX(lifespans_all!O$80:O$126,MATCH($A154,lifespans_all!$A$80:$A$126,0))*INDEX(SR_mission_minutes!O$2:O$43,MATCH($A154,SR_mission_minutes!$A$2:$A$43)),"-")</f>
        <v>114879</v>
      </c>
      <c r="P154" s="105">
        <f>IFERROR(INDEX(lifespans_all!P$80:P$126,MATCH($A154,lifespans_all!$A$80:$A$126,0))*INDEX(SR_mission_minutes!P$2:P$43,MATCH($A154,SR_mission_minutes!$A$2:$A$43)),"-")</f>
        <v>114879</v>
      </c>
      <c r="Q154" s="105">
        <f>IFERROR(INDEX(lifespans_all!Q$80:Q$126,MATCH($A154,lifespans_all!$A$80:$A$126,0))*INDEX(SR_mission_minutes!Q$2:Q$43,MATCH($A154,SR_mission_minutes!$A$2:$A$43)),"-")</f>
        <v>114879</v>
      </c>
      <c r="R154" s="105">
        <f>IFERROR(INDEX(lifespans_all!R$80:R$126,MATCH($A154,lifespans_all!$A$80:$A$126,0))*INDEX(SR_mission_minutes!R$2:R$43,MATCH($A154,SR_mission_minutes!$A$2:$A$43)),"-")</f>
        <v>114879</v>
      </c>
      <c r="S154" s="105">
        <f>IFERROR(INDEX(lifespans_all!S$80:S$126,MATCH($A154,lifespans_all!$A$80:$A$126,0))*INDEX(SR_mission_minutes!S$2:S$43,MATCH($A154,SR_mission_minutes!$A$2:$A$43)),"-")</f>
        <v>114879</v>
      </c>
      <c r="T154" s="105">
        <f>IFERROR(INDEX(lifespans_all!T$80:T$126,MATCH($A154,lifespans_all!$A$80:$A$126,0))*INDEX(SR_mission_minutes!T$2:T$43,MATCH($A154,SR_mission_minutes!$A$2:$A$43)),"-")</f>
        <v>114879</v>
      </c>
      <c r="U154" s="105">
        <f>IFERROR(INDEX(lifespans_all!U$80:U$126,MATCH($A154,lifespans_all!$A$80:$A$126,0))*INDEX(SR_mission_minutes!U$2:U$43,MATCH($A154,SR_mission_minutes!$A$2:$A$43)),"-")</f>
        <v>114879</v>
      </c>
      <c r="V154" s="105">
        <f>IFERROR(INDEX(lifespans_all!V$80:V$126,MATCH($A154,lifespans_all!$A$80:$A$126,0))*INDEX(SR_mission_minutes!V$2:V$43,MATCH($A154,SR_mission_minutes!$A$2:$A$43)),"-")</f>
        <v>114879</v>
      </c>
    </row>
    <row r="155" spans="1:22" x14ac:dyDescent="0.25">
      <c r="A155" s="29" t="s">
        <v>19</v>
      </c>
      <c r="B155" s="29" t="s">
        <v>41</v>
      </c>
      <c r="C155" s="105">
        <f>IFERROR(INDEX(lifespans_all!C$158:C$212,MATCH($A155,lifespans_all!$A$158:$A$212,0))*INDEX(SR_mission_minutes!C$2:C$43,MATCH($A155,SR_mission_minutes!$A$2:$A$43)),"-")</f>
        <v>66700.388888888891</v>
      </c>
      <c r="D155" s="105">
        <f>IFERROR(INDEX(lifespans_all!D$80:D$126,MATCH($A155,lifespans_all!$A$80:$A$126,0))*INDEX(SR_mission_minutes!D$2:D$43,MATCH($A155,SR_mission_minutes!$A$2:$A$43)),"-")</f>
        <v>66700.388888888891</v>
      </c>
      <c r="E155" s="105">
        <f>IFERROR(INDEX(lifespans_all!E$80:E$126,MATCH($A155,lifespans_all!$A$80:$A$126,0))*INDEX(SR_mission_minutes!E$2:E$43,MATCH($A155,SR_mission_minutes!$A$2:$A$43)),"-")</f>
        <v>66700.388888888891</v>
      </c>
      <c r="F155" s="105">
        <f>IFERROR(INDEX(lifespans_all!F$80:F$126,MATCH($A155,lifespans_all!$A$80:$A$126,0))*INDEX(SR_mission_minutes!F$2:F$43,MATCH($A155,SR_mission_minutes!$A$2:$A$43)),"-")</f>
        <v>66700.388888888891</v>
      </c>
      <c r="G155" s="105">
        <f>IFERROR(INDEX(lifespans_all!G$80:G$126,MATCH($A155,lifespans_all!$A$80:$A$126,0))*INDEX(SR_mission_minutes!G$2:G$43,MATCH($A155,SR_mission_minutes!$A$2:$A$43)),"-")</f>
        <v>66700.388888888891</v>
      </c>
      <c r="H155" s="105">
        <f>IFERROR(INDEX(lifespans_all!H$80:H$126,MATCH($A155,lifespans_all!$A$80:$A$126,0))*INDEX(SR_mission_minutes!H$2:H$43,MATCH($A155,SR_mission_minutes!$A$2:$A$43)),"-")</f>
        <v>66700.388888888891</v>
      </c>
      <c r="I155" s="105">
        <f>IFERROR(INDEX(lifespans_all!I$80:I$126,MATCH($A155,lifespans_all!$A$80:$A$126,0))*INDEX(SR_mission_minutes!I$2:I$43,MATCH($A155,SR_mission_minutes!$A$2:$A$43)),"-")</f>
        <v>66700.388888888891</v>
      </c>
      <c r="J155" s="105">
        <f>IFERROR(INDEX(lifespans_all!J$80:J$126,MATCH($A155,lifespans_all!$A$80:$A$126,0))*INDEX(SR_mission_minutes!J$2:J$43,MATCH($A155,SR_mission_minutes!$A$2:$A$43)),"-")</f>
        <v>0</v>
      </c>
      <c r="K155" s="105">
        <f>IFERROR(INDEX(lifespans_all!K$80:K$126,MATCH($A155,lifespans_all!$A$80:$A$126,0))*INDEX(SR_mission_minutes!K$2:K$43,MATCH($A155,SR_mission_minutes!$A$2:$A$43)),"-")</f>
        <v>0</v>
      </c>
      <c r="L155" s="105">
        <f>IFERROR(INDEX(lifespans_all!L$80:L$126,MATCH($A155,lifespans_all!$A$80:$A$126,0))*INDEX(SR_mission_minutes!L$2:L$43,MATCH($A155,SR_mission_minutes!$A$2:$A$43)),"-")</f>
        <v>0</v>
      </c>
      <c r="M155" s="105">
        <f>IFERROR(INDEX(lifespans_all!M$80:M$126,MATCH($A155,lifespans_all!$A$80:$A$126,0))*INDEX(SR_mission_minutes!M$2:M$43,MATCH($A155,SR_mission_minutes!$A$2:$A$43)),"-")</f>
        <v>0</v>
      </c>
      <c r="N155" s="105">
        <f>IFERROR(INDEX(lifespans_all!N$80:N$126,MATCH($A155,lifespans_all!$A$80:$A$126,0))*INDEX(SR_mission_minutes!N$2:N$43,MATCH($A155,SR_mission_minutes!$A$2:$A$43)),"-")</f>
        <v>0</v>
      </c>
      <c r="O155" s="105">
        <f>IFERROR(INDEX(lifespans_all!O$80:O$126,MATCH($A155,lifespans_all!$A$80:$A$126,0))*INDEX(SR_mission_minutes!O$2:O$43,MATCH($A155,SR_mission_minutes!$A$2:$A$43)),"-")</f>
        <v>0</v>
      </c>
      <c r="P155" s="105">
        <f>IFERROR(INDEX(lifespans_all!P$80:P$126,MATCH($A155,lifespans_all!$A$80:$A$126,0))*INDEX(SR_mission_minutes!P$2:P$43,MATCH($A155,SR_mission_minutes!$A$2:$A$43)),"-")</f>
        <v>0</v>
      </c>
      <c r="Q155" s="105">
        <f>IFERROR(INDEX(lifespans_all!Q$80:Q$126,MATCH($A155,lifespans_all!$A$80:$A$126,0))*INDEX(SR_mission_minutes!Q$2:Q$43,MATCH($A155,SR_mission_minutes!$A$2:$A$43)),"-")</f>
        <v>0</v>
      </c>
      <c r="R155" s="105">
        <f>IFERROR(INDEX(lifespans_all!R$80:R$126,MATCH($A155,lifespans_all!$A$80:$A$126,0))*INDEX(SR_mission_minutes!R$2:R$43,MATCH($A155,SR_mission_minutes!$A$2:$A$43)),"-")</f>
        <v>0</v>
      </c>
      <c r="S155" s="105">
        <f>IFERROR(INDEX(lifespans_all!S$80:S$126,MATCH($A155,lifespans_all!$A$80:$A$126,0))*INDEX(SR_mission_minutes!S$2:S$43,MATCH($A155,SR_mission_minutes!$A$2:$A$43)),"-")</f>
        <v>0</v>
      </c>
      <c r="T155" s="105">
        <f>IFERROR(INDEX(lifespans_all!T$80:T$126,MATCH($A155,lifespans_all!$A$80:$A$126,0))*INDEX(SR_mission_minutes!T$2:T$43,MATCH($A155,SR_mission_minutes!$A$2:$A$43)),"-")</f>
        <v>0</v>
      </c>
      <c r="U155" s="105">
        <f>IFERROR(INDEX(lifespans_all!U$80:U$126,MATCH($A155,lifespans_all!$A$80:$A$126,0))*INDEX(SR_mission_minutes!U$2:U$43,MATCH($A155,SR_mission_minutes!$A$2:$A$43)),"-")</f>
        <v>0</v>
      </c>
      <c r="V155" s="105">
        <f>IFERROR(INDEX(lifespans_all!V$80:V$126,MATCH($A155,lifespans_all!$A$80:$A$126,0))*INDEX(SR_mission_minutes!V$2:V$43,MATCH($A155,SR_mission_minutes!$A$2:$A$43)),"-")</f>
        <v>0</v>
      </c>
    </row>
    <row r="156" spans="1:22" x14ac:dyDescent="0.25">
      <c r="A156" s="29" t="s">
        <v>20</v>
      </c>
      <c r="B156" s="29" t="s">
        <v>41</v>
      </c>
      <c r="C156" s="105">
        <f>IFERROR(INDEX(lifespans_all!C$158:C$212,MATCH($A156,lifespans_all!$A$158:$A$212,0))*INDEX(SR_mission_minutes!C$2:C$43,MATCH($A156,SR_mission_minutes!$A$2:$A$43)),"-")</f>
        <v>66700.388888888891</v>
      </c>
      <c r="D156" s="105">
        <f>IFERROR(INDEX(lifespans_all!D$80:D$126,MATCH($A156,lifespans_all!$A$80:$A$126,0))*INDEX(SR_mission_minutes!D$2:D$43,MATCH($A156,SR_mission_minutes!$A$2:$A$43)),"-")</f>
        <v>66700.388888888891</v>
      </c>
      <c r="E156" s="105">
        <f>IFERROR(INDEX(lifespans_all!E$80:E$126,MATCH($A156,lifespans_all!$A$80:$A$126,0))*INDEX(SR_mission_minutes!E$2:E$43,MATCH($A156,SR_mission_minutes!$A$2:$A$43)),"-")</f>
        <v>66700.388888888891</v>
      </c>
      <c r="F156" s="105">
        <f>IFERROR(INDEX(lifespans_all!F$80:F$126,MATCH($A156,lifespans_all!$A$80:$A$126,0))*INDEX(SR_mission_minutes!F$2:F$43,MATCH($A156,SR_mission_minutes!$A$2:$A$43)),"-")</f>
        <v>66700.388888888891</v>
      </c>
      <c r="G156" s="105">
        <f>IFERROR(INDEX(lifespans_all!G$80:G$126,MATCH($A156,lifespans_all!$A$80:$A$126,0))*INDEX(SR_mission_minutes!G$2:G$43,MATCH($A156,SR_mission_minutes!$A$2:$A$43)),"-")</f>
        <v>66700.388888888891</v>
      </c>
      <c r="H156" s="105">
        <f>IFERROR(INDEX(lifespans_all!H$80:H$126,MATCH($A156,lifespans_all!$A$80:$A$126,0))*INDEX(SR_mission_minutes!H$2:H$43,MATCH($A156,SR_mission_minutes!$A$2:$A$43)),"-")</f>
        <v>66700.388888888891</v>
      </c>
      <c r="I156" s="105">
        <f>IFERROR(INDEX(lifespans_all!I$80:I$126,MATCH($A156,lifespans_all!$A$80:$A$126,0))*INDEX(SR_mission_minutes!I$2:I$43,MATCH($A156,SR_mission_minutes!$A$2:$A$43)),"-")</f>
        <v>66700.388888888891</v>
      </c>
      <c r="J156" s="105">
        <f>IFERROR(INDEX(lifespans_all!J$80:J$126,MATCH($A156,lifespans_all!$A$80:$A$126,0))*INDEX(SR_mission_minutes!J$2:J$43,MATCH($A156,SR_mission_minutes!$A$2:$A$43)),"-")</f>
        <v>66700.388888888891</v>
      </c>
      <c r="K156" s="105">
        <f>IFERROR(INDEX(lifespans_all!K$80:K$126,MATCH($A156,lifespans_all!$A$80:$A$126,0))*INDEX(SR_mission_minutes!K$2:K$43,MATCH($A156,SR_mission_minutes!$A$2:$A$43)),"-")</f>
        <v>66700.388888888891</v>
      </c>
      <c r="L156" s="105">
        <f>IFERROR(INDEX(lifespans_all!L$80:L$126,MATCH($A156,lifespans_all!$A$80:$A$126,0))*INDEX(SR_mission_minutes!L$2:L$43,MATCH($A156,SR_mission_minutes!$A$2:$A$43)),"-")</f>
        <v>66700.388888888891</v>
      </c>
      <c r="M156" s="105">
        <f>IFERROR(INDEX(lifespans_all!M$80:M$126,MATCH($A156,lifespans_all!$A$80:$A$126,0))*INDEX(SR_mission_minutes!M$2:M$43,MATCH($A156,SR_mission_minutes!$A$2:$A$43)),"-")</f>
        <v>66700.388888888891</v>
      </c>
      <c r="N156" s="105">
        <f>IFERROR(INDEX(lifespans_all!N$80:N$126,MATCH($A156,lifespans_all!$A$80:$A$126,0))*INDEX(SR_mission_minutes!N$2:N$43,MATCH($A156,SR_mission_minutes!$A$2:$A$43)),"-")</f>
        <v>66700.388888888891</v>
      </c>
      <c r="O156" s="105">
        <f>IFERROR(INDEX(lifespans_all!O$80:O$126,MATCH($A156,lifespans_all!$A$80:$A$126,0))*INDEX(SR_mission_minutes!O$2:O$43,MATCH($A156,SR_mission_minutes!$A$2:$A$43)),"-")</f>
        <v>66700.388888888891</v>
      </c>
      <c r="P156" s="105">
        <f>IFERROR(INDEX(lifespans_all!P$80:P$126,MATCH($A156,lifespans_all!$A$80:$A$126,0))*INDEX(SR_mission_minutes!P$2:P$43,MATCH($A156,SR_mission_minutes!$A$2:$A$43)),"-")</f>
        <v>66700.388888888891</v>
      </c>
      <c r="Q156" s="105">
        <f>IFERROR(INDEX(lifespans_all!Q$80:Q$126,MATCH($A156,lifespans_all!$A$80:$A$126,0))*INDEX(SR_mission_minutes!Q$2:Q$43,MATCH($A156,SR_mission_minutes!$A$2:$A$43)),"-")</f>
        <v>66700.388888888891</v>
      </c>
      <c r="R156" s="105">
        <f>IFERROR(INDEX(lifespans_all!R$80:R$126,MATCH($A156,lifespans_all!$A$80:$A$126,0))*INDEX(SR_mission_minutes!R$2:R$43,MATCH($A156,SR_mission_minutes!$A$2:$A$43)),"-")</f>
        <v>66700.388888888891</v>
      </c>
      <c r="S156" s="105">
        <f>IFERROR(INDEX(lifespans_all!S$80:S$126,MATCH($A156,lifespans_all!$A$80:$A$126,0))*INDEX(SR_mission_minutes!S$2:S$43,MATCH($A156,SR_mission_minutes!$A$2:$A$43)),"-")</f>
        <v>66700.388888888891</v>
      </c>
      <c r="T156" s="105">
        <f>IFERROR(INDEX(lifespans_all!T$80:T$126,MATCH($A156,lifespans_all!$A$80:$A$126,0))*INDEX(SR_mission_minutes!T$2:T$43,MATCH($A156,SR_mission_minutes!$A$2:$A$43)),"-")</f>
        <v>66700.388888888891</v>
      </c>
      <c r="U156" s="105">
        <f>IFERROR(INDEX(lifespans_all!U$80:U$126,MATCH($A156,lifespans_all!$A$80:$A$126,0))*INDEX(SR_mission_minutes!U$2:U$43,MATCH($A156,SR_mission_minutes!$A$2:$A$43)),"-")</f>
        <v>66700.388888888891</v>
      </c>
      <c r="V156" s="105">
        <f>IFERROR(INDEX(lifespans_all!V$80:V$126,MATCH($A156,lifespans_all!$A$80:$A$126,0))*INDEX(SR_mission_minutes!V$2:V$43,MATCH($A156,SR_mission_minutes!$A$2:$A$43)),"-")</f>
        <v>66700.388888888891</v>
      </c>
    </row>
    <row r="157" spans="1:22" x14ac:dyDescent="0.25">
      <c r="A157" s="29" t="s">
        <v>21</v>
      </c>
      <c r="B157" s="29" t="s">
        <v>41</v>
      </c>
      <c r="C157" s="105">
        <f>IFERROR(INDEX(lifespans_all!C$158:C$212,MATCH($A157,lifespans_all!$A$158:$A$212,0))*INDEX(SR_mission_minutes!C$2:C$43,MATCH($A157,SR_mission_minutes!$A$2:$A$43)),"-")</f>
        <v>66700.388888888891</v>
      </c>
      <c r="D157" s="105">
        <f>IFERROR(INDEX(lifespans_all!D$80:D$126,MATCH($A157,lifespans_all!$A$80:$A$126,0))*INDEX(SR_mission_minutes!D$2:D$43,MATCH($A157,SR_mission_minutes!$A$2:$A$43)),"-")</f>
        <v>66700.388888888891</v>
      </c>
      <c r="E157" s="105">
        <f>IFERROR(INDEX(lifespans_all!E$80:E$126,MATCH($A157,lifespans_all!$A$80:$A$126,0))*INDEX(SR_mission_minutes!E$2:E$43,MATCH($A157,SR_mission_minutes!$A$2:$A$43)),"-")</f>
        <v>66700.388888888891</v>
      </c>
      <c r="F157" s="105">
        <f>IFERROR(INDEX(lifespans_all!F$80:F$126,MATCH($A157,lifespans_all!$A$80:$A$126,0))*INDEX(SR_mission_minutes!F$2:F$43,MATCH($A157,SR_mission_minutes!$A$2:$A$43)),"-")</f>
        <v>66700.388888888891</v>
      </c>
      <c r="G157" s="105">
        <f>IFERROR(INDEX(lifespans_all!G$80:G$126,MATCH($A157,lifespans_all!$A$80:$A$126,0))*INDEX(SR_mission_minutes!G$2:G$43,MATCH($A157,SR_mission_minutes!$A$2:$A$43)),"-")</f>
        <v>66700.388888888891</v>
      </c>
      <c r="H157" s="105">
        <f>IFERROR(INDEX(lifespans_all!H$80:H$126,MATCH($A157,lifespans_all!$A$80:$A$126,0))*INDEX(SR_mission_minutes!H$2:H$43,MATCH($A157,SR_mission_minutes!$A$2:$A$43)),"-")</f>
        <v>0</v>
      </c>
      <c r="I157" s="105">
        <f>IFERROR(INDEX(lifespans_all!I$80:I$126,MATCH($A157,lifespans_all!$A$80:$A$126,0))*INDEX(SR_mission_minutes!I$2:I$43,MATCH($A157,SR_mission_minutes!$A$2:$A$43)),"-")</f>
        <v>0</v>
      </c>
      <c r="J157" s="105">
        <f>IFERROR(INDEX(lifespans_all!J$80:J$126,MATCH($A157,lifespans_all!$A$80:$A$126,0))*INDEX(SR_mission_minutes!J$2:J$43,MATCH($A157,SR_mission_minutes!$A$2:$A$43)),"-")</f>
        <v>0</v>
      </c>
      <c r="K157" s="105">
        <f>IFERROR(INDEX(lifespans_all!K$80:K$126,MATCH($A157,lifespans_all!$A$80:$A$126,0))*INDEX(SR_mission_minutes!K$2:K$43,MATCH($A157,SR_mission_minutes!$A$2:$A$43)),"-")</f>
        <v>0</v>
      </c>
      <c r="L157" s="105">
        <f>IFERROR(INDEX(lifespans_all!L$80:L$126,MATCH($A157,lifespans_all!$A$80:$A$126,0))*INDEX(SR_mission_minutes!L$2:L$43,MATCH($A157,SR_mission_minutes!$A$2:$A$43)),"-")</f>
        <v>0</v>
      </c>
      <c r="M157" s="105">
        <f>IFERROR(INDEX(lifespans_all!M$80:M$126,MATCH($A157,lifespans_all!$A$80:$A$126,0))*INDEX(SR_mission_minutes!M$2:M$43,MATCH($A157,SR_mission_minutes!$A$2:$A$43)),"-")</f>
        <v>0</v>
      </c>
      <c r="N157" s="105">
        <f>IFERROR(INDEX(lifespans_all!N$80:N$126,MATCH($A157,lifespans_all!$A$80:$A$126,0))*INDEX(SR_mission_minutes!N$2:N$43,MATCH($A157,SR_mission_minutes!$A$2:$A$43)),"-")</f>
        <v>0</v>
      </c>
      <c r="O157" s="105">
        <f>IFERROR(INDEX(lifespans_all!O$80:O$126,MATCH($A157,lifespans_all!$A$80:$A$126,0))*INDEX(SR_mission_minutes!O$2:O$43,MATCH($A157,SR_mission_minutes!$A$2:$A$43)),"-")</f>
        <v>0</v>
      </c>
      <c r="P157" s="105">
        <f>IFERROR(INDEX(lifespans_all!P$80:P$126,MATCH($A157,lifespans_all!$A$80:$A$126,0))*INDEX(SR_mission_minutes!P$2:P$43,MATCH($A157,SR_mission_minutes!$A$2:$A$43)),"-")</f>
        <v>0</v>
      </c>
      <c r="Q157" s="105">
        <f>IFERROR(INDEX(lifespans_all!Q$80:Q$126,MATCH($A157,lifespans_all!$A$80:$A$126,0))*INDEX(SR_mission_minutes!Q$2:Q$43,MATCH($A157,SR_mission_minutes!$A$2:$A$43)),"-")</f>
        <v>0</v>
      </c>
      <c r="R157" s="105">
        <f>IFERROR(INDEX(lifespans_all!R$80:R$126,MATCH($A157,lifespans_all!$A$80:$A$126,0))*INDEX(SR_mission_minutes!R$2:R$43,MATCH($A157,SR_mission_minutes!$A$2:$A$43)),"-")</f>
        <v>0</v>
      </c>
      <c r="S157" s="105">
        <f>IFERROR(INDEX(lifespans_all!S$80:S$126,MATCH($A157,lifespans_all!$A$80:$A$126,0))*INDEX(SR_mission_minutes!S$2:S$43,MATCH($A157,SR_mission_minutes!$A$2:$A$43)),"-")</f>
        <v>0</v>
      </c>
      <c r="T157" s="105">
        <f>IFERROR(INDEX(lifespans_all!T$80:T$126,MATCH($A157,lifespans_all!$A$80:$A$126,0))*INDEX(SR_mission_minutes!T$2:T$43,MATCH($A157,SR_mission_minutes!$A$2:$A$43)),"-")</f>
        <v>0</v>
      </c>
      <c r="U157" s="105">
        <f>IFERROR(INDEX(lifespans_all!U$80:U$126,MATCH($A157,lifespans_all!$A$80:$A$126,0))*INDEX(SR_mission_minutes!U$2:U$43,MATCH($A157,SR_mission_minutes!$A$2:$A$43)),"-")</f>
        <v>0</v>
      </c>
      <c r="V157" s="105">
        <f>IFERROR(INDEX(lifespans_all!V$80:V$126,MATCH($A157,lifespans_all!$A$80:$A$126,0))*INDEX(SR_mission_minutes!V$2:V$43,MATCH($A157,SR_mission_minutes!$A$2:$A$43)),"-")</f>
        <v>0</v>
      </c>
    </row>
    <row r="158" spans="1:22" x14ac:dyDescent="0.25">
      <c r="A158" s="29" t="s">
        <v>57</v>
      </c>
      <c r="B158" s="29" t="s">
        <v>41</v>
      </c>
      <c r="C158" s="105">
        <f>IFERROR(INDEX(lifespans_all!C$158:C$212,MATCH($A158,lifespans_all!$A$158:$A$212,0))*INDEX(SR_mission_minutes!C$2:C$43,MATCH($A158,SR_mission_minutes!$A$2:$A$43)),"-")</f>
        <v>66700.388888888891</v>
      </c>
      <c r="D158" s="105">
        <f>IFERROR(INDEX(lifespans_all!D$80:D$126,MATCH($A158,lifespans_all!$A$80:$A$126,0))*INDEX(SR_mission_minutes!D$2:D$43,MATCH($A158,SR_mission_minutes!$A$2:$A$43)),"-")</f>
        <v>66700.388888888891</v>
      </c>
      <c r="E158" s="105">
        <f>IFERROR(INDEX(lifespans_all!E$80:E$126,MATCH($A158,lifespans_all!$A$80:$A$126,0))*INDEX(SR_mission_minutes!E$2:E$43,MATCH($A158,SR_mission_minutes!$A$2:$A$43)),"-")</f>
        <v>66700.388888888891</v>
      </c>
      <c r="F158" s="105">
        <f>IFERROR(INDEX(lifespans_all!F$80:F$126,MATCH($A158,lifespans_all!$A$80:$A$126,0))*INDEX(SR_mission_minutes!F$2:F$43,MATCH($A158,SR_mission_minutes!$A$2:$A$43)),"-")</f>
        <v>66700.388888888891</v>
      </c>
      <c r="G158" s="105">
        <f>IFERROR(INDEX(lifespans_all!G$80:G$126,MATCH($A158,lifespans_all!$A$80:$A$126,0))*INDEX(SR_mission_minutes!G$2:G$43,MATCH($A158,SR_mission_minutes!$A$2:$A$43)),"-")</f>
        <v>66700.388888888891</v>
      </c>
      <c r="H158" s="105">
        <f>IFERROR(INDEX(lifespans_all!H$80:H$126,MATCH($A158,lifespans_all!$A$80:$A$126,0))*INDEX(SR_mission_minutes!H$2:H$43,MATCH($A158,SR_mission_minutes!$A$2:$A$43)),"-")</f>
        <v>0</v>
      </c>
      <c r="I158" s="105">
        <f>IFERROR(INDEX(lifespans_all!I$80:I$126,MATCH($A158,lifespans_all!$A$80:$A$126,0))*INDEX(SR_mission_minutes!I$2:I$43,MATCH($A158,SR_mission_minutes!$A$2:$A$43)),"-")</f>
        <v>0</v>
      </c>
      <c r="J158" s="105">
        <f>IFERROR(INDEX(lifespans_all!J$80:J$126,MATCH($A158,lifespans_all!$A$80:$A$126,0))*INDEX(SR_mission_minutes!J$2:J$43,MATCH($A158,SR_mission_minutes!$A$2:$A$43)),"-")</f>
        <v>0</v>
      </c>
      <c r="K158" s="105">
        <f>IFERROR(INDEX(lifespans_all!K$80:K$126,MATCH($A158,lifespans_all!$A$80:$A$126,0))*INDEX(SR_mission_minutes!K$2:K$43,MATCH($A158,SR_mission_minutes!$A$2:$A$43)),"-")</f>
        <v>0</v>
      </c>
      <c r="L158" s="105">
        <f>IFERROR(INDEX(lifespans_all!L$80:L$126,MATCH($A158,lifespans_all!$A$80:$A$126,0))*INDEX(SR_mission_minutes!L$2:L$43,MATCH($A158,SR_mission_minutes!$A$2:$A$43)),"-")</f>
        <v>0</v>
      </c>
      <c r="M158" s="105">
        <f>IFERROR(INDEX(lifespans_all!M$80:M$126,MATCH($A158,lifespans_all!$A$80:$A$126,0))*INDEX(SR_mission_minutes!M$2:M$43,MATCH($A158,SR_mission_minutes!$A$2:$A$43)),"-")</f>
        <v>0</v>
      </c>
      <c r="N158" s="105">
        <f>IFERROR(INDEX(lifespans_all!N$80:N$126,MATCH($A158,lifespans_all!$A$80:$A$126,0))*INDEX(SR_mission_minutes!N$2:N$43,MATCH($A158,SR_mission_minutes!$A$2:$A$43)),"-")</f>
        <v>0</v>
      </c>
      <c r="O158" s="105">
        <f>IFERROR(INDEX(lifespans_all!O$80:O$126,MATCH($A158,lifespans_all!$A$80:$A$126,0))*INDEX(SR_mission_minutes!O$2:O$43,MATCH($A158,SR_mission_minutes!$A$2:$A$43)),"-")</f>
        <v>0</v>
      </c>
      <c r="P158" s="105">
        <f>IFERROR(INDEX(lifespans_all!P$80:P$126,MATCH($A158,lifespans_all!$A$80:$A$126,0))*INDEX(SR_mission_minutes!P$2:P$43,MATCH($A158,SR_mission_minutes!$A$2:$A$43)),"-")</f>
        <v>0</v>
      </c>
      <c r="Q158" s="105">
        <f>IFERROR(INDEX(lifespans_all!Q$80:Q$126,MATCH($A158,lifespans_all!$A$80:$A$126,0))*INDEX(SR_mission_minutes!Q$2:Q$43,MATCH($A158,SR_mission_minutes!$A$2:$A$43)),"-")</f>
        <v>0</v>
      </c>
      <c r="R158" s="105">
        <f>IFERROR(INDEX(lifespans_all!R$80:R$126,MATCH($A158,lifespans_all!$A$80:$A$126,0))*INDEX(SR_mission_minutes!R$2:R$43,MATCH($A158,SR_mission_minutes!$A$2:$A$43)),"-")</f>
        <v>0</v>
      </c>
      <c r="S158" s="105">
        <f>IFERROR(INDEX(lifespans_all!S$80:S$126,MATCH($A158,lifespans_all!$A$80:$A$126,0))*INDEX(SR_mission_minutes!S$2:S$43,MATCH($A158,SR_mission_minutes!$A$2:$A$43)),"-")</f>
        <v>0</v>
      </c>
      <c r="T158" s="105">
        <f>IFERROR(INDEX(lifespans_all!T$80:T$126,MATCH($A158,lifespans_all!$A$80:$A$126,0))*INDEX(SR_mission_minutes!T$2:T$43,MATCH($A158,SR_mission_minutes!$A$2:$A$43)),"-")</f>
        <v>0</v>
      </c>
      <c r="U158" s="105">
        <f>IFERROR(INDEX(lifespans_all!U$80:U$126,MATCH($A158,lifespans_all!$A$80:$A$126,0))*INDEX(SR_mission_minutes!U$2:U$43,MATCH($A158,SR_mission_minutes!$A$2:$A$43)),"-")</f>
        <v>0</v>
      </c>
      <c r="V158" s="105">
        <f>IFERROR(INDEX(lifespans_all!V$80:V$126,MATCH($A158,lifespans_all!$A$80:$A$126,0))*INDEX(SR_mission_minutes!V$2:V$43,MATCH($A158,SR_mission_minutes!$A$2:$A$43)),"-")</f>
        <v>0</v>
      </c>
    </row>
    <row r="159" spans="1:22" x14ac:dyDescent="0.25">
      <c r="A159" s="29" t="s">
        <v>22</v>
      </c>
      <c r="B159" s="29" t="s">
        <v>41</v>
      </c>
      <c r="C159" s="105">
        <f>IFERROR(INDEX(lifespans_all!C$158:C$212,MATCH($A159,lifespans_all!$A$158:$A$212,0))*INDEX(SR_mission_minutes!C$2:C$43,MATCH($A159,SR_mission_minutes!$A$2:$A$43)),"-")</f>
        <v>66700.388888888891</v>
      </c>
      <c r="D159" s="105">
        <f>IFERROR(INDEX(lifespans_all!D$80:D$126,MATCH($A159,lifespans_all!$A$80:$A$126,0))*INDEX(SR_mission_minutes!D$2:D$43,MATCH($A159,SR_mission_minutes!$A$2:$A$43)),"-")</f>
        <v>66700.388888888891</v>
      </c>
      <c r="E159" s="105">
        <f>IFERROR(INDEX(lifespans_all!E$80:E$126,MATCH($A159,lifespans_all!$A$80:$A$126,0))*INDEX(SR_mission_minutes!E$2:E$43,MATCH($A159,SR_mission_minutes!$A$2:$A$43)),"-")</f>
        <v>66700.388888888891</v>
      </c>
      <c r="F159" s="105">
        <f>IFERROR(INDEX(lifespans_all!F$80:F$126,MATCH($A159,lifespans_all!$A$80:$A$126,0))*INDEX(SR_mission_minutes!F$2:F$43,MATCH($A159,SR_mission_minutes!$A$2:$A$43)),"-")</f>
        <v>66700.388888888891</v>
      </c>
      <c r="G159" s="105">
        <f>IFERROR(INDEX(lifespans_all!G$80:G$126,MATCH($A159,lifespans_all!$A$80:$A$126,0))*INDEX(SR_mission_minutes!G$2:G$43,MATCH($A159,SR_mission_minutes!$A$2:$A$43)),"-")</f>
        <v>0</v>
      </c>
      <c r="H159" s="105">
        <f>IFERROR(INDEX(lifespans_all!H$80:H$126,MATCH($A159,lifespans_all!$A$80:$A$126,0))*INDEX(SR_mission_minutes!H$2:H$43,MATCH($A159,SR_mission_minutes!$A$2:$A$43)),"-")</f>
        <v>0</v>
      </c>
      <c r="I159" s="105">
        <f>IFERROR(INDEX(lifespans_all!I$80:I$126,MATCH($A159,lifespans_all!$A$80:$A$126,0))*INDEX(SR_mission_minutes!I$2:I$43,MATCH($A159,SR_mission_minutes!$A$2:$A$43)),"-")</f>
        <v>0</v>
      </c>
      <c r="J159" s="105">
        <f>IFERROR(INDEX(lifespans_all!J$80:J$126,MATCH($A159,lifespans_all!$A$80:$A$126,0))*INDEX(SR_mission_minutes!J$2:J$43,MATCH($A159,SR_mission_minutes!$A$2:$A$43)),"-")</f>
        <v>0</v>
      </c>
      <c r="K159" s="105">
        <f>IFERROR(INDEX(lifespans_all!K$80:K$126,MATCH($A159,lifespans_all!$A$80:$A$126,0))*INDEX(SR_mission_minutes!K$2:K$43,MATCH($A159,SR_mission_minutes!$A$2:$A$43)),"-")</f>
        <v>0</v>
      </c>
      <c r="L159" s="105">
        <f>IFERROR(INDEX(lifespans_all!L$80:L$126,MATCH($A159,lifespans_all!$A$80:$A$126,0))*INDEX(SR_mission_minutes!L$2:L$43,MATCH($A159,SR_mission_minutes!$A$2:$A$43)),"-")</f>
        <v>0</v>
      </c>
      <c r="M159" s="105">
        <f>IFERROR(INDEX(lifespans_all!M$80:M$126,MATCH($A159,lifespans_all!$A$80:$A$126,0))*INDEX(SR_mission_minutes!M$2:M$43,MATCH($A159,SR_mission_minutes!$A$2:$A$43)),"-")</f>
        <v>0</v>
      </c>
      <c r="N159" s="105">
        <f>IFERROR(INDEX(lifespans_all!N$80:N$126,MATCH($A159,lifespans_all!$A$80:$A$126,0))*INDEX(SR_mission_minutes!N$2:N$43,MATCH($A159,SR_mission_minutes!$A$2:$A$43)),"-")</f>
        <v>0</v>
      </c>
      <c r="O159" s="105">
        <f>IFERROR(INDEX(lifespans_all!O$80:O$126,MATCH($A159,lifespans_all!$A$80:$A$126,0))*INDEX(SR_mission_minutes!O$2:O$43,MATCH($A159,SR_mission_minutes!$A$2:$A$43)),"-")</f>
        <v>0</v>
      </c>
      <c r="P159" s="105">
        <f>IFERROR(INDEX(lifespans_all!P$80:P$126,MATCH($A159,lifespans_all!$A$80:$A$126,0))*INDEX(SR_mission_minutes!P$2:P$43,MATCH($A159,SR_mission_minutes!$A$2:$A$43)),"-")</f>
        <v>0</v>
      </c>
      <c r="Q159" s="105">
        <f>IFERROR(INDEX(lifespans_all!Q$80:Q$126,MATCH($A159,lifespans_all!$A$80:$A$126,0))*INDEX(SR_mission_minutes!Q$2:Q$43,MATCH($A159,SR_mission_minutes!$A$2:$A$43)),"-")</f>
        <v>0</v>
      </c>
      <c r="R159" s="105">
        <f>IFERROR(INDEX(lifespans_all!R$80:R$126,MATCH($A159,lifespans_all!$A$80:$A$126,0))*INDEX(SR_mission_minutes!R$2:R$43,MATCH($A159,SR_mission_minutes!$A$2:$A$43)),"-")</f>
        <v>0</v>
      </c>
      <c r="S159" s="105">
        <f>IFERROR(INDEX(lifespans_all!S$80:S$126,MATCH($A159,lifespans_all!$A$80:$A$126,0))*INDEX(SR_mission_minutes!S$2:S$43,MATCH($A159,SR_mission_minutes!$A$2:$A$43)),"-")</f>
        <v>0</v>
      </c>
      <c r="T159" s="105">
        <f>IFERROR(INDEX(lifespans_all!T$80:T$126,MATCH($A159,lifespans_all!$A$80:$A$126,0))*INDEX(SR_mission_minutes!T$2:T$43,MATCH($A159,SR_mission_minutes!$A$2:$A$43)),"-")</f>
        <v>0</v>
      </c>
      <c r="U159" s="105">
        <f>IFERROR(INDEX(lifespans_all!U$80:U$126,MATCH($A159,lifespans_all!$A$80:$A$126,0))*INDEX(SR_mission_minutes!U$2:U$43,MATCH($A159,SR_mission_minutes!$A$2:$A$43)),"-")</f>
        <v>0</v>
      </c>
      <c r="V159" s="105">
        <f>IFERROR(INDEX(lifespans_all!V$80:V$126,MATCH($A159,lifespans_all!$A$80:$A$126,0))*INDEX(SR_mission_minutes!V$2:V$43,MATCH($A159,SR_mission_minutes!$A$2:$A$43)),"-")</f>
        <v>0</v>
      </c>
    </row>
    <row r="160" spans="1:22" x14ac:dyDescent="0.25">
      <c r="A160" s="29" t="s">
        <v>23</v>
      </c>
      <c r="B160" s="29" t="s">
        <v>43</v>
      </c>
      <c r="C160" s="105">
        <f>IFERROR(INDEX(lifespans_all!C$158:C$212,MATCH($A160,lifespans_all!$A$158:$A$212,0))*INDEX(SR_mission_minutes!C$2:C$43,MATCH($A160,SR_mission_minutes!$A$2:$A$43)),"-")</f>
        <v>114879</v>
      </c>
      <c r="D160" s="105">
        <f>IFERROR(INDEX(lifespans_all!D$80:D$126,MATCH($A160,lifespans_all!$A$80:$A$126,0))*INDEX(SR_mission_minutes!D$2:D$43,MATCH($A160,SR_mission_minutes!$A$2:$A$43)),"-")</f>
        <v>114879</v>
      </c>
      <c r="E160" s="105">
        <f>IFERROR(INDEX(lifespans_all!E$80:E$126,MATCH($A160,lifespans_all!$A$80:$A$126,0))*INDEX(SR_mission_minutes!E$2:E$43,MATCH($A160,SR_mission_minutes!$A$2:$A$43)),"-")</f>
        <v>114879</v>
      </c>
      <c r="F160" s="105">
        <f>IFERROR(INDEX(lifespans_all!F$80:F$126,MATCH($A160,lifespans_all!$A$80:$A$126,0))*INDEX(SR_mission_minutes!F$2:F$43,MATCH($A160,SR_mission_minutes!$A$2:$A$43)),"-")</f>
        <v>114879</v>
      </c>
      <c r="G160" s="105">
        <f>IFERROR(INDEX(lifespans_all!G$80:G$126,MATCH($A160,lifespans_all!$A$80:$A$126,0))*INDEX(SR_mission_minutes!G$2:G$43,MATCH($A160,SR_mission_minutes!$A$2:$A$43)),"-")</f>
        <v>114879</v>
      </c>
      <c r="H160" s="105">
        <f>IFERROR(INDEX(lifespans_all!H$80:H$126,MATCH($A160,lifespans_all!$A$80:$A$126,0))*INDEX(SR_mission_minutes!H$2:H$43,MATCH($A160,SR_mission_minutes!$A$2:$A$43)),"-")</f>
        <v>114879</v>
      </c>
      <c r="I160" s="105">
        <f>IFERROR(INDEX(lifespans_all!I$80:I$126,MATCH($A160,lifespans_all!$A$80:$A$126,0))*INDEX(SR_mission_minutes!I$2:I$43,MATCH($A160,SR_mission_minutes!$A$2:$A$43)),"-")</f>
        <v>114879</v>
      </c>
      <c r="J160" s="105">
        <f>IFERROR(INDEX(lifespans_all!J$80:J$126,MATCH($A160,lifespans_all!$A$80:$A$126,0))*INDEX(SR_mission_minutes!J$2:J$43,MATCH($A160,SR_mission_minutes!$A$2:$A$43)),"-")</f>
        <v>114879</v>
      </c>
      <c r="K160" s="105">
        <f>IFERROR(INDEX(lifespans_all!K$80:K$126,MATCH($A160,lifespans_all!$A$80:$A$126,0))*INDEX(SR_mission_minutes!K$2:K$43,MATCH($A160,SR_mission_minutes!$A$2:$A$43)),"-")</f>
        <v>114879</v>
      </c>
      <c r="L160" s="105">
        <f>IFERROR(INDEX(lifespans_all!L$80:L$126,MATCH($A160,lifespans_all!$A$80:$A$126,0))*INDEX(SR_mission_minutes!L$2:L$43,MATCH($A160,SR_mission_minutes!$A$2:$A$43)),"-")</f>
        <v>114879</v>
      </c>
      <c r="M160" s="105">
        <f>IFERROR(INDEX(lifespans_all!M$80:M$126,MATCH($A160,lifespans_all!$A$80:$A$126,0))*INDEX(SR_mission_minutes!M$2:M$43,MATCH($A160,SR_mission_minutes!$A$2:$A$43)),"-")</f>
        <v>0</v>
      </c>
      <c r="N160" s="105">
        <f>IFERROR(INDEX(lifespans_all!N$80:N$126,MATCH($A160,lifespans_all!$A$80:$A$126,0))*INDEX(SR_mission_minutes!N$2:N$43,MATCH($A160,SR_mission_minutes!$A$2:$A$43)),"-")</f>
        <v>0</v>
      </c>
      <c r="O160" s="105">
        <f>IFERROR(INDEX(lifespans_all!O$80:O$126,MATCH($A160,lifespans_all!$A$80:$A$126,0))*INDEX(SR_mission_minutes!O$2:O$43,MATCH($A160,SR_mission_minutes!$A$2:$A$43)),"-")</f>
        <v>0</v>
      </c>
      <c r="P160" s="105">
        <f>IFERROR(INDEX(lifespans_all!P$80:P$126,MATCH($A160,lifespans_all!$A$80:$A$126,0))*INDEX(SR_mission_minutes!P$2:P$43,MATCH($A160,SR_mission_minutes!$A$2:$A$43)),"-")</f>
        <v>0</v>
      </c>
      <c r="Q160" s="105">
        <f>IFERROR(INDEX(lifespans_all!Q$80:Q$126,MATCH($A160,lifespans_all!$A$80:$A$126,0))*INDEX(SR_mission_minutes!Q$2:Q$43,MATCH($A160,SR_mission_minutes!$A$2:$A$43)),"-")</f>
        <v>0</v>
      </c>
      <c r="R160" s="105">
        <f>IFERROR(INDEX(lifespans_all!R$80:R$126,MATCH($A160,lifespans_all!$A$80:$A$126,0))*INDEX(SR_mission_minutes!R$2:R$43,MATCH($A160,SR_mission_minutes!$A$2:$A$43)),"-")</f>
        <v>0</v>
      </c>
      <c r="S160" s="105">
        <f>IFERROR(INDEX(lifespans_all!S$80:S$126,MATCH($A160,lifespans_all!$A$80:$A$126,0))*INDEX(SR_mission_minutes!S$2:S$43,MATCH($A160,SR_mission_minutes!$A$2:$A$43)),"-")</f>
        <v>0</v>
      </c>
      <c r="T160" s="105">
        <f>IFERROR(INDEX(lifespans_all!T$80:T$126,MATCH($A160,lifespans_all!$A$80:$A$126,0))*INDEX(SR_mission_minutes!T$2:T$43,MATCH($A160,SR_mission_minutes!$A$2:$A$43)),"-")</f>
        <v>0</v>
      </c>
      <c r="U160" s="105">
        <f>IFERROR(INDEX(lifespans_all!U$80:U$126,MATCH($A160,lifespans_all!$A$80:$A$126,0))*INDEX(SR_mission_minutes!U$2:U$43,MATCH($A160,SR_mission_minutes!$A$2:$A$43)),"-")</f>
        <v>0</v>
      </c>
      <c r="V160" s="105">
        <f>IFERROR(INDEX(lifespans_all!V$80:V$126,MATCH($A160,lifespans_all!$A$80:$A$126,0))*INDEX(SR_mission_minutes!V$2:V$43,MATCH($A160,SR_mission_minutes!$A$2:$A$43)),"-")</f>
        <v>0</v>
      </c>
    </row>
    <row r="161" spans="1:22" x14ac:dyDescent="0.25">
      <c r="A161" s="29" t="s">
        <v>24</v>
      </c>
      <c r="B161" s="29" t="s">
        <v>42</v>
      </c>
      <c r="C161" s="105">
        <f>IFERROR(INDEX(lifespans_all!C$158:C$212,MATCH($A161,lifespans_all!$A$158:$A$212,0))*INDEX(SR_mission_minutes!C$2:C$43,MATCH($A161,SR_mission_minutes!$A$2:$A$43)),"-")</f>
        <v>0</v>
      </c>
      <c r="D161" s="105">
        <f>IFERROR(INDEX(lifespans_all!D$80:D$126,MATCH($A161,lifespans_all!$A$80:$A$126,0))*INDEX(SR_mission_minutes!D$2:D$43,MATCH($A161,SR_mission_minutes!$A$2:$A$43)),"-")</f>
        <v>0</v>
      </c>
      <c r="E161" s="105">
        <f>IFERROR(INDEX(lifespans_all!E$80:E$126,MATCH($A161,lifespans_all!$A$80:$A$126,0))*INDEX(SR_mission_minutes!E$2:E$43,MATCH($A161,SR_mission_minutes!$A$2:$A$43)),"-")</f>
        <v>0</v>
      </c>
      <c r="F161" s="105">
        <f>IFERROR(INDEX(lifespans_all!F$80:F$126,MATCH($A161,lifespans_all!$A$80:$A$126,0))*INDEX(SR_mission_minutes!F$2:F$43,MATCH($A161,SR_mission_minutes!$A$2:$A$43)),"-")</f>
        <v>0</v>
      </c>
      <c r="G161" s="105">
        <f>IFERROR(INDEX(lifespans_all!G$80:G$126,MATCH($A161,lifespans_all!$A$80:$A$126,0))*INDEX(SR_mission_minutes!G$2:G$43,MATCH($A161,SR_mission_minutes!$A$2:$A$43)),"-")</f>
        <v>0</v>
      </c>
      <c r="H161" s="105">
        <f>IFERROR(INDEX(lifespans_all!H$80:H$126,MATCH($A161,lifespans_all!$A$80:$A$126,0))*INDEX(SR_mission_minutes!H$2:H$43,MATCH($A161,SR_mission_minutes!$A$2:$A$43)),"-")</f>
        <v>0</v>
      </c>
      <c r="I161" s="105">
        <f>IFERROR(INDEX(lifespans_all!I$80:I$126,MATCH($A161,lifespans_all!$A$80:$A$126,0))*INDEX(SR_mission_minutes!I$2:I$43,MATCH($A161,SR_mission_minutes!$A$2:$A$43)),"-")</f>
        <v>0</v>
      </c>
      <c r="J161" s="105">
        <f>IFERROR(INDEX(lifespans_all!J$80:J$126,MATCH($A161,lifespans_all!$A$80:$A$126,0))*INDEX(SR_mission_minutes!J$2:J$43,MATCH($A161,SR_mission_minutes!$A$2:$A$43)),"-")</f>
        <v>0</v>
      </c>
      <c r="K161" s="105">
        <f>IFERROR(INDEX(lifespans_all!K$80:K$126,MATCH($A161,lifespans_all!$A$80:$A$126,0))*INDEX(SR_mission_minutes!K$2:K$43,MATCH($A161,SR_mission_minutes!$A$2:$A$43)),"-")</f>
        <v>0</v>
      </c>
      <c r="L161" s="105">
        <f>IFERROR(INDEX(lifespans_all!L$80:L$126,MATCH($A161,lifespans_all!$A$80:$A$126,0))*INDEX(SR_mission_minutes!L$2:L$43,MATCH($A161,SR_mission_minutes!$A$2:$A$43)),"-")</f>
        <v>0</v>
      </c>
      <c r="M161" s="105">
        <f>IFERROR(INDEX(lifespans_all!M$80:M$126,MATCH($A161,lifespans_all!$A$80:$A$126,0))*INDEX(SR_mission_minutes!M$2:M$43,MATCH($A161,SR_mission_minutes!$A$2:$A$43)),"-")</f>
        <v>0</v>
      </c>
      <c r="N161" s="105">
        <f>IFERROR(INDEX(lifespans_all!N$80:N$126,MATCH($A161,lifespans_all!$A$80:$A$126,0))*INDEX(SR_mission_minutes!N$2:N$43,MATCH($A161,SR_mission_minutes!$A$2:$A$43)),"-")</f>
        <v>0</v>
      </c>
      <c r="O161" s="105">
        <f>IFERROR(INDEX(lifespans_all!O$80:O$126,MATCH($A161,lifespans_all!$A$80:$A$126,0))*INDEX(SR_mission_minutes!O$2:O$43,MATCH($A161,SR_mission_minutes!$A$2:$A$43)),"-")</f>
        <v>0</v>
      </c>
      <c r="P161" s="105">
        <f>IFERROR(INDEX(lifespans_all!P$80:P$126,MATCH($A161,lifespans_all!$A$80:$A$126,0))*INDEX(SR_mission_minutes!P$2:P$43,MATCH($A161,SR_mission_minutes!$A$2:$A$43)),"-")</f>
        <v>0</v>
      </c>
      <c r="Q161" s="105">
        <f>IFERROR(INDEX(lifespans_all!Q$80:Q$126,MATCH($A161,lifespans_all!$A$80:$A$126,0))*INDEX(SR_mission_minutes!Q$2:Q$43,MATCH($A161,SR_mission_minutes!$A$2:$A$43)),"-")</f>
        <v>0</v>
      </c>
      <c r="R161" s="105">
        <f>IFERROR(INDEX(lifespans_all!R$80:R$126,MATCH($A161,lifespans_all!$A$80:$A$126,0))*INDEX(SR_mission_minutes!R$2:R$43,MATCH($A161,SR_mission_minutes!$A$2:$A$43)),"-")</f>
        <v>0</v>
      </c>
      <c r="S161" s="105">
        <f>IFERROR(INDEX(lifespans_all!S$80:S$126,MATCH($A161,lifespans_all!$A$80:$A$126,0))*INDEX(SR_mission_minutes!S$2:S$43,MATCH($A161,SR_mission_minutes!$A$2:$A$43)),"-")</f>
        <v>0</v>
      </c>
      <c r="T161" s="105">
        <f>IFERROR(INDEX(lifespans_all!T$80:T$126,MATCH($A161,lifespans_all!$A$80:$A$126,0))*INDEX(SR_mission_minutes!T$2:T$43,MATCH($A161,SR_mission_minutes!$A$2:$A$43)),"-")</f>
        <v>0</v>
      </c>
      <c r="U161" s="105">
        <f>IFERROR(INDEX(lifespans_all!U$80:U$126,MATCH($A161,lifespans_all!$A$80:$A$126,0))*INDEX(SR_mission_minutes!U$2:U$43,MATCH($A161,SR_mission_minutes!$A$2:$A$43)),"-")</f>
        <v>0</v>
      </c>
      <c r="V161" s="105">
        <f>IFERROR(INDEX(lifespans_all!V$80:V$126,MATCH($A161,lifespans_all!$A$80:$A$126,0))*INDEX(SR_mission_minutes!V$2:V$43,MATCH($A161,SR_mission_minutes!$A$2:$A$43)),"-")</f>
        <v>0</v>
      </c>
    </row>
    <row r="162" spans="1:22" x14ac:dyDescent="0.25">
      <c r="A162" s="29" t="s">
        <v>25</v>
      </c>
      <c r="B162" s="29" t="s">
        <v>44</v>
      </c>
      <c r="C162" s="105">
        <f>IFERROR(INDEX(lifespans_all!C$158:C$212,MATCH($A162,lifespans_all!$A$158:$A$212,0))*INDEX(SR_mission_minutes!C$2:C$43,MATCH($A162,SR_mission_minutes!$A$2:$A$43)),"-")</f>
        <v>460.5</v>
      </c>
      <c r="D162" s="105">
        <f>IFERROR(INDEX(lifespans_all!D$80:D$126,MATCH($A162,lifespans_all!$A$80:$A$126,0))*INDEX(SR_mission_minutes!D$2:D$43,MATCH($A162,SR_mission_minutes!$A$2:$A$43)),"-")</f>
        <v>460.5</v>
      </c>
      <c r="E162" s="105">
        <f>IFERROR(INDEX(lifespans_all!E$80:E$126,MATCH($A162,lifespans_all!$A$80:$A$126,0))*INDEX(SR_mission_minutes!E$2:E$43,MATCH($A162,SR_mission_minutes!$A$2:$A$43)),"-")</f>
        <v>460.5</v>
      </c>
      <c r="F162" s="105">
        <f>IFERROR(INDEX(lifespans_all!F$80:F$126,MATCH($A162,lifespans_all!$A$80:$A$126,0))*INDEX(SR_mission_minutes!F$2:F$43,MATCH($A162,SR_mission_minutes!$A$2:$A$43)),"-")</f>
        <v>460.5</v>
      </c>
      <c r="G162" s="105">
        <f>IFERROR(INDEX(lifespans_all!G$80:G$126,MATCH($A162,lifespans_all!$A$80:$A$126,0))*INDEX(SR_mission_minutes!G$2:G$43,MATCH($A162,SR_mission_minutes!$A$2:$A$43)),"-")</f>
        <v>0</v>
      </c>
      <c r="H162" s="105">
        <f>IFERROR(INDEX(lifespans_all!H$80:H$126,MATCH($A162,lifespans_all!$A$80:$A$126,0))*INDEX(SR_mission_minutes!H$2:H$43,MATCH($A162,SR_mission_minutes!$A$2:$A$43)),"-")</f>
        <v>0</v>
      </c>
      <c r="I162" s="105">
        <f>IFERROR(INDEX(lifespans_all!I$80:I$126,MATCH($A162,lifespans_all!$A$80:$A$126,0))*INDEX(SR_mission_minutes!I$2:I$43,MATCH($A162,SR_mission_minutes!$A$2:$A$43)),"-")</f>
        <v>0</v>
      </c>
      <c r="J162" s="105">
        <f>IFERROR(INDEX(lifespans_all!J$80:J$126,MATCH($A162,lifespans_all!$A$80:$A$126,0))*INDEX(SR_mission_minutes!J$2:J$43,MATCH($A162,SR_mission_minutes!$A$2:$A$43)),"-")</f>
        <v>0</v>
      </c>
      <c r="K162" s="105">
        <f>IFERROR(INDEX(lifespans_all!K$80:K$126,MATCH($A162,lifespans_all!$A$80:$A$126,0))*INDEX(SR_mission_minutes!K$2:K$43,MATCH($A162,SR_mission_minutes!$A$2:$A$43)),"-")</f>
        <v>0</v>
      </c>
      <c r="L162" s="105">
        <f>IFERROR(INDEX(lifespans_all!L$80:L$126,MATCH($A162,lifespans_all!$A$80:$A$126,0))*INDEX(SR_mission_minutes!L$2:L$43,MATCH($A162,SR_mission_minutes!$A$2:$A$43)),"-")</f>
        <v>0</v>
      </c>
      <c r="M162" s="105">
        <f>IFERROR(INDEX(lifespans_all!M$80:M$126,MATCH($A162,lifespans_all!$A$80:$A$126,0))*INDEX(SR_mission_minutes!M$2:M$43,MATCH($A162,SR_mission_minutes!$A$2:$A$43)),"-")</f>
        <v>0</v>
      </c>
      <c r="N162" s="105">
        <f>IFERROR(INDEX(lifespans_all!N$80:N$126,MATCH($A162,lifespans_all!$A$80:$A$126,0))*INDEX(SR_mission_minutes!N$2:N$43,MATCH($A162,SR_mission_minutes!$A$2:$A$43)),"-")</f>
        <v>0</v>
      </c>
      <c r="O162" s="105">
        <f>IFERROR(INDEX(lifespans_all!O$80:O$126,MATCH($A162,lifespans_all!$A$80:$A$126,0))*INDEX(SR_mission_minutes!O$2:O$43,MATCH($A162,SR_mission_minutes!$A$2:$A$43)),"-")</f>
        <v>0</v>
      </c>
      <c r="P162" s="105">
        <f>IFERROR(INDEX(lifespans_all!P$80:P$126,MATCH($A162,lifespans_all!$A$80:$A$126,0))*INDEX(SR_mission_minutes!P$2:P$43,MATCH($A162,SR_mission_minutes!$A$2:$A$43)),"-")</f>
        <v>0</v>
      </c>
      <c r="Q162" s="105">
        <f>IFERROR(INDEX(lifespans_all!Q$80:Q$126,MATCH($A162,lifespans_all!$A$80:$A$126,0))*INDEX(SR_mission_minutes!Q$2:Q$43,MATCH($A162,SR_mission_minutes!$A$2:$A$43)),"-")</f>
        <v>0</v>
      </c>
      <c r="R162" s="105">
        <f>IFERROR(INDEX(lifespans_all!R$80:R$126,MATCH($A162,lifespans_all!$A$80:$A$126,0))*INDEX(SR_mission_minutes!R$2:R$43,MATCH($A162,SR_mission_minutes!$A$2:$A$43)),"-")</f>
        <v>0</v>
      </c>
      <c r="S162" s="105">
        <f>IFERROR(INDEX(lifespans_all!S$80:S$126,MATCH($A162,lifespans_all!$A$80:$A$126,0))*INDEX(SR_mission_minutes!S$2:S$43,MATCH($A162,SR_mission_minutes!$A$2:$A$43)),"-")</f>
        <v>0</v>
      </c>
      <c r="T162" s="105">
        <f>IFERROR(INDEX(lifespans_all!T$80:T$126,MATCH($A162,lifespans_all!$A$80:$A$126,0))*INDEX(SR_mission_minutes!T$2:T$43,MATCH($A162,SR_mission_minutes!$A$2:$A$43)),"-")</f>
        <v>0</v>
      </c>
      <c r="U162" s="105">
        <f>IFERROR(INDEX(lifespans_all!U$80:U$126,MATCH($A162,lifespans_all!$A$80:$A$126,0))*INDEX(SR_mission_minutes!U$2:U$43,MATCH($A162,SR_mission_minutes!$A$2:$A$43)),"-")</f>
        <v>0</v>
      </c>
      <c r="V162" s="105">
        <f>IFERROR(INDEX(lifespans_all!V$80:V$126,MATCH($A162,lifespans_all!$A$80:$A$126,0))*INDEX(SR_mission_minutes!V$2:V$43,MATCH($A162,SR_mission_minutes!$A$2:$A$43)),"-")</f>
        <v>0</v>
      </c>
    </row>
    <row r="163" spans="1:22" x14ac:dyDescent="0.25">
      <c r="A163" s="29" t="s">
        <v>58</v>
      </c>
      <c r="B163" s="29" t="s">
        <v>41</v>
      </c>
      <c r="C163" s="105">
        <f>IFERROR(INDEX(lifespans_all!C$158:C$212,MATCH($A163,lifespans_all!$A$158:$A$212,0))*INDEX(SR_mission_minutes!C$2:C$43,MATCH($A163,SR_mission_minutes!$A$2:$A$43)),"-")</f>
        <v>66700.388888888891</v>
      </c>
      <c r="D163" s="105">
        <f>IFERROR(INDEX(lifespans_all!D$80:D$126,MATCH($A163,lifespans_all!$A$80:$A$126,0))*INDEX(SR_mission_minutes!D$2:D$43,MATCH($A163,SR_mission_minutes!$A$2:$A$43)),"-")</f>
        <v>0</v>
      </c>
      <c r="E163" s="105">
        <f>IFERROR(INDEX(lifespans_all!E$80:E$126,MATCH($A163,lifespans_all!$A$80:$A$126,0))*INDEX(SR_mission_minutes!E$2:E$43,MATCH($A163,SR_mission_minutes!$A$2:$A$43)),"-")</f>
        <v>0</v>
      </c>
      <c r="F163" s="105">
        <f>IFERROR(INDEX(lifespans_all!F$80:F$126,MATCH($A163,lifespans_all!$A$80:$A$126,0))*INDEX(SR_mission_minutes!F$2:F$43,MATCH($A163,SR_mission_minutes!$A$2:$A$43)),"-")</f>
        <v>0</v>
      </c>
      <c r="G163" s="105">
        <f>IFERROR(INDEX(lifespans_all!G$80:G$126,MATCH($A163,lifespans_all!$A$80:$A$126,0))*INDEX(SR_mission_minutes!G$2:G$43,MATCH($A163,SR_mission_minutes!$A$2:$A$43)),"-")</f>
        <v>0</v>
      </c>
      <c r="H163" s="105">
        <f>IFERROR(INDEX(lifespans_all!H$80:H$126,MATCH($A163,lifespans_all!$A$80:$A$126,0))*INDEX(SR_mission_minutes!H$2:H$43,MATCH($A163,SR_mission_minutes!$A$2:$A$43)),"-")</f>
        <v>0</v>
      </c>
      <c r="I163" s="105">
        <f>IFERROR(INDEX(lifespans_all!I$80:I$126,MATCH($A163,lifespans_all!$A$80:$A$126,0))*INDEX(SR_mission_minutes!I$2:I$43,MATCH($A163,SR_mission_minutes!$A$2:$A$43)),"-")</f>
        <v>0</v>
      </c>
      <c r="J163" s="105">
        <f>IFERROR(INDEX(lifespans_all!J$80:J$126,MATCH($A163,lifespans_all!$A$80:$A$126,0))*INDEX(SR_mission_minutes!J$2:J$43,MATCH($A163,SR_mission_minutes!$A$2:$A$43)),"-")</f>
        <v>0</v>
      </c>
      <c r="K163" s="105">
        <f>IFERROR(INDEX(lifespans_all!K$80:K$126,MATCH($A163,lifespans_all!$A$80:$A$126,0))*INDEX(SR_mission_minutes!K$2:K$43,MATCH($A163,SR_mission_minutes!$A$2:$A$43)),"-")</f>
        <v>0</v>
      </c>
      <c r="L163" s="105">
        <f>IFERROR(INDEX(lifespans_all!L$80:L$126,MATCH($A163,lifespans_all!$A$80:$A$126,0))*INDEX(SR_mission_minutes!L$2:L$43,MATCH($A163,SR_mission_minutes!$A$2:$A$43)),"-")</f>
        <v>0</v>
      </c>
      <c r="M163" s="105">
        <f>IFERROR(INDEX(lifespans_all!M$80:M$126,MATCH($A163,lifespans_all!$A$80:$A$126,0))*INDEX(SR_mission_minutes!M$2:M$43,MATCH($A163,SR_mission_minutes!$A$2:$A$43)),"-")</f>
        <v>0</v>
      </c>
      <c r="N163" s="105">
        <f>IFERROR(INDEX(lifespans_all!N$80:N$126,MATCH($A163,lifespans_all!$A$80:$A$126,0))*INDEX(SR_mission_minutes!N$2:N$43,MATCH($A163,SR_mission_minutes!$A$2:$A$43)),"-")</f>
        <v>0</v>
      </c>
      <c r="O163" s="105">
        <f>IFERROR(INDEX(lifespans_all!O$80:O$126,MATCH($A163,lifespans_all!$A$80:$A$126,0))*INDEX(SR_mission_minutes!O$2:O$43,MATCH($A163,SR_mission_minutes!$A$2:$A$43)),"-")</f>
        <v>0</v>
      </c>
      <c r="P163" s="105">
        <f>IFERROR(INDEX(lifespans_all!P$80:P$126,MATCH($A163,lifespans_all!$A$80:$A$126,0))*INDEX(SR_mission_minutes!P$2:P$43,MATCH($A163,SR_mission_minutes!$A$2:$A$43)),"-")</f>
        <v>0</v>
      </c>
      <c r="Q163" s="105">
        <f>IFERROR(INDEX(lifespans_all!Q$80:Q$126,MATCH($A163,lifespans_all!$A$80:$A$126,0))*INDEX(SR_mission_minutes!Q$2:Q$43,MATCH($A163,SR_mission_minutes!$A$2:$A$43)),"-")</f>
        <v>0</v>
      </c>
      <c r="R163" s="105">
        <f>IFERROR(INDEX(lifespans_all!R$80:R$126,MATCH($A163,lifespans_all!$A$80:$A$126,0))*INDEX(SR_mission_minutes!R$2:R$43,MATCH($A163,SR_mission_minutes!$A$2:$A$43)),"-")</f>
        <v>0</v>
      </c>
      <c r="S163" s="105">
        <f>IFERROR(INDEX(lifespans_all!S$80:S$126,MATCH($A163,lifespans_all!$A$80:$A$126,0))*INDEX(SR_mission_minutes!S$2:S$43,MATCH($A163,SR_mission_minutes!$A$2:$A$43)),"-")</f>
        <v>0</v>
      </c>
      <c r="T163" s="105">
        <f>IFERROR(INDEX(lifespans_all!T$80:T$126,MATCH($A163,lifespans_all!$A$80:$A$126,0))*INDEX(SR_mission_minutes!T$2:T$43,MATCH($A163,SR_mission_minutes!$A$2:$A$43)),"-")</f>
        <v>0</v>
      </c>
      <c r="U163" s="105">
        <f>IFERROR(INDEX(lifespans_all!U$80:U$126,MATCH($A163,lifespans_all!$A$80:$A$126,0))*INDEX(SR_mission_minutes!U$2:U$43,MATCH($A163,SR_mission_minutes!$A$2:$A$43)),"-")</f>
        <v>0</v>
      </c>
      <c r="V163" s="105">
        <f>IFERROR(INDEX(lifespans_all!V$80:V$126,MATCH($A163,lifespans_all!$A$80:$A$126,0))*INDEX(SR_mission_minutes!V$2:V$43,MATCH($A163,SR_mission_minutes!$A$2:$A$43)),"-")</f>
        <v>0</v>
      </c>
    </row>
    <row r="164" spans="1:22" x14ac:dyDescent="0.25">
      <c r="A164" s="29" t="s">
        <v>59</v>
      </c>
      <c r="B164" s="29" t="s">
        <v>41</v>
      </c>
      <c r="C164" s="105">
        <f>IFERROR(INDEX(lifespans_all!C$158:C$212,MATCH($A164,lifespans_all!$A$158:$A$212,0))*INDEX(SR_mission_minutes!C$2:C$43,MATCH($A164,SR_mission_minutes!$A$2:$A$43)),"-")</f>
        <v>66700.388888888891</v>
      </c>
      <c r="D164" s="105">
        <f>IFERROR(INDEX(lifespans_all!D$80:D$126,MATCH($A164,lifespans_all!$A$80:$A$126,0))*INDEX(SR_mission_minutes!D$2:D$43,MATCH($A164,SR_mission_minutes!$A$2:$A$43)),"-")</f>
        <v>66700.388888888891</v>
      </c>
      <c r="E164" s="105">
        <f>IFERROR(INDEX(lifespans_all!E$80:E$126,MATCH($A164,lifespans_all!$A$80:$A$126,0))*INDEX(SR_mission_minutes!E$2:E$43,MATCH($A164,SR_mission_minutes!$A$2:$A$43)),"-")</f>
        <v>66700.388888888891</v>
      </c>
      <c r="F164" s="105">
        <f>IFERROR(INDEX(lifespans_all!F$80:F$126,MATCH($A164,lifespans_all!$A$80:$A$126,0))*INDEX(SR_mission_minutes!F$2:F$43,MATCH($A164,SR_mission_minutes!$A$2:$A$43)),"-")</f>
        <v>0</v>
      </c>
      <c r="G164" s="105">
        <f>IFERROR(INDEX(lifespans_all!G$80:G$126,MATCH($A164,lifespans_all!$A$80:$A$126,0))*INDEX(SR_mission_minutes!G$2:G$43,MATCH($A164,SR_mission_minutes!$A$2:$A$43)),"-")</f>
        <v>0</v>
      </c>
      <c r="H164" s="105">
        <f>IFERROR(INDEX(lifespans_all!H$80:H$126,MATCH($A164,lifespans_all!$A$80:$A$126,0))*INDEX(SR_mission_minutes!H$2:H$43,MATCH($A164,SR_mission_minutes!$A$2:$A$43)),"-")</f>
        <v>0</v>
      </c>
      <c r="I164" s="105">
        <f>IFERROR(INDEX(lifespans_all!I$80:I$126,MATCH($A164,lifespans_all!$A$80:$A$126,0))*INDEX(SR_mission_minutes!I$2:I$43,MATCH($A164,SR_mission_minutes!$A$2:$A$43)),"-")</f>
        <v>0</v>
      </c>
      <c r="J164" s="105">
        <f>IFERROR(INDEX(lifespans_all!J$80:J$126,MATCH($A164,lifespans_all!$A$80:$A$126,0))*INDEX(SR_mission_minutes!J$2:J$43,MATCH($A164,SR_mission_minutes!$A$2:$A$43)),"-")</f>
        <v>0</v>
      </c>
      <c r="K164" s="105">
        <f>IFERROR(INDEX(lifespans_all!K$80:K$126,MATCH($A164,lifespans_all!$A$80:$A$126,0))*INDEX(SR_mission_minutes!K$2:K$43,MATCH($A164,SR_mission_minutes!$A$2:$A$43)),"-")</f>
        <v>0</v>
      </c>
      <c r="L164" s="105">
        <f>IFERROR(INDEX(lifespans_all!L$80:L$126,MATCH($A164,lifespans_all!$A$80:$A$126,0))*INDEX(SR_mission_minutes!L$2:L$43,MATCH($A164,SR_mission_minutes!$A$2:$A$43)),"-")</f>
        <v>0</v>
      </c>
      <c r="M164" s="105">
        <f>IFERROR(INDEX(lifespans_all!M$80:M$126,MATCH($A164,lifespans_all!$A$80:$A$126,0))*INDEX(SR_mission_minutes!M$2:M$43,MATCH($A164,SR_mission_minutes!$A$2:$A$43)),"-")</f>
        <v>0</v>
      </c>
      <c r="N164" s="105">
        <f>IFERROR(INDEX(lifespans_all!N$80:N$126,MATCH($A164,lifespans_all!$A$80:$A$126,0))*INDEX(SR_mission_minutes!N$2:N$43,MATCH($A164,SR_mission_minutes!$A$2:$A$43)),"-")</f>
        <v>0</v>
      </c>
      <c r="O164" s="105">
        <f>IFERROR(INDEX(lifespans_all!O$80:O$126,MATCH($A164,lifespans_all!$A$80:$A$126,0))*INDEX(SR_mission_minutes!O$2:O$43,MATCH($A164,SR_mission_minutes!$A$2:$A$43)),"-")</f>
        <v>0</v>
      </c>
      <c r="P164" s="105">
        <f>IFERROR(INDEX(lifespans_all!P$80:P$126,MATCH($A164,lifespans_all!$A$80:$A$126,0))*INDEX(SR_mission_minutes!P$2:P$43,MATCH($A164,SR_mission_minutes!$A$2:$A$43)),"-")</f>
        <v>0</v>
      </c>
      <c r="Q164" s="105">
        <f>IFERROR(INDEX(lifespans_all!Q$80:Q$126,MATCH($A164,lifespans_all!$A$80:$A$126,0))*INDEX(SR_mission_minutes!Q$2:Q$43,MATCH($A164,SR_mission_minutes!$A$2:$A$43)),"-")</f>
        <v>0</v>
      </c>
      <c r="R164" s="105">
        <f>IFERROR(INDEX(lifespans_all!R$80:R$126,MATCH($A164,lifespans_all!$A$80:$A$126,0))*INDEX(SR_mission_minutes!R$2:R$43,MATCH($A164,SR_mission_minutes!$A$2:$A$43)),"-")</f>
        <v>0</v>
      </c>
      <c r="S164" s="105">
        <f>IFERROR(INDEX(lifespans_all!S$80:S$126,MATCH($A164,lifespans_all!$A$80:$A$126,0))*INDEX(SR_mission_minutes!S$2:S$43,MATCH($A164,SR_mission_minutes!$A$2:$A$43)),"-")</f>
        <v>0</v>
      </c>
      <c r="T164" s="105">
        <f>IFERROR(INDEX(lifespans_all!T$80:T$126,MATCH($A164,lifespans_all!$A$80:$A$126,0))*INDEX(SR_mission_minutes!T$2:T$43,MATCH($A164,SR_mission_minutes!$A$2:$A$43)),"-")</f>
        <v>0</v>
      </c>
      <c r="U164" s="105">
        <f>IFERROR(INDEX(lifespans_all!U$80:U$126,MATCH($A164,lifespans_all!$A$80:$A$126,0))*INDEX(SR_mission_minutes!U$2:U$43,MATCH($A164,SR_mission_minutes!$A$2:$A$43)),"-")</f>
        <v>0</v>
      </c>
      <c r="V164" s="105">
        <f>IFERROR(INDEX(lifespans_all!V$80:V$126,MATCH($A164,lifespans_all!$A$80:$A$126,0))*INDEX(SR_mission_minutes!V$2:V$43,MATCH($A164,SR_mission_minutes!$A$2:$A$43)),"-")</f>
        <v>0</v>
      </c>
    </row>
    <row r="165" spans="1:22" x14ac:dyDescent="0.25">
      <c r="A165" s="29" t="s">
        <v>60</v>
      </c>
      <c r="B165" s="29" t="s">
        <v>41</v>
      </c>
      <c r="C165" s="105">
        <f>IFERROR(INDEX(lifespans_all!C$158:C$212,MATCH($A165,lifespans_all!$A$158:$A$212,0))*INDEX(SR_mission_minutes!C$2:C$43,MATCH($A165,SR_mission_minutes!$A$2:$A$43)),"-")</f>
        <v>66700.388888888891</v>
      </c>
      <c r="D165" s="105">
        <f>IFERROR(INDEX(lifespans_all!D$80:D$126,MATCH($A165,lifespans_all!$A$80:$A$126,0))*INDEX(SR_mission_minutes!D$2:D$43,MATCH($A165,SR_mission_minutes!$A$2:$A$43)),"-")</f>
        <v>66700.388888888891</v>
      </c>
      <c r="E165" s="105">
        <f>IFERROR(INDEX(lifespans_all!E$80:E$126,MATCH($A165,lifespans_all!$A$80:$A$126,0))*INDEX(SR_mission_minutes!E$2:E$43,MATCH($A165,SR_mission_minutes!$A$2:$A$43)),"-")</f>
        <v>66700.388888888891</v>
      </c>
      <c r="F165" s="105">
        <f>IFERROR(INDEX(lifespans_all!F$80:F$126,MATCH($A165,lifespans_all!$A$80:$A$126,0))*INDEX(SR_mission_minutes!F$2:F$43,MATCH($A165,SR_mission_minutes!$A$2:$A$43)),"-")</f>
        <v>66700.388888888891</v>
      </c>
      <c r="G165" s="105">
        <f>IFERROR(INDEX(lifespans_all!G$80:G$126,MATCH($A165,lifespans_all!$A$80:$A$126,0))*INDEX(SR_mission_minutes!G$2:G$43,MATCH($A165,SR_mission_minutes!$A$2:$A$43)),"-")</f>
        <v>66700.388888888891</v>
      </c>
      <c r="H165" s="105">
        <f>IFERROR(INDEX(lifespans_all!H$80:H$126,MATCH($A165,lifespans_all!$A$80:$A$126,0))*INDEX(SR_mission_minutes!H$2:H$43,MATCH($A165,SR_mission_minutes!$A$2:$A$43)),"-")</f>
        <v>66700.388888888891</v>
      </c>
      <c r="I165" s="105">
        <f>IFERROR(INDEX(lifespans_all!I$80:I$126,MATCH($A165,lifespans_all!$A$80:$A$126,0))*INDEX(SR_mission_minutes!I$2:I$43,MATCH($A165,SR_mission_minutes!$A$2:$A$43)),"-")</f>
        <v>0</v>
      </c>
      <c r="J165" s="105">
        <f>IFERROR(INDEX(lifespans_all!J$80:J$126,MATCH($A165,lifespans_all!$A$80:$A$126,0))*INDEX(SR_mission_minutes!J$2:J$43,MATCH($A165,SR_mission_minutes!$A$2:$A$43)),"-")</f>
        <v>0</v>
      </c>
      <c r="K165" s="105">
        <f>IFERROR(INDEX(lifespans_all!K$80:K$126,MATCH($A165,lifespans_all!$A$80:$A$126,0))*INDEX(SR_mission_minutes!K$2:K$43,MATCH($A165,SR_mission_minutes!$A$2:$A$43)),"-")</f>
        <v>0</v>
      </c>
      <c r="L165" s="105">
        <f>IFERROR(INDEX(lifespans_all!L$80:L$126,MATCH($A165,lifespans_all!$A$80:$A$126,0))*INDEX(SR_mission_minutes!L$2:L$43,MATCH($A165,SR_mission_minutes!$A$2:$A$43)),"-")</f>
        <v>0</v>
      </c>
      <c r="M165" s="105">
        <f>IFERROR(INDEX(lifespans_all!M$80:M$126,MATCH($A165,lifespans_all!$A$80:$A$126,0))*INDEX(SR_mission_minutes!M$2:M$43,MATCH($A165,SR_mission_minutes!$A$2:$A$43)),"-")</f>
        <v>0</v>
      </c>
      <c r="N165" s="105">
        <f>IFERROR(INDEX(lifespans_all!N$80:N$126,MATCH($A165,lifespans_all!$A$80:$A$126,0))*INDEX(SR_mission_minutes!N$2:N$43,MATCH($A165,SR_mission_minutes!$A$2:$A$43)),"-")</f>
        <v>0</v>
      </c>
      <c r="O165" s="105">
        <f>IFERROR(INDEX(lifespans_all!O$80:O$126,MATCH($A165,lifespans_all!$A$80:$A$126,0))*INDEX(SR_mission_minutes!O$2:O$43,MATCH($A165,SR_mission_minutes!$A$2:$A$43)),"-")</f>
        <v>0</v>
      </c>
      <c r="P165" s="105">
        <f>IFERROR(INDEX(lifespans_all!P$80:P$126,MATCH($A165,lifespans_all!$A$80:$A$126,0))*INDEX(SR_mission_minutes!P$2:P$43,MATCH($A165,SR_mission_minutes!$A$2:$A$43)),"-")</f>
        <v>0</v>
      </c>
      <c r="Q165" s="105">
        <f>IFERROR(INDEX(lifespans_all!Q$80:Q$126,MATCH($A165,lifespans_all!$A$80:$A$126,0))*INDEX(SR_mission_minutes!Q$2:Q$43,MATCH($A165,SR_mission_minutes!$A$2:$A$43)),"-")</f>
        <v>0</v>
      </c>
      <c r="R165" s="105">
        <f>IFERROR(INDEX(lifespans_all!R$80:R$126,MATCH($A165,lifespans_all!$A$80:$A$126,0))*INDEX(SR_mission_minutes!R$2:R$43,MATCH($A165,SR_mission_minutes!$A$2:$A$43)),"-")</f>
        <v>0</v>
      </c>
      <c r="S165" s="105">
        <f>IFERROR(INDEX(lifespans_all!S$80:S$126,MATCH($A165,lifespans_all!$A$80:$A$126,0))*INDEX(SR_mission_minutes!S$2:S$43,MATCH($A165,SR_mission_minutes!$A$2:$A$43)),"-")</f>
        <v>0</v>
      </c>
      <c r="T165" s="105">
        <f>IFERROR(INDEX(lifespans_all!T$80:T$126,MATCH($A165,lifespans_all!$A$80:$A$126,0))*INDEX(SR_mission_minutes!T$2:T$43,MATCH($A165,SR_mission_minutes!$A$2:$A$43)),"-")</f>
        <v>0</v>
      </c>
      <c r="U165" s="105">
        <f>IFERROR(INDEX(lifespans_all!U$80:U$126,MATCH($A165,lifespans_all!$A$80:$A$126,0))*INDEX(SR_mission_minutes!U$2:U$43,MATCH($A165,SR_mission_minutes!$A$2:$A$43)),"-")</f>
        <v>0</v>
      </c>
      <c r="V165" s="105">
        <f>IFERROR(INDEX(lifespans_all!V$80:V$126,MATCH($A165,lifespans_all!$A$80:$A$126,0))*INDEX(SR_mission_minutes!V$2:V$43,MATCH($A165,SR_mission_minutes!$A$2:$A$43)),"-")</f>
        <v>0</v>
      </c>
    </row>
    <row r="166" spans="1:22" x14ac:dyDescent="0.25">
      <c r="A166" s="29" t="s">
        <v>26</v>
      </c>
      <c r="B166" s="29" t="s">
        <v>45</v>
      </c>
      <c r="C166" s="105">
        <f>IFERROR(INDEX(lifespans_all!C$158:C$212,MATCH($A166,lifespans_all!$A$158:$A$212,0))*INDEX(SR_mission_minutes!C$2:C$43,MATCH($A166,SR_mission_minutes!$A$2:$A$43)),"-")</f>
        <v>33739.333333333336</v>
      </c>
      <c r="D166" s="105">
        <f>IFERROR(INDEX(lifespans_all!D$80:D$126,MATCH($A166,lifespans_all!$A$80:$A$126,0))*INDEX(SR_mission_minutes!D$2:D$43,MATCH($A166,SR_mission_minutes!$A$2:$A$43)),"-")</f>
        <v>33739.333333333336</v>
      </c>
      <c r="E166" s="105">
        <f>IFERROR(INDEX(lifespans_all!E$80:E$126,MATCH($A166,lifespans_all!$A$80:$A$126,0))*INDEX(SR_mission_minutes!E$2:E$43,MATCH($A166,SR_mission_minutes!$A$2:$A$43)),"-")</f>
        <v>33739.333333333336</v>
      </c>
      <c r="F166" s="105">
        <f>IFERROR(INDEX(lifespans_all!F$80:F$126,MATCH($A166,lifespans_all!$A$80:$A$126,0))*INDEX(SR_mission_minutes!F$2:F$43,MATCH($A166,SR_mission_minutes!$A$2:$A$43)),"-")</f>
        <v>33739.333333333336</v>
      </c>
      <c r="G166" s="105">
        <f>IFERROR(INDEX(lifespans_all!G$80:G$126,MATCH($A166,lifespans_all!$A$80:$A$126,0))*INDEX(SR_mission_minutes!G$2:G$43,MATCH($A166,SR_mission_minutes!$A$2:$A$43)),"-")</f>
        <v>33739.333333333336</v>
      </c>
      <c r="H166" s="105">
        <f>IFERROR(INDEX(lifespans_all!H$80:H$126,MATCH($A166,lifespans_all!$A$80:$A$126,0))*INDEX(SR_mission_minutes!H$2:H$43,MATCH($A166,SR_mission_minutes!$A$2:$A$43)),"-")</f>
        <v>33739.333333333336</v>
      </c>
      <c r="I166" s="105">
        <f>IFERROR(INDEX(lifespans_all!I$80:I$126,MATCH($A166,lifespans_all!$A$80:$A$126,0))*INDEX(SR_mission_minutes!I$2:I$43,MATCH($A166,SR_mission_minutes!$A$2:$A$43)),"-")</f>
        <v>33739.333333333336</v>
      </c>
      <c r="J166" s="105">
        <f>IFERROR(INDEX(lifespans_all!J$80:J$126,MATCH($A166,lifespans_all!$A$80:$A$126,0))*INDEX(SR_mission_minutes!J$2:J$43,MATCH($A166,SR_mission_minutes!$A$2:$A$43)),"-")</f>
        <v>33739.333333333336</v>
      </c>
      <c r="K166" s="105">
        <f>IFERROR(INDEX(lifespans_all!K$80:K$126,MATCH($A166,lifespans_all!$A$80:$A$126,0))*INDEX(SR_mission_minutes!K$2:K$43,MATCH($A166,SR_mission_minutes!$A$2:$A$43)),"-")</f>
        <v>33739.333333333336</v>
      </c>
      <c r="L166" s="105">
        <f>IFERROR(INDEX(lifespans_all!L$80:L$126,MATCH($A166,lifespans_all!$A$80:$A$126,0))*INDEX(SR_mission_minutes!L$2:L$43,MATCH($A166,SR_mission_minutes!$A$2:$A$43)),"-")</f>
        <v>33739.333333333336</v>
      </c>
      <c r="M166" s="105">
        <f>IFERROR(INDEX(lifespans_all!M$80:M$126,MATCH($A166,lifespans_all!$A$80:$A$126,0))*INDEX(SR_mission_minutes!M$2:M$43,MATCH($A166,SR_mission_minutes!$A$2:$A$43)),"-")</f>
        <v>33739.333333333336</v>
      </c>
      <c r="N166" s="105">
        <f>IFERROR(INDEX(lifespans_all!N$80:N$126,MATCH($A166,lifespans_all!$A$80:$A$126,0))*INDEX(SR_mission_minutes!N$2:N$43,MATCH($A166,SR_mission_minutes!$A$2:$A$43)),"-")</f>
        <v>33739.333333333336</v>
      </c>
      <c r="O166" s="105">
        <f>IFERROR(INDEX(lifespans_all!O$80:O$126,MATCH($A166,lifespans_all!$A$80:$A$126,0))*INDEX(SR_mission_minutes!O$2:O$43,MATCH($A166,SR_mission_minutes!$A$2:$A$43)),"-")</f>
        <v>33739.333333333336</v>
      </c>
      <c r="P166" s="105">
        <f>IFERROR(INDEX(lifespans_all!P$80:P$126,MATCH($A166,lifespans_all!$A$80:$A$126,0))*INDEX(SR_mission_minutes!P$2:P$43,MATCH($A166,SR_mission_minutes!$A$2:$A$43)),"-")</f>
        <v>33739.333333333336</v>
      </c>
      <c r="Q166" s="105">
        <f>IFERROR(INDEX(lifespans_all!Q$80:Q$126,MATCH($A166,lifespans_all!$A$80:$A$126,0))*INDEX(SR_mission_minutes!Q$2:Q$43,MATCH($A166,SR_mission_minutes!$A$2:$A$43)),"-")</f>
        <v>33739.333333333336</v>
      </c>
      <c r="R166" s="105">
        <f>IFERROR(INDEX(lifespans_all!R$80:R$126,MATCH($A166,lifespans_all!$A$80:$A$126,0))*INDEX(SR_mission_minutes!R$2:R$43,MATCH($A166,SR_mission_minutes!$A$2:$A$43)),"-")</f>
        <v>33739.333333333336</v>
      </c>
      <c r="S166" s="105">
        <f>IFERROR(INDEX(lifespans_all!S$80:S$126,MATCH($A166,lifespans_all!$A$80:$A$126,0))*INDEX(SR_mission_minutes!S$2:S$43,MATCH($A166,SR_mission_minutes!$A$2:$A$43)),"-")</f>
        <v>33739.333333333336</v>
      </c>
      <c r="T166" s="105">
        <f>IFERROR(INDEX(lifespans_all!T$80:T$126,MATCH($A166,lifespans_all!$A$80:$A$126,0))*INDEX(SR_mission_minutes!T$2:T$43,MATCH($A166,SR_mission_minutes!$A$2:$A$43)),"-")</f>
        <v>33739.333333333336</v>
      </c>
      <c r="U166" s="105">
        <f>IFERROR(INDEX(lifespans_all!U$80:U$126,MATCH($A166,lifespans_all!$A$80:$A$126,0))*INDEX(SR_mission_minutes!U$2:U$43,MATCH($A166,SR_mission_minutes!$A$2:$A$43)),"-")</f>
        <v>33739.333333333336</v>
      </c>
      <c r="V166" s="105">
        <f>IFERROR(INDEX(lifespans_all!V$80:V$126,MATCH($A166,lifespans_all!$A$80:$A$126,0))*INDEX(SR_mission_minutes!V$2:V$43,MATCH($A166,SR_mission_minutes!$A$2:$A$43)),"-")</f>
        <v>33739.333333333336</v>
      </c>
    </row>
    <row r="167" spans="1:22" x14ac:dyDescent="0.25">
      <c r="A167" s="29" t="s">
        <v>61</v>
      </c>
      <c r="B167" s="29" t="s">
        <v>42</v>
      </c>
      <c r="C167" s="105">
        <f>IFERROR(INDEX(lifespans_all!C$158:C$212,MATCH($A167,lifespans_all!$A$158:$A$212,0))*INDEX(SR_mission_minutes!C$2:C$43,MATCH($A167,SR_mission_minutes!$A$2:$A$43)),"-")</f>
        <v>2294</v>
      </c>
      <c r="D167" s="105">
        <f>IFERROR(INDEX(lifespans_all!D$80:D$126,MATCH($A167,lifespans_all!$A$80:$A$126,0))*INDEX(SR_mission_minutes!D$2:D$43,MATCH($A167,SR_mission_minutes!$A$2:$A$43)),"-")</f>
        <v>2294</v>
      </c>
      <c r="E167" s="105">
        <f>IFERROR(INDEX(lifespans_all!E$80:E$126,MATCH($A167,lifespans_all!$A$80:$A$126,0))*INDEX(SR_mission_minutes!E$2:E$43,MATCH($A167,SR_mission_minutes!$A$2:$A$43)),"-")</f>
        <v>2294</v>
      </c>
      <c r="F167" s="105">
        <f>IFERROR(INDEX(lifespans_all!F$80:F$126,MATCH($A167,lifespans_all!$A$80:$A$126,0))*INDEX(SR_mission_minutes!F$2:F$43,MATCH($A167,SR_mission_minutes!$A$2:$A$43)),"-")</f>
        <v>2294</v>
      </c>
      <c r="G167" s="105">
        <f>IFERROR(INDEX(lifespans_all!G$80:G$126,MATCH($A167,lifespans_all!$A$80:$A$126,0))*INDEX(SR_mission_minutes!G$2:G$43,MATCH($A167,SR_mission_minutes!$A$2:$A$43)),"-")</f>
        <v>2294</v>
      </c>
      <c r="H167" s="105">
        <f>IFERROR(INDEX(lifespans_all!H$80:H$126,MATCH($A167,lifespans_all!$A$80:$A$126,0))*INDEX(SR_mission_minutes!H$2:H$43,MATCH($A167,SR_mission_minutes!$A$2:$A$43)),"-")</f>
        <v>2294</v>
      </c>
      <c r="I167" s="105">
        <f>IFERROR(INDEX(lifespans_all!I$80:I$126,MATCH($A167,lifespans_all!$A$80:$A$126,0))*INDEX(SR_mission_minutes!I$2:I$43,MATCH($A167,SR_mission_minutes!$A$2:$A$43)),"-")</f>
        <v>2294</v>
      </c>
      <c r="J167" s="105">
        <f>IFERROR(INDEX(lifespans_all!J$80:J$126,MATCH($A167,lifespans_all!$A$80:$A$126,0))*INDEX(SR_mission_minutes!J$2:J$43,MATCH($A167,SR_mission_minutes!$A$2:$A$43)),"-")</f>
        <v>2294</v>
      </c>
      <c r="K167" s="105">
        <f>IFERROR(INDEX(lifespans_all!K$80:K$126,MATCH($A167,lifespans_all!$A$80:$A$126,0))*INDEX(SR_mission_minutes!K$2:K$43,MATCH($A167,SR_mission_minutes!$A$2:$A$43)),"-")</f>
        <v>2294</v>
      </c>
      <c r="L167" s="105">
        <f>IFERROR(INDEX(lifespans_all!L$80:L$126,MATCH($A167,lifespans_all!$A$80:$A$126,0))*INDEX(SR_mission_minutes!L$2:L$43,MATCH($A167,SR_mission_minutes!$A$2:$A$43)),"-")</f>
        <v>2294</v>
      </c>
      <c r="M167" s="105">
        <f>IFERROR(INDEX(lifespans_all!M$80:M$126,MATCH($A167,lifespans_all!$A$80:$A$126,0))*INDEX(SR_mission_minutes!M$2:M$43,MATCH($A167,SR_mission_minutes!$A$2:$A$43)),"-")</f>
        <v>2294</v>
      </c>
      <c r="N167" s="105">
        <f>IFERROR(INDEX(lifespans_all!N$80:N$126,MATCH($A167,lifespans_all!$A$80:$A$126,0))*INDEX(SR_mission_minutes!N$2:N$43,MATCH($A167,SR_mission_minutes!$A$2:$A$43)),"-")</f>
        <v>2294</v>
      </c>
      <c r="O167" s="105">
        <f>IFERROR(INDEX(lifespans_all!O$80:O$126,MATCH($A167,lifespans_all!$A$80:$A$126,0))*INDEX(SR_mission_minutes!O$2:O$43,MATCH($A167,SR_mission_minutes!$A$2:$A$43)),"-")</f>
        <v>2294</v>
      </c>
      <c r="P167" s="105">
        <f>IFERROR(INDEX(lifespans_all!P$80:P$126,MATCH($A167,lifespans_all!$A$80:$A$126,0))*INDEX(SR_mission_minutes!P$2:P$43,MATCH($A167,SR_mission_minutes!$A$2:$A$43)),"-")</f>
        <v>2294</v>
      </c>
      <c r="Q167" s="105">
        <f>IFERROR(INDEX(lifespans_all!Q$80:Q$126,MATCH($A167,lifespans_all!$A$80:$A$126,0))*INDEX(SR_mission_minutes!Q$2:Q$43,MATCH($A167,SR_mission_minutes!$A$2:$A$43)),"-")</f>
        <v>2294</v>
      </c>
      <c r="R167" s="105">
        <f>IFERROR(INDEX(lifespans_all!R$80:R$126,MATCH($A167,lifespans_all!$A$80:$A$126,0))*INDEX(SR_mission_minutes!R$2:R$43,MATCH($A167,SR_mission_minutes!$A$2:$A$43)),"-")</f>
        <v>2294</v>
      </c>
      <c r="S167" s="105">
        <f>IFERROR(INDEX(lifespans_all!S$80:S$126,MATCH($A167,lifespans_all!$A$80:$A$126,0))*INDEX(SR_mission_minutes!S$2:S$43,MATCH($A167,SR_mission_minutes!$A$2:$A$43)),"-")</f>
        <v>2294</v>
      </c>
      <c r="T167" s="105">
        <f>IFERROR(INDEX(lifespans_all!T$80:T$126,MATCH($A167,lifespans_all!$A$80:$A$126,0))*INDEX(SR_mission_minutes!T$2:T$43,MATCH($A167,SR_mission_minutes!$A$2:$A$43)),"-")</f>
        <v>2294</v>
      </c>
      <c r="U167" s="105">
        <f>IFERROR(INDEX(lifespans_all!U$80:U$126,MATCH($A167,lifespans_all!$A$80:$A$126,0))*INDEX(SR_mission_minutes!U$2:U$43,MATCH($A167,SR_mission_minutes!$A$2:$A$43)),"-")</f>
        <v>2294</v>
      </c>
      <c r="V167" s="105">
        <f>IFERROR(INDEX(lifespans_all!V$80:V$126,MATCH($A167,lifespans_all!$A$80:$A$126,0))*INDEX(SR_mission_minutes!V$2:V$43,MATCH($A167,SR_mission_minutes!$A$2:$A$43)),"-")</f>
        <v>2294</v>
      </c>
    </row>
    <row r="168" spans="1:22" x14ac:dyDescent="0.25">
      <c r="A168" s="29" t="s">
        <v>108</v>
      </c>
      <c r="B168" s="29" t="s">
        <v>40</v>
      </c>
      <c r="C168" s="105" t="str">
        <f>IFERROR(INDEX(lifespans_all!C$158:C$212,MATCH($A168,lifespans_all!$A$158:$A$212,0))*INDEX(SR_mission_minutes!C$2:C$43,MATCH($A168,SR_mission_minutes!$A$2:$A$43)),"-")</f>
        <v>-</v>
      </c>
      <c r="D168" s="105" t="str">
        <f>IFERROR(INDEX(lifespans_all!D$80:D$126,MATCH($A168,lifespans_all!$A$80:$A$126,0))*INDEX(SR_mission_minutes!D$2:D$43,MATCH($A168,SR_mission_minutes!$A$2:$A$43)),"-")</f>
        <v>-</v>
      </c>
      <c r="E168" s="105" t="str">
        <f>IFERROR(INDEX(lifespans_all!E$80:E$126,MATCH($A168,lifespans_all!$A$80:$A$126,0))*INDEX(SR_mission_minutes!E$2:E$43,MATCH($A168,SR_mission_minutes!$A$2:$A$43)),"-")</f>
        <v>-</v>
      </c>
      <c r="F168" s="105" t="str">
        <f>IFERROR(INDEX(lifespans_all!F$80:F$126,MATCH($A168,lifespans_all!$A$80:$A$126,0))*INDEX(SR_mission_minutes!F$2:F$43,MATCH($A168,SR_mission_minutes!$A$2:$A$43)),"-")</f>
        <v>-</v>
      </c>
      <c r="G168" s="105" t="str">
        <f>IFERROR(INDEX(lifespans_all!G$80:G$126,MATCH($A168,lifespans_all!$A$80:$A$126,0))*INDEX(SR_mission_minutes!G$2:G$43,MATCH($A168,SR_mission_minutes!$A$2:$A$43)),"-")</f>
        <v>-</v>
      </c>
      <c r="H168" s="105" t="str">
        <f>IFERROR(INDEX(lifespans_all!H$80:H$126,MATCH($A168,lifespans_all!$A$80:$A$126,0))*INDEX(SR_mission_minutes!H$2:H$43,MATCH($A168,SR_mission_minutes!$A$2:$A$43)),"-")</f>
        <v>-</v>
      </c>
      <c r="I168" s="105" t="str">
        <f>IFERROR(INDEX(lifespans_all!I$80:I$126,MATCH($A168,lifespans_all!$A$80:$A$126,0))*INDEX(SR_mission_minutes!I$2:I$43,MATCH($A168,SR_mission_minutes!$A$2:$A$43)),"-")</f>
        <v>-</v>
      </c>
      <c r="J168" s="105" t="str">
        <f>IFERROR(INDEX(lifespans_all!J$80:J$126,MATCH($A168,lifespans_all!$A$80:$A$126,0))*INDEX(SR_mission_minutes!J$2:J$43,MATCH($A168,SR_mission_minutes!$A$2:$A$43)),"-")</f>
        <v>-</v>
      </c>
      <c r="K168" s="105" t="str">
        <f>IFERROR(INDEX(lifespans_all!K$80:K$126,MATCH($A168,lifespans_all!$A$80:$A$126,0))*INDEX(SR_mission_minutes!K$2:K$43,MATCH($A168,SR_mission_minutes!$A$2:$A$43)),"-")</f>
        <v>-</v>
      </c>
      <c r="L168" s="105" t="str">
        <f>IFERROR(INDEX(lifespans_all!L$80:L$126,MATCH($A168,lifespans_all!$A$80:$A$126,0))*INDEX(SR_mission_minutes!L$2:L$43,MATCH($A168,SR_mission_minutes!$A$2:$A$43)),"-")</f>
        <v>-</v>
      </c>
      <c r="M168" s="105" t="str">
        <f>IFERROR(INDEX(lifespans_all!M$80:M$126,MATCH($A168,lifespans_all!$A$80:$A$126,0))*INDEX(SR_mission_minutes!M$2:M$43,MATCH($A168,SR_mission_minutes!$A$2:$A$43)),"-")</f>
        <v>-</v>
      </c>
      <c r="N168" s="105" t="str">
        <f>IFERROR(INDEX(lifespans_all!N$80:N$126,MATCH($A168,lifespans_all!$A$80:$A$126,0))*INDEX(SR_mission_minutes!N$2:N$43,MATCH($A168,SR_mission_minutes!$A$2:$A$43)),"-")</f>
        <v>-</v>
      </c>
      <c r="O168" s="105" t="str">
        <f>IFERROR(INDEX(lifespans_all!O$80:O$126,MATCH($A168,lifespans_all!$A$80:$A$126,0))*INDEX(SR_mission_minutes!O$2:O$43,MATCH($A168,SR_mission_minutes!$A$2:$A$43)),"-")</f>
        <v>-</v>
      </c>
      <c r="P168" s="105" t="str">
        <f>IFERROR(INDEX(lifespans_all!P$80:P$126,MATCH($A168,lifespans_all!$A$80:$A$126,0))*INDEX(SR_mission_minutes!P$2:P$43,MATCH($A168,SR_mission_minutes!$A$2:$A$43)),"-")</f>
        <v>-</v>
      </c>
      <c r="Q168" s="105" t="str">
        <f>IFERROR(INDEX(lifespans_all!Q$80:Q$126,MATCH($A168,lifespans_all!$A$80:$A$126,0))*INDEX(SR_mission_minutes!Q$2:Q$43,MATCH($A168,SR_mission_minutes!$A$2:$A$43)),"-")</f>
        <v>-</v>
      </c>
      <c r="R168" s="105" t="str">
        <f>IFERROR(INDEX(lifespans_all!R$80:R$126,MATCH($A168,lifespans_all!$A$80:$A$126,0))*INDEX(SR_mission_minutes!R$2:R$43,MATCH($A168,SR_mission_minutes!$A$2:$A$43)),"-")</f>
        <v>-</v>
      </c>
      <c r="S168" s="105" t="str">
        <f>IFERROR(INDEX(lifespans_all!S$80:S$126,MATCH($A168,lifespans_all!$A$80:$A$126,0))*INDEX(SR_mission_minutes!S$2:S$43,MATCH($A168,SR_mission_minutes!$A$2:$A$43)),"-")</f>
        <v>-</v>
      </c>
      <c r="T168" s="105" t="str">
        <f>IFERROR(INDEX(lifespans_all!T$80:T$126,MATCH($A168,lifespans_all!$A$80:$A$126,0))*INDEX(SR_mission_minutes!T$2:T$43,MATCH($A168,SR_mission_minutes!$A$2:$A$43)),"-")</f>
        <v>-</v>
      </c>
      <c r="U168" s="105" t="str">
        <f>IFERROR(INDEX(lifespans_all!U$80:U$126,MATCH($A168,lifespans_all!$A$80:$A$126,0))*INDEX(SR_mission_minutes!U$2:U$43,MATCH($A168,SR_mission_minutes!$A$2:$A$43)),"-")</f>
        <v>-</v>
      </c>
      <c r="V168" s="105" t="str">
        <f>IFERROR(INDEX(lifespans_all!V$80:V$126,MATCH($A168,lifespans_all!$A$80:$A$126,0))*INDEX(SR_mission_minutes!V$2:V$43,MATCH($A168,SR_mission_minutes!$A$2:$A$43)),"-")</f>
        <v>-</v>
      </c>
    </row>
    <row r="169" spans="1:22" x14ac:dyDescent="0.25">
      <c r="A169" s="29" t="s">
        <v>109</v>
      </c>
      <c r="B169" s="29" t="s">
        <v>40</v>
      </c>
      <c r="C169" s="105" t="str">
        <f>IFERROR(INDEX(lifespans_all!C$158:C$212,MATCH($A169,lifespans_all!$A$158:$A$212,0))*INDEX(SR_mission_minutes!C$2:C$43,MATCH($A169,SR_mission_minutes!$A$2:$A$43)),"-")</f>
        <v>-</v>
      </c>
      <c r="D169" s="105" t="str">
        <f>IFERROR(INDEX(lifespans_all!D$80:D$126,MATCH($A169,lifespans_all!$A$80:$A$126,0))*INDEX(SR_mission_minutes!D$2:D$43,MATCH($A169,SR_mission_minutes!$A$2:$A$43)),"-")</f>
        <v>-</v>
      </c>
      <c r="E169" s="105" t="str">
        <f>IFERROR(INDEX(lifespans_all!E$80:E$126,MATCH($A169,lifespans_all!$A$80:$A$126,0))*INDEX(SR_mission_minutes!E$2:E$43,MATCH($A169,SR_mission_minutes!$A$2:$A$43)),"-")</f>
        <v>-</v>
      </c>
      <c r="F169" s="105" t="str">
        <f>IFERROR(INDEX(lifespans_all!F$80:F$126,MATCH($A169,lifespans_all!$A$80:$A$126,0))*INDEX(SR_mission_minutes!F$2:F$43,MATCH($A169,SR_mission_minutes!$A$2:$A$43)),"-")</f>
        <v>-</v>
      </c>
      <c r="G169" s="105" t="str">
        <f>IFERROR(INDEX(lifespans_all!G$80:G$126,MATCH($A169,lifespans_all!$A$80:$A$126,0))*INDEX(SR_mission_minutes!G$2:G$43,MATCH($A169,SR_mission_minutes!$A$2:$A$43)),"-")</f>
        <v>-</v>
      </c>
      <c r="H169" s="105" t="str">
        <f>IFERROR(INDEX(lifespans_all!H$80:H$126,MATCH($A169,lifespans_all!$A$80:$A$126,0))*INDEX(SR_mission_minutes!H$2:H$43,MATCH($A169,SR_mission_minutes!$A$2:$A$43)),"-")</f>
        <v>-</v>
      </c>
      <c r="I169" s="105" t="str">
        <f>IFERROR(INDEX(lifespans_all!I$80:I$126,MATCH($A169,lifespans_all!$A$80:$A$126,0))*INDEX(SR_mission_minutes!I$2:I$43,MATCH($A169,SR_mission_minutes!$A$2:$A$43)),"-")</f>
        <v>-</v>
      </c>
      <c r="J169" s="105" t="str">
        <f>IFERROR(INDEX(lifespans_all!J$80:J$126,MATCH($A169,lifespans_all!$A$80:$A$126,0))*INDEX(SR_mission_minutes!J$2:J$43,MATCH($A169,SR_mission_minutes!$A$2:$A$43)),"-")</f>
        <v>-</v>
      </c>
      <c r="K169" s="105" t="str">
        <f>IFERROR(INDEX(lifespans_all!K$80:K$126,MATCH($A169,lifespans_all!$A$80:$A$126,0))*INDEX(SR_mission_minutes!K$2:K$43,MATCH($A169,SR_mission_minutes!$A$2:$A$43)),"-")</f>
        <v>-</v>
      </c>
      <c r="L169" s="105" t="str">
        <f>IFERROR(INDEX(lifespans_all!L$80:L$126,MATCH($A169,lifespans_all!$A$80:$A$126,0))*INDEX(SR_mission_minutes!L$2:L$43,MATCH($A169,SR_mission_minutes!$A$2:$A$43)),"-")</f>
        <v>-</v>
      </c>
      <c r="M169" s="105" t="str">
        <f>IFERROR(INDEX(lifespans_all!M$80:M$126,MATCH($A169,lifespans_all!$A$80:$A$126,0))*INDEX(SR_mission_minutes!M$2:M$43,MATCH($A169,SR_mission_minutes!$A$2:$A$43)),"-")</f>
        <v>-</v>
      </c>
      <c r="N169" s="105" t="str">
        <f>IFERROR(INDEX(lifespans_all!N$80:N$126,MATCH($A169,lifespans_all!$A$80:$A$126,0))*INDEX(SR_mission_minutes!N$2:N$43,MATCH($A169,SR_mission_minutes!$A$2:$A$43)),"-")</f>
        <v>-</v>
      </c>
      <c r="O169" s="105" t="str">
        <f>IFERROR(INDEX(lifespans_all!O$80:O$126,MATCH($A169,lifespans_all!$A$80:$A$126,0))*INDEX(SR_mission_minutes!O$2:O$43,MATCH($A169,SR_mission_minutes!$A$2:$A$43)),"-")</f>
        <v>-</v>
      </c>
      <c r="P169" s="105" t="str">
        <f>IFERROR(INDEX(lifespans_all!P$80:P$126,MATCH($A169,lifespans_all!$A$80:$A$126,0))*INDEX(SR_mission_minutes!P$2:P$43,MATCH($A169,SR_mission_minutes!$A$2:$A$43)),"-")</f>
        <v>-</v>
      </c>
      <c r="Q169" s="105" t="str">
        <f>IFERROR(INDEX(lifespans_all!Q$80:Q$126,MATCH($A169,lifespans_all!$A$80:$A$126,0))*INDEX(SR_mission_minutes!Q$2:Q$43,MATCH($A169,SR_mission_minutes!$A$2:$A$43)),"-")</f>
        <v>-</v>
      </c>
      <c r="R169" s="105" t="str">
        <f>IFERROR(INDEX(lifespans_all!R$80:R$126,MATCH($A169,lifespans_all!$A$80:$A$126,0))*INDEX(SR_mission_minutes!R$2:R$43,MATCH($A169,SR_mission_minutes!$A$2:$A$43)),"-")</f>
        <v>-</v>
      </c>
      <c r="S169" s="105" t="str">
        <f>IFERROR(INDEX(lifespans_all!S$80:S$126,MATCH($A169,lifespans_all!$A$80:$A$126,0))*INDEX(SR_mission_minutes!S$2:S$43,MATCH($A169,SR_mission_minutes!$A$2:$A$43)),"-")</f>
        <v>-</v>
      </c>
      <c r="T169" s="105" t="str">
        <f>IFERROR(INDEX(lifespans_all!T$80:T$126,MATCH($A169,lifespans_all!$A$80:$A$126,0))*INDEX(SR_mission_minutes!T$2:T$43,MATCH($A169,SR_mission_minutes!$A$2:$A$43)),"-")</f>
        <v>-</v>
      </c>
      <c r="U169" s="105" t="str">
        <f>IFERROR(INDEX(lifespans_all!U$80:U$126,MATCH($A169,lifespans_all!$A$80:$A$126,0))*INDEX(SR_mission_minutes!U$2:U$43,MATCH($A169,SR_mission_minutes!$A$2:$A$43)),"-")</f>
        <v>-</v>
      </c>
      <c r="V169" s="105" t="str">
        <f>IFERROR(INDEX(lifespans_all!V$80:V$126,MATCH($A169,lifespans_all!$A$80:$A$126,0))*INDEX(SR_mission_minutes!V$2:V$43,MATCH($A169,SR_mission_minutes!$A$2:$A$43)),"-")</f>
        <v>-</v>
      </c>
    </row>
    <row r="170" spans="1:22" x14ac:dyDescent="0.25">
      <c r="A170" s="29" t="s">
        <v>110</v>
      </c>
      <c r="B170" s="29" t="s">
        <v>40</v>
      </c>
      <c r="C170" s="105" t="str">
        <f>IFERROR(INDEX(lifespans_all!C$158:C$212,MATCH($A170,lifespans_all!$A$158:$A$212,0))*INDEX(SR_mission_minutes!C$2:C$43,MATCH($A170,SR_mission_minutes!$A$2:$A$43)),"-")</f>
        <v>-</v>
      </c>
      <c r="D170" s="105" t="str">
        <f>IFERROR(INDEX(lifespans_all!D$80:D$126,MATCH($A170,lifespans_all!$A$80:$A$126,0))*INDEX(SR_mission_minutes!D$2:D$43,MATCH($A170,SR_mission_minutes!$A$2:$A$43)),"-")</f>
        <v>-</v>
      </c>
      <c r="E170" s="105" t="str">
        <f>IFERROR(INDEX(lifespans_all!E$80:E$126,MATCH($A170,lifespans_all!$A$80:$A$126,0))*INDEX(SR_mission_minutes!E$2:E$43,MATCH($A170,SR_mission_minutes!$A$2:$A$43)),"-")</f>
        <v>-</v>
      </c>
      <c r="F170" s="105" t="str">
        <f>IFERROR(INDEX(lifespans_all!F$80:F$126,MATCH($A170,lifespans_all!$A$80:$A$126,0))*INDEX(SR_mission_minutes!F$2:F$43,MATCH($A170,SR_mission_minutes!$A$2:$A$43)),"-")</f>
        <v>-</v>
      </c>
      <c r="G170" s="105" t="str">
        <f>IFERROR(INDEX(lifespans_all!G$80:G$126,MATCH($A170,lifespans_all!$A$80:$A$126,0))*INDEX(SR_mission_minutes!G$2:G$43,MATCH($A170,SR_mission_minutes!$A$2:$A$43)),"-")</f>
        <v>-</v>
      </c>
      <c r="H170" s="105" t="str">
        <f>IFERROR(INDEX(lifespans_all!H$80:H$126,MATCH($A170,lifespans_all!$A$80:$A$126,0))*INDEX(SR_mission_minutes!H$2:H$43,MATCH($A170,SR_mission_minutes!$A$2:$A$43)),"-")</f>
        <v>-</v>
      </c>
      <c r="I170" s="105" t="str">
        <f>IFERROR(INDEX(lifespans_all!I$80:I$126,MATCH($A170,lifespans_all!$A$80:$A$126,0))*INDEX(SR_mission_minutes!I$2:I$43,MATCH($A170,SR_mission_minutes!$A$2:$A$43)),"-")</f>
        <v>-</v>
      </c>
      <c r="J170" s="105" t="str">
        <f>IFERROR(INDEX(lifespans_all!J$80:J$126,MATCH($A170,lifespans_all!$A$80:$A$126,0))*INDEX(SR_mission_minutes!J$2:J$43,MATCH($A170,SR_mission_minutes!$A$2:$A$43)),"-")</f>
        <v>-</v>
      </c>
      <c r="K170" s="105" t="str">
        <f>IFERROR(INDEX(lifespans_all!K$80:K$126,MATCH($A170,lifespans_all!$A$80:$A$126,0))*INDEX(SR_mission_minutes!K$2:K$43,MATCH($A170,SR_mission_minutes!$A$2:$A$43)),"-")</f>
        <v>-</v>
      </c>
      <c r="L170" s="105" t="str">
        <f>IFERROR(INDEX(lifespans_all!L$80:L$126,MATCH($A170,lifespans_all!$A$80:$A$126,0))*INDEX(SR_mission_minutes!L$2:L$43,MATCH($A170,SR_mission_minutes!$A$2:$A$43)),"-")</f>
        <v>-</v>
      </c>
      <c r="M170" s="105" t="str">
        <f>IFERROR(INDEX(lifespans_all!M$80:M$126,MATCH($A170,lifespans_all!$A$80:$A$126,0))*INDEX(SR_mission_minutes!M$2:M$43,MATCH($A170,SR_mission_minutes!$A$2:$A$43)),"-")</f>
        <v>-</v>
      </c>
      <c r="N170" s="105" t="str">
        <f>IFERROR(INDEX(lifespans_all!N$80:N$126,MATCH($A170,lifespans_all!$A$80:$A$126,0))*INDEX(SR_mission_minutes!N$2:N$43,MATCH($A170,SR_mission_minutes!$A$2:$A$43)),"-")</f>
        <v>-</v>
      </c>
      <c r="O170" s="105" t="str">
        <f>IFERROR(INDEX(lifespans_all!O$80:O$126,MATCH($A170,lifespans_all!$A$80:$A$126,0))*INDEX(SR_mission_minutes!O$2:O$43,MATCH($A170,SR_mission_minutes!$A$2:$A$43)),"-")</f>
        <v>-</v>
      </c>
      <c r="P170" s="105" t="str">
        <f>IFERROR(INDEX(lifespans_all!P$80:P$126,MATCH($A170,lifespans_all!$A$80:$A$126,0))*INDEX(SR_mission_minutes!P$2:P$43,MATCH($A170,SR_mission_minutes!$A$2:$A$43)),"-")</f>
        <v>-</v>
      </c>
      <c r="Q170" s="105" t="str">
        <f>IFERROR(INDEX(lifespans_all!Q$80:Q$126,MATCH($A170,lifespans_all!$A$80:$A$126,0))*INDEX(SR_mission_minutes!Q$2:Q$43,MATCH($A170,SR_mission_minutes!$A$2:$A$43)),"-")</f>
        <v>-</v>
      </c>
      <c r="R170" s="105" t="str">
        <f>IFERROR(INDEX(lifespans_all!R$80:R$126,MATCH($A170,lifespans_all!$A$80:$A$126,0))*INDEX(SR_mission_minutes!R$2:R$43,MATCH($A170,SR_mission_minutes!$A$2:$A$43)),"-")</f>
        <v>-</v>
      </c>
      <c r="S170" s="105" t="str">
        <f>IFERROR(INDEX(lifespans_all!S$80:S$126,MATCH($A170,lifespans_all!$A$80:$A$126,0))*INDEX(SR_mission_minutes!S$2:S$43,MATCH($A170,SR_mission_minutes!$A$2:$A$43)),"-")</f>
        <v>-</v>
      </c>
      <c r="T170" s="105" t="str">
        <f>IFERROR(INDEX(lifespans_all!T$80:T$126,MATCH($A170,lifespans_all!$A$80:$A$126,0))*INDEX(SR_mission_minutes!T$2:T$43,MATCH($A170,SR_mission_minutes!$A$2:$A$43)),"-")</f>
        <v>-</v>
      </c>
      <c r="U170" s="105" t="str">
        <f>IFERROR(INDEX(lifespans_all!U$80:U$126,MATCH($A170,lifespans_all!$A$80:$A$126,0))*INDEX(SR_mission_minutes!U$2:U$43,MATCH($A170,SR_mission_minutes!$A$2:$A$43)),"-")</f>
        <v>-</v>
      </c>
      <c r="V170" s="105" t="str">
        <f>IFERROR(INDEX(lifespans_all!V$80:V$126,MATCH($A170,lifespans_all!$A$80:$A$126,0))*INDEX(SR_mission_minutes!V$2:V$43,MATCH($A170,SR_mission_minutes!$A$2:$A$43)),"-")</f>
        <v>-</v>
      </c>
    </row>
    <row r="171" spans="1:22" x14ac:dyDescent="0.25">
      <c r="A171" s="29" t="s">
        <v>111</v>
      </c>
      <c r="B171" s="29" t="s">
        <v>40</v>
      </c>
      <c r="C171" s="105" t="str">
        <f>IFERROR(INDEX(lifespans_all!C$158:C$212,MATCH($A171,lifespans_all!$A$158:$A$212,0))*INDEX(SR_mission_minutes!C$2:C$43,MATCH($A171,SR_mission_minutes!$A$2:$A$43)),"-")</f>
        <v>-</v>
      </c>
      <c r="D171" s="105" t="str">
        <f>IFERROR(INDEX(lifespans_all!D$80:D$126,MATCH($A171,lifespans_all!$A$80:$A$126,0))*INDEX(SR_mission_minutes!D$2:D$43,MATCH($A171,SR_mission_minutes!$A$2:$A$43)),"-")</f>
        <v>-</v>
      </c>
      <c r="E171" s="105" t="str">
        <f>IFERROR(INDEX(lifespans_all!E$80:E$126,MATCH($A171,lifespans_all!$A$80:$A$126,0))*INDEX(SR_mission_minutes!E$2:E$43,MATCH($A171,SR_mission_minutes!$A$2:$A$43)),"-")</f>
        <v>-</v>
      </c>
      <c r="F171" s="105" t="str">
        <f>IFERROR(INDEX(lifespans_all!F$80:F$126,MATCH($A171,lifespans_all!$A$80:$A$126,0))*INDEX(SR_mission_minutes!F$2:F$43,MATCH($A171,SR_mission_minutes!$A$2:$A$43)),"-")</f>
        <v>-</v>
      </c>
      <c r="G171" s="105" t="str">
        <f>IFERROR(INDEX(lifespans_all!G$80:G$126,MATCH($A171,lifespans_all!$A$80:$A$126,0))*INDEX(SR_mission_minutes!G$2:G$43,MATCH($A171,SR_mission_minutes!$A$2:$A$43)),"-")</f>
        <v>-</v>
      </c>
      <c r="H171" s="105" t="str">
        <f>IFERROR(INDEX(lifespans_all!H$80:H$126,MATCH($A171,lifespans_all!$A$80:$A$126,0))*INDEX(SR_mission_minutes!H$2:H$43,MATCH($A171,SR_mission_minutes!$A$2:$A$43)),"-")</f>
        <v>-</v>
      </c>
      <c r="I171" s="105" t="str">
        <f>IFERROR(INDEX(lifespans_all!I$80:I$126,MATCH($A171,lifespans_all!$A$80:$A$126,0))*INDEX(SR_mission_minutes!I$2:I$43,MATCH($A171,SR_mission_minutes!$A$2:$A$43)),"-")</f>
        <v>-</v>
      </c>
      <c r="J171" s="105" t="str">
        <f>IFERROR(INDEX(lifespans_all!J$80:J$126,MATCH($A171,lifespans_all!$A$80:$A$126,0))*INDEX(SR_mission_minutes!J$2:J$43,MATCH($A171,SR_mission_minutes!$A$2:$A$43)),"-")</f>
        <v>-</v>
      </c>
      <c r="K171" s="105" t="str">
        <f>IFERROR(INDEX(lifespans_all!K$80:K$126,MATCH($A171,lifespans_all!$A$80:$A$126,0))*INDEX(SR_mission_minutes!K$2:K$43,MATCH($A171,SR_mission_minutes!$A$2:$A$43)),"-")</f>
        <v>-</v>
      </c>
      <c r="L171" s="105" t="str">
        <f>IFERROR(INDEX(lifespans_all!L$80:L$126,MATCH($A171,lifespans_all!$A$80:$A$126,0))*INDEX(SR_mission_minutes!L$2:L$43,MATCH($A171,SR_mission_minutes!$A$2:$A$43)),"-")</f>
        <v>-</v>
      </c>
      <c r="M171" s="105" t="str">
        <f>IFERROR(INDEX(lifespans_all!M$80:M$126,MATCH($A171,lifespans_all!$A$80:$A$126,0))*INDEX(SR_mission_minutes!M$2:M$43,MATCH($A171,SR_mission_minutes!$A$2:$A$43)),"-")</f>
        <v>-</v>
      </c>
      <c r="N171" s="105" t="str">
        <f>IFERROR(INDEX(lifespans_all!N$80:N$126,MATCH($A171,lifespans_all!$A$80:$A$126,0))*INDEX(SR_mission_minutes!N$2:N$43,MATCH($A171,SR_mission_minutes!$A$2:$A$43)),"-")</f>
        <v>-</v>
      </c>
      <c r="O171" s="105" t="str">
        <f>IFERROR(INDEX(lifespans_all!O$80:O$126,MATCH($A171,lifespans_all!$A$80:$A$126,0))*INDEX(SR_mission_minutes!O$2:O$43,MATCH($A171,SR_mission_minutes!$A$2:$A$43)),"-")</f>
        <v>-</v>
      </c>
      <c r="P171" s="105" t="str">
        <f>IFERROR(INDEX(lifespans_all!P$80:P$126,MATCH($A171,lifespans_all!$A$80:$A$126,0))*INDEX(SR_mission_minutes!P$2:P$43,MATCH($A171,SR_mission_minutes!$A$2:$A$43)),"-")</f>
        <v>-</v>
      </c>
      <c r="Q171" s="105" t="str">
        <f>IFERROR(INDEX(lifespans_all!Q$80:Q$126,MATCH($A171,lifespans_all!$A$80:$A$126,0))*INDEX(SR_mission_minutes!Q$2:Q$43,MATCH($A171,SR_mission_minutes!$A$2:$A$43)),"-")</f>
        <v>-</v>
      </c>
      <c r="R171" s="105" t="str">
        <f>IFERROR(INDEX(lifespans_all!R$80:R$126,MATCH($A171,lifespans_all!$A$80:$A$126,0))*INDEX(SR_mission_minutes!R$2:R$43,MATCH($A171,SR_mission_minutes!$A$2:$A$43)),"-")</f>
        <v>-</v>
      </c>
      <c r="S171" s="105" t="str">
        <f>IFERROR(INDEX(lifespans_all!S$80:S$126,MATCH($A171,lifespans_all!$A$80:$A$126,0))*INDEX(SR_mission_minutes!S$2:S$43,MATCH($A171,SR_mission_minutes!$A$2:$A$43)),"-")</f>
        <v>-</v>
      </c>
      <c r="T171" s="105" t="str">
        <f>IFERROR(INDEX(lifespans_all!T$80:T$126,MATCH($A171,lifespans_all!$A$80:$A$126,0))*INDEX(SR_mission_minutes!T$2:T$43,MATCH($A171,SR_mission_minutes!$A$2:$A$43)),"-")</f>
        <v>-</v>
      </c>
      <c r="U171" s="105" t="str">
        <f>IFERROR(INDEX(lifespans_all!U$80:U$126,MATCH($A171,lifespans_all!$A$80:$A$126,0))*INDEX(SR_mission_minutes!U$2:U$43,MATCH($A171,SR_mission_minutes!$A$2:$A$43)),"-")</f>
        <v>-</v>
      </c>
      <c r="V171" s="105" t="str">
        <f>IFERROR(INDEX(lifespans_all!V$80:V$126,MATCH($A171,lifespans_all!$A$80:$A$126,0))*INDEX(SR_mission_minutes!V$2:V$43,MATCH($A171,SR_mission_minutes!$A$2:$A$43)),"-")</f>
        <v>-</v>
      </c>
    </row>
    <row r="172" spans="1:22" x14ac:dyDescent="0.25">
      <c r="A172" s="29" t="s">
        <v>27</v>
      </c>
      <c r="B172" s="29" t="s">
        <v>45</v>
      </c>
      <c r="C172" s="105">
        <f>IFERROR(INDEX(lifespans_all!C$158:C$212,MATCH($A172,lifespans_all!$A$158:$A$212,0))*INDEX(SR_mission_minutes!C$2:C$43,MATCH($A172,SR_mission_minutes!$A$2:$A$43)),"-")</f>
        <v>33739.333333333336</v>
      </c>
      <c r="D172" s="105">
        <f>IFERROR(INDEX(lifespans_all!D$80:D$126,MATCH($A172,lifespans_all!$A$80:$A$126,0))*INDEX(SR_mission_minutes!D$2:D$43,MATCH($A172,SR_mission_minutes!$A$2:$A$43)),"-")</f>
        <v>0</v>
      </c>
      <c r="E172" s="105">
        <f>IFERROR(INDEX(lifespans_all!E$80:E$126,MATCH($A172,lifespans_all!$A$80:$A$126,0))*INDEX(SR_mission_minutes!E$2:E$43,MATCH($A172,SR_mission_minutes!$A$2:$A$43)),"-")</f>
        <v>0</v>
      </c>
      <c r="F172" s="105">
        <f>IFERROR(INDEX(lifespans_all!F$80:F$126,MATCH($A172,lifespans_all!$A$80:$A$126,0))*INDEX(SR_mission_minutes!F$2:F$43,MATCH($A172,SR_mission_minutes!$A$2:$A$43)),"-")</f>
        <v>0</v>
      </c>
      <c r="G172" s="105">
        <f>IFERROR(INDEX(lifespans_all!G$80:G$126,MATCH($A172,lifespans_all!$A$80:$A$126,0))*INDEX(SR_mission_minutes!G$2:G$43,MATCH($A172,SR_mission_minutes!$A$2:$A$43)),"-")</f>
        <v>0</v>
      </c>
      <c r="H172" s="105">
        <f>IFERROR(INDEX(lifespans_all!H$80:H$126,MATCH($A172,lifespans_all!$A$80:$A$126,0))*INDEX(SR_mission_minutes!H$2:H$43,MATCH($A172,SR_mission_minutes!$A$2:$A$43)),"-")</f>
        <v>0</v>
      </c>
      <c r="I172" s="105">
        <f>IFERROR(INDEX(lifespans_all!I$80:I$126,MATCH($A172,lifespans_all!$A$80:$A$126,0))*INDEX(SR_mission_minutes!I$2:I$43,MATCH($A172,SR_mission_minutes!$A$2:$A$43)),"-")</f>
        <v>0</v>
      </c>
      <c r="J172" s="105">
        <f>IFERROR(INDEX(lifespans_all!J$80:J$126,MATCH($A172,lifespans_all!$A$80:$A$126,0))*INDEX(SR_mission_minutes!J$2:J$43,MATCH($A172,SR_mission_minutes!$A$2:$A$43)),"-")</f>
        <v>0</v>
      </c>
      <c r="K172" s="105">
        <f>IFERROR(INDEX(lifespans_all!K$80:K$126,MATCH($A172,lifespans_all!$A$80:$A$126,0))*INDEX(SR_mission_minutes!K$2:K$43,MATCH($A172,SR_mission_minutes!$A$2:$A$43)),"-")</f>
        <v>0</v>
      </c>
      <c r="L172" s="105">
        <f>IFERROR(INDEX(lifespans_all!L$80:L$126,MATCH($A172,lifespans_all!$A$80:$A$126,0))*INDEX(SR_mission_minutes!L$2:L$43,MATCH($A172,SR_mission_minutes!$A$2:$A$43)),"-")</f>
        <v>0</v>
      </c>
      <c r="M172" s="105">
        <f>IFERROR(INDEX(lifespans_all!M$80:M$126,MATCH($A172,lifespans_all!$A$80:$A$126,0))*INDEX(SR_mission_minutes!M$2:M$43,MATCH($A172,SR_mission_minutes!$A$2:$A$43)),"-")</f>
        <v>0</v>
      </c>
      <c r="N172" s="105">
        <f>IFERROR(INDEX(lifespans_all!N$80:N$126,MATCH($A172,lifespans_all!$A$80:$A$126,0))*INDEX(SR_mission_minutes!N$2:N$43,MATCH($A172,SR_mission_minutes!$A$2:$A$43)),"-")</f>
        <v>0</v>
      </c>
      <c r="O172" s="105">
        <f>IFERROR(INDEX(lifespans_all!O$80:O$126,MATCH($A172,lifespans_all!$A$80:$A$126,0))*INDEX(SR_mission_minutes!O$2:O$43,MATCH($A172,SR_mission_minutes!$A$2:$A$43)),"-")</f>
        <v>0</v>
      </c>
      <c r="P172" s="105">
        <f>IFERROR(INDEX(lifespans_all!P$80:P$126,MATCH($A172,lifespans_all!$A$80:$A$126,0))*INDEX(SR_mission_minutes!P$2:P$43,MATCH($A172,SR_mission_minutes!$A$2:$A$43)),"-")</f>
        <v>0</v>
      </c>
      <c r="Q172" s="105">
        <f>IFERROR(INDEX(lifespans_all!Q$80:Q$126,MATCH($A172,lifespans_all!$A$80:$A$126,0))*INDEX(SR_mission_minutes!Q$2:Q$43,MATCH($A172,SR_mission_minutes!$A$2:$A$43)),"-")</f>
        <v>0</v>
      </c>
      <c r="R172" s="105">
        <f>IFERROR(INDEX(lifespans_all!R$80:R$126,MATCH($A172,lifespans_all!$A$80:$A$126,0))*INDEX(SR_mission_minutes!R$2:R$43,MATCH($A172,SR_mission_minutes!$A$2:$A$43)),"-")</f>
        <v>0</v>
      </c>
      <c r="S172" s="105">
        <f>IFERROR(INDEX(lifespans_all!S$80:S$126,MATCH($A172,lifespans_all!$A$80:$A$126,0))*INDEX(SR_mission_minutes!S$2:S$43,MATCH($A172,SR_mission_minutes!$A$2:$A$43)),"-")</f>
        <v>0</v>
      </c>
      <c r="T172" s="105">
        <f>IFERROR(INDEX(lifespans_all!T$80:T$126,MATCH($A172,lifespans_all!$A$80:$A$126,0))*INDEX(SR_mission_minutes!T$2:T$43,MATCH($A172,SR_mission_minutes!$A$2:$A$43)),"-")</f>
        <v>0</v>
      </c>
      <c r="U172" s="105">
        <f>IFERROR(INDEX(lifespans_all!U$80:U$126,MATCH($A172,lifespans_all!$A$80:$A$126,0))*INDEX(SR_mission_minutes!U$2:U$43,MATCH($A172,SR_mission_minutes!$A$2:$A$43)),"-")</f>
        <v>0</v>
      </c>
      <c r="V172" s="105">
        <f>IFERROR(INDEX(lifespans_all!V$80:V$126,MATCH($A172,lifespans_all!$A$80:$A$126,0))*INDEX(SR_mission_minutes!V$2:V$43,MATCH($A172,SR_mission_minutes!$A$2:$A$43)),"-")</f>
        <v>0</v>
      </c>
    </row>
    <row r="173" spans="1:22" x14ac:dyDescent="0.25">
      <c r="A173" s="29" t="s">
        <v>28</v>
      </c>
      <c r="B173" s="29" t="s">
        <v>41</v>
      </c>
      <c r="C173" s="105">
        <f>IFERROR(INDEX(lifespans_all!C$158:C$212,MATCH($A173,lifespans_all!$A$158:$A$212,0))*INDEX(SR_mission_minutes!C$2:C$43,MATCH($A173,SR_mission_minutes!$A$2:$A$43)),"-")</f>
        <v>66700.388888888891</v>
      </c>
      <c r="D173" s="105">
        <f>IFERROR(INDEX(lifespans_all!D$80:D$126,MATCH($A173,lifespans_all!$A$80:$A$126,0))*INDEX(SR_mission_minutes!D$2:D$43,MATCH($A173,SR_mission_minutes!$A$2:$A$43)),"-")</f>
        <v>0</v>
      </c>
      <c r="E173" s="105">
        <f>IFERROR(INDEX(lifespans_all!E$80:E$126,MATCH($A173,lifespans_all!$A$80:$A$126,0))*INDEX(SR_mission_minutes!E$2:E$43,MATCH($A173,SR_mission_minutes!$A$2:$A$43)),"-")</f>
        <v>0</v>
      </c>
      <c r="F173" s="105">
        <f>IFERROR(INDEX(lifespans_all!F$80:F$126,MATCH($A173,lifespans_all!$A$80:$A$126,0))*INDEX(SR_mission_minutes!F$2:F$43,MATCH($A173,SR_mission_minutes!$A$2:$A$43)),"-")</f>
        <v>0</v>
      </c>
      <c r="G173" s="105">
        <f>IFERROR(INDEX(lifespans_all!G$80:G$126,MATCH($A173,lifespans_all!$A$80:$A$126,0))*INDEX(SR_mission_minutes!G$2:G$43,MATCH($A173,SR_mission_minutes!$A$2:$A$43)),"-")</f>
        <v>0</v>
      </c>
      <c r="H173" s="105">
        <f>IFERROR(INDEX(lifespans_all!H$80:H$126,MATCH($A173,lifespans_all!$A$80:$A$126,0))*INDEX(SR_mission_minutes!H$2:H$43,MATCH($A173,SR_mission_minutes!$A$2:$A$43)),"-")</f>
        <v>0</v>
      </c>
      <c r="I173" s="105">
        <f>IFERROR(INDEX(lifespans_all!I$80:I$126,MATCH($A173,lifespans_all!$A$80:$A$126,0))*INDEX(SR_mission_minutes!I$2:I$43,MATCH($A173,SR_mission_minutes!$A$2:$A$43)),"-")</f>
        <v>0</v>
      </c>
      <c r="J173" s="105">
        <f>IFERROR(INDEX(lifespans_all!J$80:J$126,MATCH($A173,lifespans_all!$A$80:$A$126,0))*INDEX(SR_mission_minutes!J$2:J$43,MATCH($A173,SR_mission_minutes!$A$2:$A$43)),"-")</f>
        <v>0</v>
      </c>
      <c r="K173" s="105">
        <f>IFERROR(INDEX(lifespans_all!K$80:K$126,MATCH($A173,lifespans_all!$A$80:$A$126,0))*INDEX(SR_mission_minutes!K$2:K$43,MATCH($A173,SR_mission_minutes!$A$2:$A$43)),"-")</f>
        <v>0</v>
      </c>
      <c r="L173" s="105">
        <f>IFERROR(INDEX(lifespans_all!L$80:L$126,MATCH($A173,lifespans_all!$A$80:$A$126,0))*INDEX(SR_mission_minutes!L$2:L$43,MATCH($A173,SR_mission_minutes!$A$2:$A$43)),"-")</f>
        <v>0</v>
      </c>
      <c r="M173" s="105">
        <f>IFERROR(INDEX(lifespans_all!M$80:M$126,MATCH($A173,lifespans_all!$A$80:$A$126,0))*INDEX(SR_mission_minutes!M$2:M$43,MATCH($A173,SR_mission_minutes!$A$2:$A$43)),"-")</f>
        <v>0</v>
      </c>
      <c r="N173" s="105">
        <f>IFERROR(INDEX(lifespans_all!N$80:N$126,MATCH($A173,lifespans_all!$A$80:$A$126,0))*INDEX(SR_mission_minutes!N$2:N$43,MATCH($A173,SR_mission_minutes!$A$2:$A$43)),"-")</f>
        <v>0</v>
      </c>
      <c r="O173" s="105">
        <f>IFERROR(INDEX(lifespans_all!O$80:O$126,MATCH($A173,lifespans_all!$A$80:$A$126,0))*INDEX(SR_mission_minutes!O$2:O$43,MATCH($A173,SR_mission_minutes!$A$2:$A$43)),"-")</f>
        <v>0</v>
      </c>
      <c r="P173" s="105">
        <f>IFERROR(INDEX(lifespans_all!P$80:P$126,MATCH($A173,lifespans_all!$A$80:$A$126,0))*INDEX(SR_mission_minutes!P$2:P$43,MATCH($A173,SR_mission_minutes!$A$2:$A$43)),"-")</f>
        <v>0</v>
      </c>
      <c r="Q173" s="105">
        <f>IFERROR(INDEX(lifespans_all!Q$80:Q$126,MATCH($A173,lifespans_all!$A$80:$A$126,0))*INDEX(SR_mission_minutes!Q$2:Q$43,MATCH($A173,SR_mission_minutes!$A$2:$A$43)),"-")</f>
        <v>0</v>
      </c>
      <c r="R173" s="105">
        <f>IFERROR(INDEX(lifespans_all!R$80:R$126,MATCH($A173,lifespans_all!$A$80:$A$126,0))*INDEX(SR_mission_minutes!R$2:R$43,MATCH($A173,SR_mission_minutes!$A$2:$A$43)),"-")</f>
        <v>0</v>
      </c>
      <c r="S173" s="105">
        <f>IFERROR(INDEX(lifespans_all!S$80:S$126,MATCH($A173,lifespans_all!$A$80:$A$126,0))*INDEX(SR_mission_minutes!S$2:S$43,MATCH($A173,SR_mission_minutes!$A$2:$A$43)),"-")</f>
        <v>0</v>
      </c>
      <c r="T173" s="105">
        <f>IFERROR(INDEX(lifespans_all!T$80:T$126,MATCH($A173,lifespans_all!$A$80:$A$126,0))*INDEX(SR_mission_minutes!T$2:T$43,MATCH($A173,SR_mission_minutes!$A$2:$A$43)),"-")</f>
        <v>0</v>
      </c>
      <c r="U173" s="105">
        <f>IFERROR(INDEX(lifespans_all!U$80:U$126,MATCH($A173,lifespans_all!$A$80:$A$126,0))*INDEX(SR_mission_minutes!U$2:U$43,MATCH($A173,SR_mission_minutes!$A$2:$A$43)),"-")</f>
        <v>0</v>
      </c>
      <c r="V173" s="105">
        <f>IFERROR(INDEX(lifespans_all!V$80:V$126,MATCH($A173,lifespans_all!$A$80:$A$126,0))*INDEX(SR_mission_minutes!V$2:V$43,MATCH($A173,SR_mission_minutes!$A$2:$A$43)),"-")</f>
        <v>0</v>
      </c>
    </row>
    <row r="174" spans="1:22" x14ac:dyDescent="0.25">
      <c r="A174" s="29" t="s">
        <v>62</v>
      </c>
      <c r="B174" s="29" t="s">
        <v>41</v>
      </c>
      <c r="C174" s="105">
        <f>IFERROR(INDEX(lifespans_all!C$158:C$212,MATCH($A174,lifespans_all!$A$158:$A$212,0))*INDEX(SR_mission_minutes!C$2:C$43,MATCH($A174,SR_mission_minutes!$A$2:$A$43)),"-")</f>
        <v>66700.388888888891</v>
      </c>
      <c r="D174" s="105">
        <f>IFERROR(INDEX(lifespans_all!D$80:D$126,MATCH($A174,lifespans_all!$A$80:$A$126,0))*INDEX(SR_mission_minutes!D$2:D$43,MATCH($A174,SR_mission_minutes!$A$2:$A$43)),"-")</f>
        <v>66700.388888888891</v>
      </c>
      <c r="E174" s="105">
        <f>IFERROR(INDEX(lifespans_all!E$80:E$126,MATCH($A174,lifespans_all!$A$80:$A$126,0))*INDEX(SR_mission_minutes!E$2:E$43,MATCH($A174,SR_mission_minutes!$A$2:$A$43)),"-")</f>
        <v>66700.388888888891</v>
      </c>
      <c r="F174" s="105">
        <f>IFERROR(INDEX(lifespans_all!F$80:F$126,MATCH($A174,lifespans_all!$A$80:$A$126,0))*INDEX(SR_mission_minutes!F$2:F$43,MATCH($A174,SR_mission_minutes!$A$2:$A$43)),"-")</f>
        <v>66700.388888888891</v>
      </c>
      <c r="G174" s="105">
        <f>IFERROR(INDEX(lifespans_all!G$80:G$126,MATCH($A174,lifespans_all!$A$80:$A$126,0))*INDEX(SR_mission_minutes!G$2:G$43,MATCH($A174,SR_mission_minutes!$A$2:$A$43)),"-")</f>
        <v>66700.388888888891</v>
      </c>
      <c r="H174" s="105">
        <f>IFERROR(INDEX(lifespans_all!H$80:H$126,MATCH($A174,lifespans_all!$A$80:$A$126,0))*INDEX(SR_mission_minutes!H$2:H$43,MATCH($A174,SR_mission_minutes!$A$2:$A$43)),"-")</f>
        <v>0</v>
      </c>
      <c r="I174" s="105">
        <f>IFERROR(INDEX(lifespans_all!I$80:I$126,MATCH($A174,lifespans_all!$A$80:$A$126,0))*INDEX(SR_mission_minutes!I$2:I$43,MATCH($A174,SR_mission_minutes!$A$2:$A$43)),"-")</f>
        <v>0</v>
      </c>
      <c r="J174" s="105">
        <f>IFERROR(INDEX(lifespans_all!J$80:J$126,MATCH($A174,lifespans_all!$A$80:$A$126,0))*INDEX(SR_mission_minutes!J$2:J$43,MATCH($A174,SR_mission_minutes!$A$2:$A$43)),"-")</f>
        <v>0</v>
      </c>
      <c r="K174" s="105">
        <f>IFERROR(INDEX(lifespans_all!K$80:K$126,MATCH($A174,lifespans_all!$A$80:$A$126,0))*INDEX(SR_mission_minutes!K$2:K$43,MATCH($A174,SR_mission_minutes!$A$2:$A$43)),"-")</f>
        <v>0</v>
      </c>
      <c r="L174" s="105">
        <f>IFERROR(INDEX(lifespans_all!L$80:L$126,MATCH($A174,lifespans_all!$A$80:$A$126,0))*INDEX(SR_mission_minutes!L$2:L$43,MATCH($A174,SR_mission_minutes!$A$2:$A$43)),"-")</f>
        <v>0</v>
      </c>
      <c r="M174" s="105">
        <f>IFERROR(INDEX(lifespans_all!M$80:M$126,MATCH($A174,lifespans_all!$A$80:$A$126,0))*INDEX(SR_mission_minutes!M$2:M$43,MATCH($A174,SR_mission_minutes!$A$2:$A$43)),"-")</f>
        <v>0</v>
      </c>
      <c r="N174" s="105">
        <f>IFERROR(INDEX(lifespans_all!N$80:N$126,MATCH($A174,lifespans_all!$A$80:$A$126,0))*INDEX(SR_mission_minutes!N$2:N$43,MATCH($A174,SR_mission_minutes!$A$2:$A$43)),"-")</f>
        <v>0</v>
      </c>
      <c r="O174" s="105">
        <f>IFERROR(INDEX(lifespans_all!O$80:O$126,MATCH($A174,lifespans_all!$A$80:$A$126,0))*INDEX(SR_mission_minutes!O$2:O$43,MATCH($A174,SR_mission_minutes!$A$2:$A$43)),"-")</f>
        <v>0</v>
      </c>
      <c r="P174" s="105">
        <f>IFERROR(INDEX(lifespans_all!P$80:P$126,MATCH($A174,lifespans_all!$A$80:$A$126,0))*INDEX(SR_mission_minutes!P$2:P$43,MATCH($A174,SR_mission_minutes!$A$2:$A$43)),"-")</f>
        <v>0</v>
      </c>
      <c r="Q174" s="105">
        <f>IFERROR(INDEX(lifespans_all!Q$80:Q$126,MATCH($A174,lifespans_all!$A$80:$A$126,0))*INDEX(SR_mission_minutes!Q$2:Q$43,MATCH($A174,SR_mission_minutes!$A$2:$A$43)),"-")</f>
        <v>0</v>
      </c>
      <c r="R174" s="105">
        <f>IFERROR(INDEX(lifespans_all!R$80:R$126,MATCH($A174,lifespans_all!$A$80:$A$126,0))*INDEX(SR_mission_minutes!R$2:R$43,MATCH($A174,SR_mission_minutes!$A$2:$A$43)),"-")</f>
        <v>0</v>
      </c>
      <c r="S174" s="105">
        <f>IFERROR(INDEX(lifespans_all!S$80:S$126,MATCH($A174,lifespans_all!$A$80:$A$126,0))*INDEX(SR_mission_minutes!S$2:S$43,MATCH($A174,SR_mission_minutes!$A$2:$A$43)),"-")</f>
        <v>0</v>
      </c>
      <c r="T174" s="105">
        <f>IFERROR(INDEX(lifespans_all!T$80:T$126,MATCH($A174,lifespans_all!$A$80:$A$126,0))*INDEX(SR_mission_minutes!T$2:T$43,MATCH($A174,SR_mission_minutes!$A$2:$A$43)),"-")</f>
        <v>0</v>
      </c>
      <c r="U174" s="105">
        <f>IFERROR(INDEX(lifespans_all!U$80:U$126,MATCH($A174,lifespans_all!$A$80:$A$126,0))*INDEX(SR_mission_minutes!U$2:U$43,MATCH($A174,SR_mission_minutes!$A$2:$A$43)),"-")</f>
        <v>0</v>
      </c>
      <c r="V174" s="105">
        <f>IFERROR(INDEX(lifespans_all!V$80:V$126,MATCH($A174,lifespans_all!$A$80:$A$126,0))*INDEX(SR_mission_minutes!V$2:V$43,MATCH($A174,SR_mission_minutes!$A$2:$A$43)),"-")</f>
        <v>0</v>
      </c>
    </row>
    <row r="175" spans="1:22" x14ac:dyDescent="0.25">
      <c r="A175" s="29" t="s">
        <v>29</v>
      </c>
      <c r="B175" s="29" t="s">
        <v>41</v>
      </c>
      <c r="C175" s="105">
        <f>IFERROR(INDEX(lifespans_all!C$158:C$212,MATCH($A175,lifespans_all!$A$158:$A$212,0))*INDEX(SR_mission_minutes!C$2:C$43,MATCH($A175,SR_mission_minutes!$A$2:$A$43)),"-")</f>
        <v>66700.388888888891</v>
      </c>
      <c r="D175" s="105">
        <f>IFERROR(INDEX(lifespans_all!D$80:D$126,MATCH($A175,lifespans_all!$A$80:$A$126,0))*INDEX(SR_mission_minutes!D$2:D$43,MATCH($A175,SR_mission_minutes!$A$2:$A$43)),"-")</f>
        <v>66700.388888888891</v>
      </c>
      <c r="E175" s="105">
        <f>IFERROR(INDEX(lifespans_all!E$80:E$126,MATCH($A175,lifespans_all!$A$80:$A$126,0))*INDEX(SR_mission_minutes!E$2:E$43,MATCH($A175,SR_mission_minutes!$A$2:$A$43)),"-")</f>
        <v>66700.388888888891</v>
      </c>
      <c r="F175" s="105">
        <f>IFERROR(INDEX(lifespans_all!F$80:F$126,MATCH($A175,lifespans_all!$A$80:$A$126,0))*INDEX(SR_mission_minutes!F$2:F$43,MATCH($A175,SR_mission_minutes!$A$2:$A$43)),"-")</f>
        <v>0</v>
      </c>
      <c r="G175" s="105">
        <f>IFERROR(INDEX(lifespans_all!G$80:G$126,MATCH($A175,lifespans_all!$A$80:$A$126,0))*INDEX(SR_mission_minutes!G$2:G$43,MATCH($A175,SR_mission_minutes!$A$2:$A$43)),"-")</f>
        <v>0</v>
      </c>
      <c r="H175" s="105">
        <f>IFERROR(INDEX(lifespans_all!H$80:H$126,MATCH($A175,lifespans_all!$A$80:$A$126,0))*INDEX(SR_mission_minutes!H$2:H$43,MATCH($A175,SR_mission_minutes!$A$2:$A$43)),"-")</f>
        <v>0</v>
      </c>
      <c r="I175" s="105">
        <f>IFERROR(INDEX(lifespans_all!I$80:I$126,MATCH($A175,lifespans_all!$A$80:$A$126,0))*INDEX(SR_mission_minutes!I$2:I$43,MATCH($A175,SR_mission_minutes!$A$2:$A$43)),"-")</f>
        <v>0</v>
      </c>
      <c r="J175" s="105">
        <f>IFERROR(INDEX(lifespans_all!J$80:J$126,MATCH($A175,lifespans_all!$A$80:$A$126,0))*INDEX(SR_mission_minutes!J$2:J$43,MATCH($A175,SR_mission_minutes!$A$2:$A$43)),"-")</f>
        <v>0</v>
      </c>
      <c r="K175" s="105">
        <f>IFERROR(INDEX(lifespans_all!K$80:K$126,MATCH($A175,lifespans_all!$A$80:$A$126,0))*INDEX(SR_mission_minutes!K$2:K$43,MATCH($A175,SR_mission_minutes!$A$2:$A$43)),"-")</f>
        <v>0</v>
      </c>
      <c r="L175" s="105">
        <f>IFERROR(INDEX(lifespans_all!L$80:L$126,MATCH($A175,lifespans_all!$A$80:$A$126,0))*INDEX(SR_mission_minutes!L$2:L$43,MATCH($A175,SR_mission_minutes!$A$2:$A$43)),"-")</f>
        <v>0</v>
      </c>
      <c r="M175" s="105">
        <f>IFERROR(INDEX(lifespans_all!M$80:M$126,MATCH($A175,lifespans_all!$A$80:$A$126,0))*INDEX(SR_mission_minutes!M$2:M$43,MATCH($A175,SR_mission_minutes!$A$2:$A$43)),"-")</f>
        <v>0</v>
      </c>
      <c r="N175" s="105">
        <f>IFERROR(INDEX(lifespans_all!N$80:N$126,MATCH($A175,lifespans_all!$A$80:$A$126,0))*INDEX(SR_mission_minutes!N$2:N$43,MATCH($A175,SR_mission_minutes!$A$2:$A$43)),"-")</f>
        <v>0</v>
      </c>
      <c r="O175" s="105">
        <f>IFERROR(INDEX(lifespans_all!O$80:O$126,MATCH($A175,lifespans_all!$A$80:$A$126,0))*INDEX(SR_mission_minutes!O$2:O$43,MATCH($A175,SR_mission_minutes!$A$2:$A$43)),"-")</f>
        <v>0</v>
      </c>
      <c r="P175" s="105">
        <f>IFERROR(INDEX(lifespans_all!P$80:P$126,MATCH($A175,lifespans_all!$A$80:$A$126,0))*INDEX(SR_mission_minutes!P$2:P$43,MATCH($A175,SR_mission_minutes!$A$2:$A$43)),"-")</f>
        <v>0</v>
      </c>
      <c r="Q175" s="105">
        <f>IFERROR(INDEX(lifespans_all!Q$80:Q$126,MATCH($A175,lifespans_all!$A$80:$A$126,0))*INDEX(SR_mission_minutes!Q$2:Q$43,MATCH($A175,SR_mission_minutes!$A$2:$A$43)),"-")</f>
        <v>0</v>
      </c>
      <c r="R175" s="105">
        <f>IFERROR(INDEX(lifespans_all!R$80:R$126,MATCH($A175,lifespans_all!$A$80:$A$126,0))*INDEX(SR_mission_minutes!R$2:R$43,MATCH($A175,SR_mission_minutes!$A$2:$A$43)),"-")</f>
        <v>0</v>
      </c>
      <c r="S175" s="105">
        <f>IFERROR(INDEX(lifespans_all!S$80:S$126,MATCH($A175,lifespans_all!$A$80:$A$126,0))*INDEX(SR_mission_minutes!S$2:S$43,MATCH($A175,SR_mission_minutes!$A$2:$A$43)),"-")</f>
        <v>0</v>
      </c>
      <c r="T175" s="105">
        <f>IFERROR(INDEX(lifespans_all!T$80:T$126,MATCH($A175,lifespans_all!$A$80:$A$126,0))*INDEX(SR_mission_minutes!T$2:T$43,MATCH($A175,SR_mission_minutes!$A$2:$A$43)),"-")</f>
        <v>0</v>
      </c>
      <c r="U175" s="105">
        <f>IFERROR(INDEX(lifespans_all!U$80:U$126,MATCH($A175,lifespans_all!$A$80:$A$126,0))*INDEX(SR_mission_minutes!U$2:U$43,MATCH($A175,SR_mission_minutes!$A$2:$A$43)),"-")</f>
        <v>0</v>
      </c>
      <c r="V175" s="105">
        <f>IFERROR(INDEX(lifespans_all!V$80:V$126,MATCH($A175,lifespans_all!$A$80:$A$126,0))*INDEX(SR_mission_minutes!V$2:V$43,MATCH($A175,SR_mission_minutes!$A$2:$A$43)),"-")</f>
        <v>0</v>
      </c>
    </row>
    <row r="176" spans="1:22" x14ac:dyDescent="0.25">
      <c r="A176" s="29" t="s">
        <v>30</v>
      </c>
      <c r="B176" s="29" t="s">
        <v>43</v>
      </c>
      <c r="C176" s="105">
        <f>IFERROR(INDEX(lifespans_all!C$158:C$212,MATCH($A176,lifespans_all!$A$158:$A$212,0))*INDEX(SR_mission_minutes!C$2:C$43,MATCH($A176,SR_mission_minutes!$A$2:$A$43)),"-")</f>
        <v>114879</v>
      </c>
      <c r="D176" s="105">
        <f>IFERROR(INDEX(lifespans_all!D$80:D$126,MATCH($A176,lifespans_all!$A$80:$A$126,0))*INDEX(SR_mission_minutes!D$2:D$43,MATCH($A176,SR_mission_minutes!$A$2:$A$43)),"-")</f>
        <v>114879</v>
      </c>
      <c r="E176" s="105">
        <f>IFERROR(INDEX(lifespans_all!E$80:E$126,MATCH($A176,lifespans_all!$A$80:$A$126,0))*INDEX(SR_mission_minutes!E$2:E$43,MATCH($A176,SR_mission_minutes!$A$2:$A$43)),"-")</f>
        <v>114879</v>
      </c>
      <c r="F176" s="105">
        <f>IFERROR(INDEX(lifespans_all!F$80:F$126,MATCH($A176,lifespans_all!$A$80:$A$126,0))*INDEX(SR_mission_minutes!F$2:F$43,MATCH($A176,SR_mission_minutes!$A$2:$A$43)),"-")</f>
        <v>114879</v>
      </c>
      <c r="G176" s="105">
        <f>IFERROR(INDEX(lifespans_all!G$80:G$126,MATCH($A176,lifespans_all!$A$80:$A$126,0))*INDEX(SR_mission_minutes!G$2:G$43,MATCH($A176,SR_mission_minutes!$A$2:$A$43)),"-")</f>
        <v>114879</v>
      </c>
      <c r="H176" s="105">
        <f>IFERROR(INDEX(lifespans_all!H$80:H$126,MATCH($A176,lifespans_all!$A$80:$A$126,0))*INDEX(SR_mission_minutes!H$2:H$43,MATCH($A176,SR_mission_minutes!$A$2:$A$43)),"-")</f>
        <v>114879</v>
      </c>
      <c r="I176" s="105">
        <f>IFERROR(INDEX(lifespans_all!I$80:I$126,MATCH($A176,lifespans_all!$A$80:$A$126,0))*INDEX(SR_mission_minutes!I$2:I$43,MATCH($A176,SR_mission_minutes!$A$2:$A$43)),"-")</f>
        <v>114879</v>
      </c>
      <c r="J176" s="105">
        <f>IFERROR(INDEX(lifespans_all!J$80:J$126,MATCH($A176,lifespans_all!$A$80:$A$126,0))*INDEX(SR_mission_minutes!J$2:J$43,MATCH($A176,SR_mission_minutes!$A$2:$A$43)),"-")</f>
        <v>114879</v>
      </c>
      <c r="K176" s="105">
        <f>IFERROR(INDEX(lifespans_all!K$80:K$126,MATCH($A176,lifespans_all!$A$80:$A$126,0))*INDEX(SR_mission_minutes!K$2:K$43,MATCH($A176,SR_mission_minutes!$A$2:$A$43)),"-")</f>
        <v>114879</v>
      </c>
      <c r="L176" s="105">
        <f>IFERROR(INDEX(lifespans_all!L$80:L$126,MATCH($A176,lifespans_all!$A$80:$A$126,0))*INDEX(SR_mission_minutes!L$2:L$43,MATCH($A176,SR_mission_minutes!$A$2:$A$43)),"-")</f>
        <v>114879</v>
      </c>
      <c r="M176" s="105">
        <f>IFERROR(INDEX(lifespans_all!M$80:M$126,MATCH($A176,lifespans_all!$A$80:$A$126,0))*INDEX(SR_mission_minutes!M$2:M$43,MATCH($A176,SR_mission_minutes!$A$2:$A$43)),"-")</f>
        <v>114879</v>
      </c>
      <c r="N176" s="105">
        <f>IFERROR(INDEX(lifespans_all!N$80:N$126,MATCH($A176,lifespans_all!$A$80:$A$126,0))*INDEX(SR_mission_minutes!N$2:N$43,MATCH($A176,SR_mission_minutes!$A$2:$A$43)),"-")</f>
        <v>114879</v>
      </c>
      <c r="O176" s="105">
        <f>IFERROR(INDEX(lifespans_all!O$80:O$126,MATCH($A176,lifespans_all!$A$80:$A$126,0))*INDEX(SR_mission_minutes!O$2:O$43,MATCH($A176,SR_mission_minutes!$A$2:$A$43)),"-")</f>
        <v>114879</v>
      </c>
      <c r="P176" s="105">
        <f>IFERROR(INDEX(lifespans_all!P$80:P$126,MATCH($A176,lifespans_all!$A$80:$A$126,0))*INDEX(SR_mission_minutes!P$2:P$43,MATCH($A176,SR_mission_minutes!$A$2:$A$43)),"-")</f>
        <v>114879</v>
      </c>
      <c r="Q176" s="105">
        <f>IFERROR(INDEX(lifespans_all!Q$80:Q$126,MATCH($A176,lifespans_all!$A$80:$A$126,0))*INDEX(SR_mission_minutes!Q$2:Q$43,MATCH($A176,SR_mission_minutes!$A$2:$A$43)),"-")</f>
        <v>114879</v>
      </c>
      <c r="R176" s="105">
        <f>IFERROR(INDEX(lifespans_all!R$80:R$126,MATCH($A176,lifespans_all!$A$80:$A$126,0))*INDEX(SR_mission_minutes!R$2:R$43,MATCH($A176,SR_mission_minutes!$A$2:$A$43)),"-")</f>
        <v>114879</v>
      </c>
      <c r="S176" s="105">
        <f>IFERROR(INDEX(lifespans_all!S$80:S$126,MATCH($A176,lifespans_all!$A$80:$A$126,0))*INDEX(SR_mission_minutes!S$2:S$43,MATCH($A176,SR_mission_minutes!$A$2:$A$43)),"-")</f>
        <v>114879</v>
      </c>
      <c r="T176" s="105">
        <f>IFERROR(INDEX(lifespans_all!T$80:T$126,MATCH($A176,lifespans_all!$A$80:$A$126,0))*INDEX(SR_mission_minutes!T$2:T$43,MATCH($A176,SR_mission_minutes!$A$2:$A$43)),"-")</f>
        <v>114879</v>
      </c>
      <c r="U176" s="105">
        <f>IFERROR(INDEX(lifespans_all!U$80:U$126,MATCH($A176,lifespans_all!$A$80:$A$126,0))*INDEX(SR_mission_minutes!U$2:U$43,MATCH($A176,SR_mission_minutes!$A$2:$A$43)),"-")</f>
        <v>114879</v>
      </c>
      <c r="V176" s="105">
        <f>IFERROR(INDEX(lifespans_all!V$80:V$126,MATCH($A176,lifespans_all!$A$80:$A$126,0))*INDEX(SR_mission_minutes!V$2:V$43,MATCH($A176,SR_mission_minutes!$A$2:$A$43)),"-")</f>
        <v>114879</v>
      </c>
    </row>
    <row r="177" spans="1:22" x14ac:dyDescent="0.25">
      <c r="A177" s="29" t="s">
        <v>54</v>
      </c>
      <c r="B177" s="29" t="s">
        <v>43</v>
      </c>
      <c r="C177" s="105" t="str">
        <f>IFERROR(INDEX(lifespans_all!C$158:C$212,MATCH($A177,lifespans_all!$A$158:$A$212,0))*INDEX(SR_mission_minutes!C$2:C$43,MATCH($A177,SR_mission_minutes!$A$2:$A$43)),"-")</f>
        <v>-</v>
      </c>
      <c r="D177" s="105" t="str">
        <f>IFERROR(INDEX(lifespans_all!D$80:D$126,MATCH($A177,lifespans_all!$A$80:$A$126,0))*INDEX(SR_mission_minutes!D$2:D$43,MATCH($A177,SR_mission_minutes!$A$2:$A$43)),"-")</f>
        <v>-</v>
      </c>
      <c r="E177" s="105" t="str">
        <f>IFERROR(INDEX(lifespans_all!E$80:E$126,MATCH($A177,lifespans_all!$A$80:$A$126,0))*INDEX(SR_mission_minutes!E$2:E$43,MATCH($A177,SR_mission_minutes!$A$2:$A$43)),"-")</f>
        <v>-</v>
      </c>
      <c r="F177" s="105" t="str">
        <f>IFERROR(INDEX(lifespans_all!F$80:F$126,MATCH($A177,lifespans_all!$A$80:$A$126,0))*INDEX(SR_mission_minutes!F$2:F$43,MATCH($A177,SR_mission_minutes!$A$2:$A$43)),"-")</f>
        <v>-</v>
      </c>
      <c r="G177" s="105" t="str">
        <f>IFERROR(INDEX(lifespans_all!G$80:G$126,MATCH($A177,lifespans_all!$A$80:$A$126,0))*INDEX(SR_mission_minutes!G$2:G$43,MATCH($A177,SR_mission_minutes!$A$2:$A$43)),"-")</f>
        <v>-</v>
      </c>
      <c r="H177" s="105" t="str">
        <f>IFERROR(INDEX(lifespans_all!H$80:H$126,MATCH($A177,lifespans_all!$A$80:$A$126,0))*INDEX(SR_mission_minutes!H$2:H$43,MATCH($A177,SR_mission_minutes!$A$2:$A$43)),"-")</f>
        <v>-</v>
      </c>
      <c r="I177" s="105" t="str">
        <f>IFERROR(INDEX(lifespans_all!I$80:I$126,MATCH($A177,lifespans_all!$A$80:$A$126,0))*INDEX(SR_mission_minutes!I$2:I$43,MATCH($A177,SR_mission_minutes!$A$2:$A$43)),"-")</f>
        <v>-</v>
      </c>
      <c r="J177" s="105" t="str">
        <f>IFERROR(INDEX(lifespans_all!J$80:J$126,MATCH($A177,lifespans_all!$A$80:$A$126,0))*INDEX(SR_mission_minutes!J$2:J$43,MATCH($A177,SR_mission_minutes!$A$2:$A$43)),"-")</f>
        <v>-</v>
      </c>
      <c r="K177" s="105" t="str">
        <f>IFERROR(INDEX(lifespans_all!K$80:K$126,MATCH($A177,lifespans_all!$A$80:$A$126,0))*INDEX(SR_mission_minutes!K$2:K$43,MATCH($A177,SR_mission_minutes!$A$2:$A$43)),"-")</f>
        <v>-</v>
      </c>
      <c r="L177" s="105" t="str">
        <f>IFERROR(INDEX(lifespans_all!L$80:L$126,MATCH($A177,lifespans_all!$A$80:$A$126,0))*INDEX(SR_mission_minutes!L$2:L$43,MATCH($A177,SR_mission_minutes!$A$2:$A$43)),"-")</f>
        <v>-</v>
      </c>
      <c r="M177" s="105" t="str">
        <f>IFERROR(INDEX(lifespans_all!M$80:M$126,MATCH($A177,lifespans_all!$A$80:$A$126,0))*INDEX(SR_mission_minutes!M$2:M$43,MATCH($A177,SR_mission_minutes!$A$2:$A$43)),"-")</f>
        <v>-</v>
      </c>
      <c r="N177" s="105" t="str">
        <f>IFERROR(INDEX(lifespans_all!N$80:N$126,MATCH($A177,lifespans_all!$A$80:$A$126,0))*INDEX(SR_mission_minutes!N$2:N$43,MATCH($A177,SR_mission_minutes!$A$2:$A$43)),"-")</f>
        <v>-</v>
      </c>
      <c r="O177" s="105" t="str">
        <f>IFERROR(INDEX(lifespans_all!O$80:O$126,MATCH($A177,lifespans_all!$A$80:$A$126,0))*INDEX(SR_mission_minutes!O$2:O$43,MATCH($A177,SR_mission_minutes!$A$2:$A$43)),"-")</f>
        <v>-</v>
      </c>
      <c r="P177" s="105" t="str">
        <f>IFERROR(INDEX(lifespans_all!P$80:P$126,MATCH($A177,lifespans_all!$A$80:$A$126,0))*INDEX(SR_mission_minutes!P$2:P$43,MATCH($A177,SR_mission_minutes!$A$2:$A$43)),"-")</f>
        <v>-</v>
      </c>
      <c r="Q177" s="105" t="str">
        <f>IFERROR(INDEX(lifespans_all!Q$80:Q$126,MATCH($A177,lifespans_all!$A$80:$A$126,0))*INDEX(SR_mission_minutes!Q$2:Q$43,MATCH($A177,SR_mission_minutes!$A$2:$A$43)),"-")</f>
        <v>-</v>
      </c>
      <c r="R177" s="105" t="str">
        <f>IFERROR(INDEX(lifespans_all!R$80:R$126,MATCH($A177,lifespans_all!$A$80:$A$126,0))*INDEX(SR_mission_minutes!R$2:R$43,MATCH($A177,SR_mission_minutes!$A$2:$A$43)),"-")</f>
        <v>-</v>
      </c>
      <c r="S177" s="105" t="str">
        <f>IFERROR(INDEX(lifespans_all!S$80:S$126,MATCH($A177,lifespans_all!$A$80:$A$126,0))*INDEX(SR_mission_minutes!S$2:S$43,MATCH($A177,SR_mission_minutes!$A$2:$A$43)),"-")</f>
        <v>-</v>
      </c>
      <c r="T177" s="105" t="str">
        <f>IFERROR(INDEX(lifespans_all!T$80:T$126,MATCH($A177,lifespans_all!$A$80:$A$126,0))*INDEX(SR_mission_minutes!T$2:T$43,MATCH($A177,SR_mission_minutes!$A$2:$A$43)),"-")</f>
        <v>-</v>
      </c>
      <c r="U177" s="105" t="str">
        <f>IFERROR(INDEX(lifespans_all!U$80:U$126,MATCH($A177,lifespans_all!$A$80:$A$126,0))*INDEX(SR_mission_minutes!U$2:U$43,MATCH($A177,SR_mission_minutes!$A$2:$A$43)),"-")</f>
        <v>-</v>
      </c>
      <c r="V177" s="105" t="str">
        <f>IFERROR(INDEX(lifespans_all!V$80:V$126,MATCH($A177,lifespans_all!$A$80:$A$126,0))*INDEX(SR_mission_minutes!V$2:V$43,MATCH($A177,SR_mission_minutes!$A$2:$A$43)),"-")</f>
        <v>-</v>
      </c>
    </row>
    <row r="178" spans="1:22" x14ac:dyDescent="0.25">
      <c r="A178" s="29" t="s">
        <v>31</v>
      </c>
      <c r="B178" s="29" t="s">
        <v>48</v>
      </c>
      <c r="C178" s="105" t="str">
        <f>IFERROR(INDEX(lifespans_all!C$158:C$212,MATCH($A178,lifespans_all!$A$158:$A$212,0))*INDEX(SR_mission_minutes!C$2:C$43,MATCH($A178,SR_mission_minutes!$A$2:$A$43)),"-")</f>
        <v>-</v>
      </c>
      <c r="D178" s="105" t="str">
        <f>IFERROR(INDEX(lifespans_all!D$80:D$126,MATCH($A178,lifespans_all!$A$80:$A$126,0))*INDEX(SR_mission_minutes!D$2:D$43,MATCH($A178,SR_mission_minutes!$A$2:$A$43)),"-")</f>
        <v>-</v>
      </c>
      <c r="E178" s="105" t="str">
        <f>IFERROR(INDEX(lifespans_all!E$80:E$126,MATCH($A178,lifespans_all!$A$80:$A$126,0))*INDEX(SR_mission_minutes!E$2:E$43,MATCH($A178,SR_mission_minutes!$A$2:$A$43)),"-")</f>
        <v>-</v>
      </c>
      <c r="F178" s="105" t="str">
        <f>IFERROR(INDEX(lifespans_all!F$80:F$126,MATCH($A178,lifespans_all!$A$80:$A$126,0))*INDEX(SR_mission_minutes!F$2:F$43,MATCH($A178,SR_mission_minutes!$A$2:$A$43)),"-")</f>
        <v>-</v>
      </c>
      <c r="G178" s="105" t="str">
        <f>IFERROR(INDEX(lifespans_all!G$80:G$126,MATCH($A178,lifespans_all!$A$80:$A$126,0))*INDEX(SR_mission_minutes!G$2:G$43,MATCH($A178,SR_mission_minutes!$A$2:$A$43)),"-")</f>
        <v>-</v>
      </c>
      <c r="H178" s="105" t="str">
        <f>IFERROR(INDEX(lifespans_all!H$80:H$126,MATCH($A178,lifespans_all!$A$80:$A$126,0))*INDEX(SR_mission_minutes!H$2:H$43,MATCH($A178,SR_mission_minutes!$A$2:$A$43)),"-")</f>
        <v>-</v>
      </c>
      <c r="I178" s="105" t="str">
        <f>IFERROR(INDEX(lifespans_all!I$80:I$126,MATCH($A178,lifespans_all!$A$80:$A$126,0))*INDEX(SR_mission_minutes!I$2:I$43,MATCH($A178,SR_mission_minutes!$A$2:$A$43)),"-")</f>
        <v>-</v>
      </c>
      <c r="J178" s="105" t="str">
        <f>IFERROR(INDEX(lifespans_all!J$80:J$126,MATCH($A178,lifespans_all!$A$80:$A$126,0))*INDEX(SR_mission_minutes!J$2:J$43,MATCH($A178,SR_mission_minutes!$A$2:$A$43)),"-")</f>
        <v>-</v>
      </c>
      <c r="K178" s="105" t="str">
        <f>IFERROR(INDEX(lifespans_all!K$80:K$126,MATCH($A178,lifespans_all!$A$80:$A$126,0))*INDEX(SR_mission_minutes!K$2:K$43,MATCH($A178,SR_mission_minutes!$A$2:$A$43)),"-")</f>
        <v>-</v>
      </c>
      <c r="L178" s="105" t="str">
        <f>IFERROR(INDEX(lifespans_all!L$80:L$126,MATCH($A178,lifespans_all!$A$80:$A$126,0))*INDEX(SR_mission_minutes!L$2:L$43,MATCH($A178,SR_mission_minutes!$A$2:$A$43)),"-")</f>
        <v>-</v>
      </c>
      <c r="M178" s="105" t="str">
        <f>IFERROR(INDEX(lifespans_all!M$80:M$126,MATCH($A178,lifespans_all!$A$80:$A$126,0))*INDEX(SR_mission_minutes!M$2:M$43,MATCH($A178,SR_mission_minutes!$A$2:$A$43)),"-")</f>
        <v>-</v>
      </c>
      <c r="N178" s="105" t="str">
        <f>IFERROR(INDEX(lifespans_all!N$80:N$126,MATCH($A178,lifespans_all!$A$80:$A$126,0))*INDEX(SR_mission_minutes!N$2:N$43,MATCH($A178,SR_mission_minutes!$A$2:$A$43)),"-")</f>
        <v>-</v>
      </c>
      <c r="O178" s="105" t="str">
        <f>IFERROR(INDEX(lifespans_all!O$80:O$126,MATCH($A178,lifespans_all!$A$80:$A$126,0))*INDEX(SR_mission_minutes!O$2:O$43,MATCH($A178,SR_mission_minutes!$A$2:$A$43)),"-")</f>
        <v>-</v>
      </c>
      <c r="P178" s="105" t="str">
        <f>IFERROR(INDEX(lifespans_all!P$80:P$126,MATCH($A178,lifespans_all!$A$80:$A$126,0))*INDEX(SR_mission_minutes!P$2:P$43,MATCH($A178,SR_mission_minutes!$A$2:$A$43)),"-")</f>
        <v>-</v>
      </c>
      <c r="Q178" s="105" t="str">
        <f>IFERROR(INDEX(lifespans_all!Q$80:Q$126,MATCH($A178,lifespans_all!$A$80:$A$126,0))*INDEX(SR_mission_minutes!Q$2:Q$43,MATCH($A178,SR_mission_minutes!$A$2:$A$43)),"-")</f>
        <v>-</v>
      </c>
      <c r="R178" s="105" t="str">
        <f>IFERROR(INDEX(lifespans_all!R$80:R$126,MATCH($A178,lifespans_all!$A$80:$A$126,0))*INDEX(SR_mission_minutes!R$2:R$43,MATCH($A178,SR_mission_minutes!$A$2:$A$43)),"-")</f>
        <v>-</v>
      </c>
      <c r="S178" s="105" t="str">
        <f>IFERROR(INDEX(lifespans_all!S$80:S$126,MATCH($A178,lifespans_all!$A$80:$A$126,0))*INDEX(SR_mission_minutes!S$2:S$43,MATCH($A178,SR_mission_minutes!$A$2:$A$43)),"-")</f>
        <v>-</v>
      </c>
      <c r="T178" s="105" t="str">
        <f>IFERROR(INDEX(lifespans_all!T$80:T$126,MATCH($A178,lifespans_all!$A$80:$A$126,0))*INDEX(SR_mission_minutes!T$2:T$43,MATCH($A178,SR_mission_minutes!$A$2:$A$43)),"-")</f>
        <v>-</v>
      </c>
      <c r="U178" s="105" t="str">
        <f>IFERROR(INDEX(lifespans_all!U$80:U$126,MATCH($A178,lifespans_all!$A$80:$A$126,0))*INDEX(SR_mission_minutes!U$2:U$43,MATCH($A178,SR_mission_minutes!$A$2:$A$43)),"-")</f>
        <v>-</v>
      </c>
      <c r="V178" s="105" t="str">
        <f>IFERROR(INDEX(lifespans_all!V$80:V$126,MATCH($A178,lifespans_all!$A$80:$A$126,0))*INDEX(SR_mission_minutes!V$2:V$43,MATCH($A178,SR_mission_minutes!$A$2:$A$43)),"-")</f>
        <v>-</v>
      </c>
    </row>
    <row r="179" spans="1:22" x14ac:dyDescent="0.25">
      <c r="A179" s="29" t="s">
        <v>32</v>
      </c>
      <c r="B179" s="29" t="s">
        <v>48</v>
      </c>
      <c r="C179" s="105" t="str">
        <f>IFERROR(INDEX(lifespans_all!C$158:C$212,MATCH($A179,lifespans_all!$A$158:$A$212,0))*INDEX(SR_mission_minutes!C$2:C$43,MATCH($A179,SR_mission_minutes!$A$2:$A$43)),"-")</f>
        <v>-</v>
      </c>
      <c r="D179" s="105" t="str">
        <f>IFERROR(INDEX(lifespans_all!D$80:D$126,MATCH($A179,lifespans_all!$A$80:$A$126,0))*INDEX(SR_mission_minutes!D$2:D$43,MATCH($A179,SR_mission_minutes!$A$2:$A$43)),"-")</f>
        <v>-</v>
      </c>
      <c r="E179" s="105" t="str">
        <f>IFERROR(INDEX(lifespans_all!E$80:E$126,MATCH($A179,lifespans_all!$A$80:$A$126,0))*INDEX(SR_mission_minutes!E$2:E$43,MATCH($A179,SR_mission_minutes!$A$2:$A$43)),"-")</f>
        <v>-</v>
      </c>
      <c r="F179" s="105" t="str">
        <f>IFERROR(INDEX(lifespans_all!F$80:F$126,MATCH($A179,lifespans_all!$A$80:$A$126,0))*INDEX(SR_mission_minutes!F$2:F$43,MATCH($A179,SR_mission_minutes!$A$2:$A$43)),"-")</f>
        <v>-</v>
      </c>
      <c r="G179" s="105" t="str">
        <f>IFERROR(INDEX(lifespans_all!G$80:G$126,MATCH($A179,lifespans_all!$A$80:$A$126,0))*INDEX(SR_mission_minutes!G$2:G$43,MATCH($A179,SR_mission_minutes!$A$2:$A$43)),"-")</f>
        <v>-</v>
      </c>
      <c r="H179" s="105" t="str">
        <f>IFERROR(INDEX(lifespans_all!H$80:H$126,MATCH($A179,lifespans_all!$A$80:$A$126,0))*INDEX(SR_mission_minutes!H$2:H$43,MATCH($A179,SR_mission_minutes!$A$2:$A$43)),"-")</f>
        <v>-</v>
      </c>
      <c r="I179" s="105" t="str">
        <f>IFERROR(INDEX(lifespans_all!I$80:I$126,MATCH($A179,lifespans_all!$A$80:$A$126,0))*INDEX(SR_mission_minutes!I$2:I$43,MATCH($A179,SR_mission_minutes!$A$2:$A$43)),"-")</f>
        <v>-</v>
      </c>
      <c r="J179" s="105" t="str">
        <f>IFERROR(INDEX(lifespans_all!J$80:J$126,MATCH($A179,lifespans_all!$A$80:$A$126,0))*INDEX(SR_mission_minutes!J$2:J$43,MATCH($A179,SR_mission_minutes!$A$2:$A$43)),"-")</f>
        <v>-</v>
      </c>
      <c r="K179" s="105" t="str">
        <f>IFERROR(INDEX(lifespans_all!K$80:K$126,MATCH($A179,lifespans_all!$A$80:$A$126,0))*INDEX(SR_mission_minutes!K$2:K$43,MATCH($A179,SR_mission_minutes!$A$2:$A$43)),"-")</f>
        <v>-</v>
      </c>
      <c r="L179" s="105" t="str">
        <f>IFERROR(INDEX(lifespans_all!L$80:L$126,MATCH($A179,lifespans_all!$A$80:$A$126,0))*INDEX(SR_mission_minutes!L$2:L$43,MATCH($A179,SR_mission_minutes!$A$2:$A$43)),"-")</f>
        <v>-</v>
      </c>
      <c r="M179" s="105" t="str">
        <f>IFERROR(INDEX(lifespans_all!M$80:M$126,MATCH($A179,lifespans_all!$A$80:$A$126,0))*INDEX(SR_mission_minutes!M$2:M$43,MATCH($A179,SR_mission_minutes!$A$2:$A$43)),"-")</f>
        <v>-</v>
      </c>
      <c r="N179" s="105" t="str">
        <f>IFERROR(INDEX(lifespans_all!N$80:N$126,MATCH($A179,lifespans_all!$A$80:$A$126,0))*INDEX(SR_mission_minutes!N$2:N$43,MATCH($A179,SR_mission_minutes!$A$2:$A$43)),"-")</f>
        <v>-</v>
      </c>
      <c r="O179" s="105" t="str">
        <f>IFERROR(INDEX(lifespans_all!O$80:O$126,MATCH($A179,lifespans_all!$A$80:$A$126,0))*INDEX(SR_mission_minutes!O$2:O$43,MATCH($A179,SR_mission_minutes!$A$2:$A$43)),"-")</f>
        <v>-</v>
      </c>
      <c r="P179" s="105" t="str">
        <f>IFERROR(INDEX(lifespans_all!P$80:P$126,MATCH($A179,lifespans_all!$A$80:$A$126,0))*INDEX(SR_mission_minutes!P$2:P$43,MATCH($A179,SR_mission_minutes!$A$2:$A$43)),"-")</f>
        <v>-</v>
      </c>
      <c r="Q179" s="105" t="str">
        <f>IFERROR(INDEX(lifespans_all!Q$80:Q$126,MATCH($A179,lifespans_all!$A$80:$A$126,0))*INDEX(SR_mission_minutes!Q$2:Q$43,MATCH($A179,SR_mission_minutes!$A$2:$A$43)),"-")</f>
        <v>-</v>
      </c>
      <c r="R179" s="105" t="str">
        <f>IFERROR(INDEX(lifespans_all!R$80:R$126,MATCH($A179,lifespans_all!$A$80:$A$126,0))*INDEX(SR_mission_minutes!R$2:R$43,MATCH($A179,SR_mission_minutes!$A$2:$A$43)),"-")</f>
        <v>-</v>
      </c>
      <c r="S179" s="105" t="str">
        <f>IFERROR(INDEX(lifespans_all!S$80:S$126,MATCH($A179,lifespans_all!$A$80:$A$126,0))*INDEX(SR_mission_minutes!S$2:S$43,MATCH($A179,SR_mission_minutes!$A$2:$A$43)),"-")</f>
        <v>-</v>
      </c>
      <c r="T179" s="105" t="str">
        <f>IFERROR(INDEX(lifespans_all!T$80:T$126,MATCH($A179,lifespans_all!$A$80:$A$126,0))*INDEX(SR_mission_minutes!T$2:T$43,MATCH($A179,SR_mission_minutes!$A$2:$A$43)),"-")</f>
        <v>-</v>
      </c>
      <c r="U179" s="105" t="str">
        <f>IFERROR(INDEX(lifespans_all!U$80:U$126,MATCH($A179,lifespans_all!$A$80:$A$126,0))*INDEX(SR_mission_minutes!U$2:U$43,MATCH($A179,SR_mission_minutes!$A$2:$A$43)),"-")</f>
        <v>-</v>
      </c>
      <c r="V179" s="105" t="str">
        <f>IFERROR(INDEX(lifespans_all!V$80:V$126,MATCH($A179,lifespans_all!$A$80:$A$126,0))*INDEX(SR_mission_minutes!V$2:V$43,MATCH($A179,SR_mission_minutes!$A$2:$A$43)),"-")</f>
        <v>-</v>
      </c>
    </row>
    <row r="180" spans="1:22" x14ac:dyDescent="0.25">
      <c r="A180" s="29" t="s">
        <v>33</v>
      </c>
      <c r="B180" s="29" t="s">
        <v>41</v>
      </c>
      <c r="C180" s="105">
        <f>IFERROR(INDEX(lifespans_all!C$158:C$212,MATCH($A180,lifespans_all!$A$158:$A$212,0))*INDEX(SR_mission_minutes!C$2:C$43,MATCH($A180,SR_mission_minutes!$A$2:$A$43)),"-")</f>
        <v>0</v>
      </c>
      <c r="D180" s="105">
        <f>IFERROR(INDEX(lifespans_all!D$80:D$126,MATCH($A180,lifespans_all!$A$80:$A$126,0))*INDEX(SR_mission_minutes!D$2:D$43,MATCH($A180,SR_mission_minutes!$A$2:$A$43)),"-")</f>
        <v>0</v>
      </c>
      <c r="E180" s="105">
        <f>IFERROR(INDEX(lifespans_all!E$80:E$126,MATCH($A180,lifespans_all!$A$80:$A$126,0))*INDEX(SR_mission_minutes!E$2:E$43,MATCH($A180,SR_mission_minutes!$A$2:$A$43)),"-")</f>
        <v>0</v>
      </c>
      <c r="F180" s="105">
        <f>IFERROR(INDEX(lifespans_all!F$80:F$126,MATCH($A180,lifespans_all!$A$80:$A$126,0))*INDEX(SR_mission_minutes!F$2:F$43,MATCH($A180,SR_mission_minutes!$A$2:$A$43)),"-")</f>
        <v>0</v>
      </c>
      <c r="G180" s="105">
        <f>IFERROR(INDEX(lifespans_all!G$80:G$126,MATCH($A180,lifespans_all!$A$80:$A$126,0))*INDEX(SR_mission_minutes!G$2:G$43,MATCH($A180,SR_mission_minutes!$A$2:$A$43)),"-")</f>
        <v>0</v>
      </c>
      <c r="H180" s="105">
        <f>IFERROR(INDEX(lifespans_all!H$80:H$126,MATCH($A180,lifespans_all!$A$80:$A$126,0))*INDEX(SR_mission_minutes!H$2:H$43,MATCH($A180,SR_mission_minutes!$A$2:$A$43)),"-")</f>
        <v>0</v>
      </c>
      <c r="I180" s="105">
        <f>IFERROR(INDEX(lifespans_all!I$80:I$126,MATCH($A180,lifespans_all!$A$80:$A$126,0))*INDEX(SR_mission_minutes!I$2:I$43,MATCH($A180,SR_mission_minutes!$A$2:$A$43)),"-")</f>
        <v>0</v>
      </c>
      <c r="J180" s="105">
        <f>IFERROR(INDEX(lifespans_all!J$80:J$126,MATCH($A180,lifespans_all!$A$80:$A$126,0))*INDEX(SR_mission_minutes!J$2:J$43,MATCH($A180,SR_mission_minutes!$A$2:$A$43)),"-")</f>
        <v>0</v>
      </c>
      <c r="K180" s="105">
        <f>IFERROR(INDEX(lifespans_all!K$80:K$126,MATCH($A180,lifespans_all!$A$80:$A$126,0))*INDEX(SR_mission_minutes!K$2:K$43,MATCH($A180,SR_mission_minutes!$A$2:$A$43)),"-")</f>
        <v>0</v>
      </c>
      <c r="L180" s="105">
        <f>IFERROR(INDEX(lifespans_all!L$80:L$126,MATCH($A180,lifespans_all!$A$80:$A$126,0))*INDEX(SR_mission_minutes!L$2:L$43,MATCH($A180,SR_mission_minutes!$A$2:$A$43)),"-")</f>
        <v>0</v>
      </c>
      <c r="M180" s="105">
        <f>IFERROR(INDEX(lifespans_all!M$80:M$126,MATCH($A180,lifespans_all!$A$80:$A$126,0))*INDEX(SR_mission_minutes!M$2:M$43,MATCH($A180,SR_mission_minutes!$A$2:$A$43)),"-")</f>
        <v>0</v>
      </c>
      <c r="N180" s="105">
        <f>IFERROR(INDEX(lifespans_all!N$80:N$126,MATCH($A180,lifespans_all!$A$80:$A$126,0))*INDEX(SR_mission_minutes!N$2:N$43,MATCH($A180,SR_mission_minutes!$A$2:$A$43)),"-")</f>
        <v>0</v>
      </c>
      <c r="O180" s="105">
        <f>IFERROR(INDEX(lifespans_all!O$80:O$126,MATCH($A180,lifespans_all!$A$80:$A$126,0))*INDEX(SR_mission_minutes!O$2:O$43,MATCH($A180,SR_mission_minutes!$A$2:$A$43)),"-")</f>
        <v>0</v>
      </c>
      <c r="P180" s="105">
        <f>IFERROR(INDEX(lifespans_all!P$80:P$126,MATCH($A180,lifespans_all!$A$80:$A$126,0))*INDEX(SR_mission_minutes!P$2:P$43,MATCH($A180,SR_mission_minutes!$A$2:$A$43)),"-")</f>
        <v>0</v>
      </c>
      <c r="Q180" s="105">
        <f>IFERROR(INDEX(lifespans_all!Q$80:Q$126,MATCH($A180,lifespans_all!$A$80:$A$126,0))*INDEX(SR_mission_minutes!Q$2:Q$43,MATCH($A180,SR_mission_minutes!$A$2:$A$43)),"-")</f>
        <v>0</v>
      </c>
      <c r="R180" s="105">
        <f>IFERROR(INDEX(lifespans_all!R$80:R$126,MATCH($A180,lifespans_all!$A$80:$A$126,0))*INDEX(SR_mission_minutes!R$2:R$43,MATCH($A180,SR_mission_minutes!$A$2:$A$43)),"-")</f>
        <v>0</v>
      </c>
      <c r="S180" s="105">
        <f>IFERROR(INDEX(lifespans_all!S$80:S$126,MATCH($A180,lifespans_all!$A$80:$A$126,0))*INDEX(SR_mission_minutes!S$2:S$43,MATCH($A180,SR_mission_minutes!$A$2:$A$43)),"-")</f>
        <v>0</v>
      </c>
      <c r="T180" s="105">
        <f>IFERROR(INDEX(lifespans_all!T$80:T$126,MATCH($A180,lifespans_all!$A$80:$A$126,0))*INDEX(SR_mission_minutes!T$2:T$43,MATCH($A180,SR_mission_minutes!$A$2:$A$43)),"-")</f>
        <v>0</v>
      </c>
      <c r="U180" s="105">
        <f>IFERROR(INDEX(lifespans_all!U$80:U$126,MATCH($A180,lifespans_all!$A$80:$A$126,0))*INDEX(SR_mission_minutes!U$2:U$43,MATCH($A180,SR_mission_minutes!$A$2:$A$43)),"-")</f>
        <v>0</v>
      </c>
      <c r="V180" s="105">
        <f>IFERROR(INDEX(lifespans_all!V$80:V$126,MATCH($A180,lifespans_all!$A$80:$A$126,0))*INDEX(SR_mission_minutes!V$2:V$43,MATCH($A180,SR_mission_minutes!$A$2:$A$43)),"-")</f>
        <v>0</v>
      </c>
    </row>
    <row r="181" spans="1:22" x14ac:dyDescent="0.25">
      <c r="A181" s="29" t="s">
        <v>34</v>
      </c>
      <c r="B181" s="29" t="s">
        <v>45</v>
      </c>
      <c r="C181" s="105">
        <f>IFERROR(INDEX(lifespans_all!C$158:C$212,MATCH($A181,lifespans_all!$A$158:$A$212,0))*INDEX(SR_mission_minutes!C$2:C$43,MATCH($A181,SR_mission_minutes!$A$2:$A$43)),"-")</f>
        <v>33739.333333333336</v>
      </c>
      <c r="D181" s="105">
        <f>IFERROR(INDEX(lifespans_all!D$80:D$126,MATCH($A181,lifespans_all!$A$80:$A$126,0))*INDEX(SR_mission_minutes!D$2:D$43,MATCH($A181,SR_mission_minutes!$A$2:$A$43)),"-")</f>
        <v>33739.333333333336</v>
      </c>
      <c r="E181" s="105">
        <f>IFERROR(INDEX(lifespans_all!E$80:E$126,MATCH($A181,lifespans_all!$A$80:$A$126,0))*INDEX(SR_mission_minutes!E$2:E$43,MATCH($A181,SR_mission_minutes!$A$2:$A$43)),"-")</f>
        <v>33739.333333333336</v>
      </c>
      <c r="F181" s="105">
        <f>IFERROR(INDEX(lifespans_all!F$80:F$126,MATCH($A181,lifespans_all!$A$80:$A$126,0))*INDEX(SR_mission_minutes!F$2:F$43,MATCH($A181,SR_mission_minutes!$A$2:$A$43)),"-")</f>
        <v>33739.333333333336</v>
      </c>
      <c r="G181" s="105">
        <f>IFERROR(INDEX(lifespans_all!G$80:G$126,MATCH($A181,lifespans_all!$A$80:$A$126,0))*INDEX(SR_mission_minutes!G$2:G$43,MATCH($A181,SR_mission_minutes!$A$2:$A$43)),"-")</f>
        <v>33739.333333333336</v>
      </c>
      <c r="H181" s="105">
        <f>IFERROR(INDEX(lifespans_all!H$80:H$126,MATCH($A181,lifespans_all!$A$80:$A$126,0))*INDEX(SR_mission_minutes!H$2:H$43,MATCH($A181,SR_mission_minutes!$A$2:$A$43)),"-")</f>
        <v>0</v>
      </c>
      <c r="I181" s="105">
        <f>IFERROR(INDEX(lifespans_all!I$80:I$126,MATCH($A181,lifespans_all!$A$80:$A$126,0))*INDEX(SR_mission_minutes!I$2:I$43,MATCH($A181,SR_mission_minutes!$A$2:$A$43)),"-")</f>
        <v>0</v>
      </c>
      <c r="J181" s="105">
        <f>IFERROR(INDEX(lifespans_all!J$80:J$126,MATCH($A181,lifespans_all!$A$80:$A$126,0))*INDEX(SR_mission_minutes!J$2:J$43,MATCH($A181,SR_mission_minutes!$A$2:$A$43)),"-")</f>
        <v>0</v>
      </c>
      <c r="K181" s="105">
        <f>IFERROR(INDEX(lifespans_all!K$80:K$126,MATCH($A181,lifespans_all!$A$80:$A$126,0))*INDEX(SR_mission_minutes!K$2:K$43,MATCH($A181,SR_mission_minutes!$A$2:$A$43)),"-")</f>
        <v>0</v>
      </c>
      <c r="L181" s="105">
        <f>IFERROR(INDEX(lifespans_all!L$80:L$126,MATCH($A181,lifespans_all!$A$80:$A$126,0))*INDEX(SR_mission_minutes!L$2:L$43,MATCH($A181,SR_mission_minutes!$A$2:$A$43)),"-")</f>
        <v>0</v>
      </c>
      <c r="M181" s="105">
        <f>IFERROR(INDEX(lifespans_all!M$80:M$126,MATCH($A181,lifespans_all!$A$80:$A$126,0))*INDEX(SR_mission_minutes!M$2:M$43,MATCH($A181,SR_mission_minutes!$A$2:$A$43)),"-")</f>
        <v>0</v>
      </c>
      <c r="N181" s="105">
        <f>IFERROR(INDEX(lifespans_all!N$80:N$126,MATCH($A181,lifespans_all!$A$80:$A$126,0))*INDEX(SR_mission_minutes!N$2:N$43,MATCH($A181,SR_mission_minutes!$A$2:$A$43)),"-")</f>
        <v>0</v>
      </c>
      <c r="O181" s="105">
        <f>IFERROR(INDEX(lifespans_all!O$80:O$126,MATCH($A181,lifespans_all!$A$80:$A$126,0))*INDEX(SR_mission_minutes!O$2:O$43,MATCH($A181,SR_mission_minutes!$A$2:$A$43)),"-")</f>
        <v>0</v>
      </c>
      <c r="P181" s="105">
        <f>IFERROR(INDEX(lifespans_all!P$80:P$126,MATCH($A181,lifespans_all!$A$80:$A$126,0))*INDEX(SR_mission_minutes!P$2:P$43,MATCH($A181,SR_mission_minutes!$A$2:$A$43)),"-")</f>
        <v>0</v>
      </c>
      <c r="Q181" s="105">
        <f>IFERROR(INDEX(lifespans_all!Q$80:Q$126,MATCH($A181,lifespans_all!$A$80:$A$126,0))*INDEX(SR_mission_minutes!Q$2:Q$43,MATCH($A181,SR_mission_minutes!$A$2:$A$43)),"-")</f>
        <v>0</v>
      </c>
      <c r="R181" s="105">
        <f>IFERROR(INDEX(lifespans_all!R$80:R$126,MATCH($A181,lifespans_all!$A$80:$A$126,0))*INDEX(SR_mission_minutes!R$2:R$43,MATCH($A181,SR_mission_minutes!$A$2:$A$43)),"-")</f>
        <v>0</v>
      </c>
      <c r="S181" s="105">
        <f>IFERROR(INDEX(lifespans_all!S$80:S$126,MATCH($A181,lifespans_all!$A$80:$A$126,0))*INDEX(SR_mission_minutes!S$2:S$43,MATCH($A181,SR_mission_minutes!$A$2:$A$43)),"-")</f>
        <v>0</v>
      </c>
      <c r="T181" s="105">
        <f>IFERROR(INDEX(lifespans_all!T$80:T$126,MATCH($A181,lifespans_all!$A$80:$A$126,0))*INDEX(SR_mission_minutes!T$2:T$43,MATCH($A181,SR_mission_minutes!$A$2:$A$43)),"-")</f>
        <v>0</v>
      </c>
      <c r="U181" s="105">
        <f>IFERROR(INDEX(lifespans_all!U$80:U$126,MATCH($A181,lifespans_all!$A$80:$A$126,0))*INDEX(SR_mission_minutes!U$2:U$43,MATCH($A181,SR_mission_minutes!$A$2:$A$43)),"-")</f>
        <v>0</v>
      </c>
      <c r="V181" s="105">
        <f>IFERROR(INDEX(lifespans_all!V$80:V$126,MATCH($A181,lifespans_all!$A$80:$A$126,0))*INDEX(SR_mission_minutes!V$2:V$43,MATCH($A181,SR_mission_minutes!$A$2:$A$43)),"-")</f>
        <v>0</v>
      </c>
    </row>
    <row r="182" spans="1:22" x14ac:dyDescent="0.25">
      <c r="A182" s="29" t="s">
        <v>63</v>
      </c>
      <c r="B182" s="29" t="s">
        <v>43</v>
      </c>
      <c r="C182" s="105">
        <f>IFERROR(INDEX(lifespans_all!C$158:C$212,MATCH($A182,lifespans_all!$A$158:$A$212,0))*INDEX(SR_mission_minutes!C$2:C$43,MATCH($A182,SR_mission_minutes!$A$2:$A$43)),"-")</f>
        <v>114879</v>
      </c>
      <c r="D182" s="105">
        <f>IFERROR(INDEX(lifespans_all!D$80:D$126,MATCH($A182,lifespans_all!$A$80:$A$126,0))*INDEX(SR_mission_minutes!D$2:D$43,MATCH($A182,SR_mission_minutes!$A$2:$A$43)),"-")</f>
        <v>114879</v>
      </c>
      <c r="E182" s="105">
        <f>IFERROR(INDEX(lifespans_all!E$80:E$126,MATCH($A182,lifespans_all!$A$80:$A$126,0))*INDEX(SR_mission_minutes!E$2:E$43,MATCH($A182,SR_mission_minutes!$A$2:$A$43)),"-")</f>
        <v>114879</v>
      </c>
      <c r="F182" s="105">
        <f>IFERROR(INDEX(lifespans_all!F$80:F$126,MATCH($A182,lifespans_all!$A$80:$A$126,0))*INDEX(SR_mission_minutes!F$2:F$43,MATCH($A182,SR_mission_minutes!$A$2:$A$43)),"-")</f>
        <v>114879</v>
      </c>
      <c r="G182" s="105">
        <f>IFERROR(INDEX(lifespans_all!G$80:G$126,MATCH($A182,lifespans_all!$A$80:$A$126,0))*INDEX(SR_mission_minutes!G$2:G$43,MATCH($A182,SR_mission_minutes!$A$2:$A$43)),"-")</f>
        <v>114879</v>
      </c>
      <c r="H182" s="105">
        <f>IFERROR(INDEX(lifespans_all!H$80:H$126,MATCH($A182,lifespans_all!$A$80:$A$126,0))*INDEX(SR_mission_minutes!H$2:H$43,MATCH($A182,SR_mission_minutes!$A$2:$A$43)),"-")</f>
        <v>114879</v>
      </c>
      <c r="I182" s="105">
        <f>IFERROR(INDEX(lifespans_all!I$80:I$126,MATCH($A182,lifespans_all!$A$80:$A$126,0))*INDEX(SR_mission_minutes!I$2:I$43,MATCH($A182,SR_mission_minutes!$A$2:$A$43)),"-")</f>
        <v>114879</v>
      </c>
      <c r="J182" s="105">
        <f>IFERROR(INDEX(lifespans_all!J$80:J$126,MATCH($A182,lifespans_all!$A$80:$A$126,0))*INDEX(SR_mission_minutes!J$2:J$43,MATCH($A182,SR_mission_minutes!$A$2:$A$43)),"-")</f>
        <v>114879</v>
      </c>
      <c r="K182" s="105">
        <f>IFERROR(INDEX(lifespans_all!K$80:K$126,MATCH($A182,lifespans_all!$A$80:$A$126,0))*INDEX(SR_mission_minutes!K$2:K$43,MATCH($A182,SR_mission_minutes!$A$2:$A$43)),"-")</f>
        <v>114879</v>
      </c>
      <c r="L182" s="105">
        <f>IFERROR(INDEX(lifespans_all!L$80:L$126,MATCH($A182,lifespans_all!$A$80:$A$126,0))*INDEX(SR_mission_minutes!L$2:L$43,MATCH($A182,SR_mission_minutes!$A$2:$A$43)),"-")</f>
        <v>114879</v>
      </c>
      <c r="M182" s="105">
        <f>IFERROR(INDEX(lifespans_all!M$80:M$126,MATCH($A182,lifespans_all!$A$80:$A$126,0))*INDEX(SR_mission_minutes!M$2:M$43,MATCH($A182,SR_mission_minutes!$A$2:$A$43)),"-")</f>
        <v>114879</v>
      </c>
      <c r="N182" s="105">
        <f>IFERROR(INDEX(lifespans_all!N$80:N$126,MATCH($A182,lifespans_all!$A$80:$A$126,0))*INDEX(SR_mission_minutes!N$2:N$43,MATCH($A182,SR_mission_minutes!$A$2:$A$43)),"-")</f>
        <v>114879</v>
      </c>
      <c r="O182" s="105">
        <f>IFERROR(INDEX(lifespans_all!O$80:O$126,MATCH($A182,lifespans_all!$A$80:$A$126,0))*INDEX(SR_mission_minutes!O$2:O$43,MATCH($A182,SR_mission_minutes!$A$2:$A$43)),"-")</f>
        <v>114879</v>
      </c>
      <c r="P182" s="105">
        <f>IFERROR(INDEX(lifespans_all!P$80:P$126,MATCH($A182,lifespans_all!$A$80:$A$126,0))*INDEX(SR_mission_minutes!P$2:P$43,MATCH($A182,SR_mission_minutes!$A$2:$A$43)),"-")</f>
        <v>114879</v>
      </c>
      <c r="Q182" s="105">
        <f>IFERROR(INDEX(lifespans_all!Q$80:Q$126,MATCH($A182,lifespans_all!$A$80:$A$126,0))*INDEX(SR_mission_minutes!Q$2:Q$43,MATCH($A182,SR_mission_minutes!$A$2:$A$43)),"-")</f>
        <v>114879</v>
      </c>
      <c r="R182" s="105">
        <f>IFERROR(INDEX(lifespans_all!R$80:R$126,MATCH($A182,lifespans_all!$A$80:$A$126,0))*INDEX(SR_mission_minutes!R$2:R$43,MATCH($A182,SR_mission_minutes!$A$2:$A$43)),"-")</f>
        <v>114879</v>
      </c>
      <c r="S182" s="105">
        <f>IFERROR(INDEX(lifespans_all!S$80:S$126,MATCH($A182,lifespans_all!$A$80:$A$126,0))*INDEX(SR_mission_minutes!S$2:S$43,MATCH($A182,SR_mission_minutes!$A$2:$A$43)),"-")</f>
        <v>114879</v>
      </c>
      <c r="T182" s="105">
        <f>IFERROR(INDEX(lifespans_all!T$80:T$126,MATCH($A182,lifespans_all!$A$80:$A$126,0))*INDEX(SR_mission_minutes!T$2:T$43,MATCH($A182,SR_mission_minutes!$A$2:$A$43)),"-")</f>
        <v>114879</v>
      </c>
      <c r="U182" s="105">
        <f>IFERROR(INDEX(lifespans_all!U$80:U$126,MATCH($A182,lifespans_all!$A$80:$A$126,0))*INDEX(SR_mission_minutes!U$2:U$43,MATCH($A182,SR_mission_minutes!$A$2:$A$43)),"-")</f>
        <v>114879</v>
      </c>
      <c r="V182" s="105">
        <f>IFERROR(INDEX(lifespans_all!V$80:V$126,MATCH($A182,lifespans_all!$A$80:$A$126,0))*INDEX(SR_mission_minutes!V$2:V$43,MATCH($A182,SR_mission_minutes!$A$2:$A$43)),"-")</f>
        <v>114879</v>
      </c>
    </row>
    <row r="183" spans="1:22" x14ac:dyDescent="0.25">
      <c r="A183" s="29" t="s">
        <v>64</v>
      </c>
      <c r="B183" s="29" t="s">
        <v>46</v>
      </c>
      <c r="C183" s="105" t="str">
        <f>IFERROR(INDEX(lifespans_all!C$158:C$212,MATCH($A183,lifespans_all!$A$158:$A$212,0))*INDEX(SR_mission_minutes!C$2:C$43,MATCH($A183,SR_mission_minutes!$A$2:$A$43)),"-")</f>
        <v>-</v>
      </c>
      <c r="D183" s="105" t="str">
        <f>IFERROR(INDEX(lifespans_all!D$80:D$126,MATCH($A183,lifespans_all!$A$80:$A$126,0))*INDEX(SR_mission_minutes!D$2:D$43,MATCH($A183,SR_mission_minutes!$A$2:$A$43)),"-")</f>
        <v>-</v>
      </c>
      <c r="E183" s="105" t="str">
        <f>IFERROR(INDEX(lifespans_all!E$80:E$126,MATCH($A183,lifespans_all!$A$80:$A$126,0))*INDEX(SR_mission_minutes!E$2:E$43,MATCH($A183,SR_mission_minutes!$A$2:$A$43)),"-")</f>
        <v>-</v>
      </c>
      <c r="F183" s="105" t="str">
        <f>IFERROR(INDEX(lifespans_all!F$80:F$126,MATCH($A183,lifespans_all!$A$80:$A$126,0))*INDEX(SR_mission_minutes!F$2:F$43,MATCH($A183,SR_mission_minutes!$A$2:$A$43)),"-")</f>
        <v>-</v>
      </c>
      <c r="G183" s="105" t="str">
        <f>IFERROR(INDEX(lifespans_all!G$80:G$126,MATCH($A183,lifespans_all!$A$80:$A$126,0))*INDEX(SR_mission_minutes!G$2:G$43,MATCH($A183,SR_mission_minutes!$A$2:$A$43)),"-")</f>
        <v>-</v>
      </c>
      <c r="H183" s="105" t="str">
        <f>IFERROR(INDEX(lifespans_all!H$80:H$126,MATCH($A183,lifespans_all!$A$80:$A$126,0))*INDEX(SR_mission_minutes!H$2:H$43,MATCH($A183,SR_mission_minutes!$A$2:$A$43)),"-")</f>
        <v>-</v>
      </c>
      <c r="I183" s="105" t="str">
        <f>IFERROR(INDEX(lifespans_all!I$80:I$126,MATCH($A183,lifespans_all!$A$80:$A$126,0))*INDEX(SR_mission_minutes!I$2:I$43,MATCH($A183,SR_mission_minutes!$A$2:$A$43)),"-")</f>
        <v>-</v>
      </c>
      <c r="J183" s="105" t="str">
        <f>IFERROR(INDEX(lifespans_all!J$80:J$126,MATCH($A183,lifespans_all!$A$80:$A$126,0))*INDEX(SR_mission_minutes!J$2:J$43,MATCH($A183,SR_mission_minutes!$A$2:$A$43)),"-")</f>
        <v>-</v>
      </c>
      <c r="K183" s="105" t="str">
        <f>IFERROR(INDEX(lifespans_all!K$80:K$126,MATCH($A183,lifespans_all!$A$80:$A$126,0))*INDEX(SR_mission_minutes!K$2:K$43,MATCH($A183,SR_mission_minutes!$A$2:$A$43)),"-")</f>
        <v>-</v>
      </c>
      <c r="L183" s="105" t="str">
        <f>IFERROR(INDEX(lifespans_all!L$80:L$126,MATCH($A183,lifespans_all!$A$80:$A$126,0))*INDEX(SR_mission_minutes!L$2:L$43,MATCH($A183,SR_mission_minutes!$A$2:$A$43)),"-")</f>
        <v>-</v>
      </c>
      <c r="M183" s="105" t="str">
        <f>IFERROR(INDEX(lifespans_all!M$80:M$126,MATCH($A183,lifespans_all!$A$80:$A$126,0))*INDEX(SR_mission_minutes!M$2:M$43,MATCH($A183,SR_mission_minutes!$A$2:$A$43)),"-")</f>
        <v>-</v>
      </c>
      <c r="N183" s="105" t="str">
        <f>IFERROR(INDEX(lifespans_all!N$80:N$126,MATCH($A183,lifespans_all!$A$80:$A$126,0))*INDEX(SR_mission_minutes!N$2:N$43,MATCH($A183,SR_mission_minutes!$A$2:$A$43)),"-")</f>
        <v>-</v>
      </c>
      <c r="O183" s="105" t="str">
        <f>IFERROR(INDEX(lifespans_all!O$80:O$126,MATCH($A183,lifespans_all!$A$80:$A$126,0))*INDEX(SR_mission_minutes!O$2:O$43,MATCH($A183,SR_mission_minutes!$A$2:$A$43)),"-")</f>
        <v>-</v>
      </c>
      <c r="P183" s="105" t="str">
        <f>IFERROR(INDEX(lifespans_all!P$80:P$126,MATCH($A183,lifespans_all!$A$80:$A$126,0))*INDEX(SR_mission_minutes!P$2:P$43,MATCH($A183,SR_mission_minutes!$A$2:$A$43)),"-")</f>
        <v>-</v>
      </c>
      <c r="Q183" s="105" t="str">
        <f>IFERROR(INDEX(lifespans_all!Q$80:Q$126,MATCH($A183,lifespans_all!$A$80:$A$126,0))*INDEX(SR_mission_minutes!Q$2:Q$43,MATCH($A183,SR_mission_minutes!$A$2:$A$43)),"-")</f>
        <v>-</v>
      </c>
      <c r="R183" s="105" t="str">
        <f>IFERROR(INDEX(lifespans_all!R$80:R$126,MATCH($A183,lifespans_all!$A$80:$A$126,0))*INDEX(SR_mission_minutes!R$2:R$43,MATCH($A183,SR_mission_minutes!$A$2:$A$43)),"-")</f>
        <v>-</v>
      </c>
      <c r="S183" s="105" t="str">
        <f>IFERROR(INDEX(lifespans_all!S$80:S$126,MATCH($A183,lifespans_all!$A$80:$A$126,0))*INDEX(SR_mission_minutes!S$2:S$43,MATCH($A183,SR_mission_minutes!$A$2:$A$43)),"-")</f>
        <v>-</v>
      </c>
      <c r="T183" s="105" t="str">
        <f>IFERROR(INDEX(lifespans_all!T$80:T$126,MATCH($A183,lifespans_all!$A$80:$A$126,0))*INDEX(SR_mission_minutes!T$2:T$43,MATCH($A183,SR_mission_minutes!$A$2:$A$43)),"-")</f>
        <v>-</v>
      </c>
      <c r="U183" s="105" t="str">
        <f>IFERROR(INDEX(lifespans_all!U$80:U$126,MATCH($A183,lifespans_all!$A$80:$A$126,0))*INDEX(SR_mission_minutes!U$2:U$43,MATCH($A183,SR_mission_minutes!$A$2:$A$43)),"-")</f>
        <v>-</v>
      </c>
      <c r="V183" s="105" t="str">
        <f>IFERROR(INDEX(lifespans_all!V$80:V$126,MATCH($A183,lifespans_all!$A$80:$A$126,0))*INDEX(SR_mission_minutes!V$2:V$43,MATCH($A183,SR_mission_minutes!$A$2:$A$43)),"-")</f>
        <v>-</v>
      </c>
    </row>
    <row r="184" spans="1:22" x14ac:dyDescent="0.25">
      <c r="A184" s="29" t="s">
        <v>65</v>
      </c>
      <c r="B184" s="29" t="s">
        <v>41</v>
      </c>
      <c r="C184" s="105">
        <f>IFERROR(INDEX(lifespans_all!C$158:C$212,MATCH($A184,lifespans_all!$A$158:$A$212,0))*INDEX(SR_mission_minutes!C$2:C$43,MATCH($A184,SR_mission_minutes!$A$2:$A$43)),"-")</f>
        <v>66700.388888888891</v>
      </c>
      <c r="D184" s="105">
        <f>IFERROR(INDEX(lifespans_all!D$80:D$126,MATCH($A184,lifespans_all!$A$80:$A$126,0))*INDEX(SR_mission_minutes!D$2:D$43,MATCH($A184,SR_mission_minutes!$A$2:$A$43)),"-")</f>
        <v>66700.388888888891</v>
      </c>
      <c r="E184" s="105">
        <f>IFERROR(INDEX(lifespans_all!E$80:E$126,MATCH($A184,lifespans_all!$A$80:$A$126,0))*INDEX(SR_mission_minutes!E$2:E$43,MATCH($A184,SR_mission_minutes!$A$2:$A$43)),"-")</f>
        <v>66700.388888888891</v>
      </c>
      <c r="F184" s="105">
        <f>IFERROR(INDEX(lifespans_all!F$80:F$126,MATCH($A184,lifespans_all!$A$80:$A$126,0))*INDEX(SR_mission_minutes!F$2:F$43,MATCH($A184,SR_mission_minutes!$A$2:$A$43)),"-")</f>
        <v>66700.388888888891</v>
      </c>
      <c r="G184" s="105">
        <f>IFERROR(INDEX(lifespans_all!G$80:G$126,MATCH($A184,lifespans_all!$A$80:$A$126,0))*INDEX(SR_mission_minutes!G$2:G$43,MATCH($A184,SR_mission_minutes!$A$2:$A$43)),"-")</f>
        <v>66700.388888888891</v>
      </c>
      <c r="H184" s="105">
        <f>IFERROR(INDEX(lifespans_all!H$80:H$126,MATCH($A184,lifespans_all!$A$80:$A$126,0))*INDEX(SR_mission_minutes!H$2:H$43,MATCH($A184,SR_mission_minutes!$A$2:$A$43)),"-")</f>
        <v>66700.388888888891</v>
      </c>
      <c r="I184" s="105">
        <f>IFERROR(INDEX(lifespans_all!I$80:I$126,MATCH($A184,lifespans_all!$A$80:$A$126,0))*INDEX(SR_mission_minutes!I$2:I$43,MATCH($A184,SR_mission_minutes!$A$2:$A$43)),"-")</f>
        <v>66700.388888888891</v>
      </c>
      <c r="J184" s="105">
        <f>IFERROR(INDEX(lifespans_all!J$80:J$126,MATCH($A184,lifespans_all!$A$80:$A$126,0))*INDEX(SR_mission_minutes!J$2:J$43,MATCH($A184,SR_mission_minutes!$A$2:$A$43)),"-")</f>
        <v>0</v>
      </c>
      <c r="K184" s="105">
        <f>IFERROR(INDEX(lifespans_all!K$80:K$126,MATCH($A184,lifespans_all!$A$80:$A$126,0))*INDEX(SR_mission_minutes!K$2:K$43,MATCH($A184,SR_mission_minutes!$A$2:$A$43)),"-")</f>
        <v>0</v>
      </c>
      <c r="L184" s="105">
        <f>IFERROR(INDEX(lifespans_all!L$80:L$126,MATCH($A184,lifespans_all!$A$80:$A$126,0))*INDEX(SR_mission_minutes!L$2:L$43,MATCH($A184,SR_mission_minutes!$A$2:$A$43)),"-")</f>
        <v>0</v>
      </c>
      <c r="M184" s="105">
        <f>IFERROR(INDEX(lifespans_all!M$80:M$126,MATCH($A184,lifespans_all!$A$80:$A$126,0))*INDEX(SR_mission_minutes!M$2:M$43,MATCH($A184,SR_mission_minutes!$A$2:$A$43)),"-")</f>
        <v>0</v>
      </c>
      <c r="N184" s="105">
        <f>IFERROR(INDEX(lifespans_all!N$80:N$126,MATCH($A184,lifespans_all!$A$80:$A$126,0))*INDEX(SR_mission_minutes!N$2:N$43,MATCH($A184,SR_mission_minutes!$A$2:$A$43)),"-")</f>
        <v>0</v>
      </c>
      <c r="O184" s="105">
        <f>IFERROR(INDEX(lifespans_all!O$80:O$126,MATCH($A184,lifespans_all!$A$80:$A$126,0))*INDEX(SR_mission_minutes!O$2:O$43,MATCH($A184,SR_mission_minutes!$A$2:$A$43)),"-")</f>
        <v>0</v>
      </c>
      <c r="P184" s="105">
        <f>IFERROR(INDEX(lifespans_all!P$80:P$126,MATCH($A184,lifespans_all!$A$80:$A$126,0))*INDEX(SR_mission_minutes!P$2:P$43,MATCH($A184,SR_mission_minutes!$A$2:$A$43)),"-")</f>
        <v>0</v>
      </c>
      <c r="Q184" s="105">
        <f>IFERROR(INDEX(lifespans_all!Q$80:Q$126,MATCH($A184,lifespans_all!$A$80:$A$126,0))*INDEX(SR_mission_minutes!Q$2:Q$43,MATCH($A184,SR_mission_minutes!$A$2:$A$43)),"-")</f>
        <v>0</v>
      </c>
      <c r="R184" s="105">
        <f>IFERROR(INDEX(lifespans_all!R$80:R$126,MATCH($A184,lifespans_all!$A$80:$A$126,0))*INDEX(SR_mission_minutes!R$2:R$43,MATCH($A184,SR_mission_minutes!$A$2:$A$43)),"-")</f>
        <v>0</v>
      </c>
      <c r="S184" s="105">
        <f>IFERROR(INDEX(lifespans_all!S$80:S$126,MATCH($A184,lifespans_all!$A$80:$A$126,0))*INDEX(SR_mission_minutes!S$2:S$43,MATCH($A184,SR_mission_minutes!$A$2:$A$43)),"-")</f>
        <v>0</v>
      </c>
      <c r="T184" s="105">
        <f>IFERROR(INDEX(lifespans_all!T$80:T$126,MATCH($A184,lifespans_all!$A$80:$A$126,0))*INDEX(SR_mission_minutes!T$2:T$43,MATCH($A184,SR_mission_minutes!$A$2:$A$43)),"-")</f>
        <v>0</v>
      </c>
      <c r="U184" s="105">
        <f>IFERROR(INDEX(lifespans_all!U$80:U$126,MATCH($A184,lifespans_all!$A$80:$A$126,0))*INDEX(SR_mission_minutes!U$2:U$43,MATCH($A184,SR_mission_minutes!$A$2:$A$43)),"-")</f>
        <v>0</v>
      </c>
      <c r="V184" s="105">
        <f>IFERROR(INDEX(lifespans_all!V$80:V$126,MATCH($A184,lifespans_all!$A$80:$A$126,0))*INDEX(SR_mission_minutes!V$2:V$43,MATCH($A184,SR_mission_minutes!$A$2:$A$43)),"-")</f>
        <v>0</v>
      </c>
    </row>
    <row r="185" spans="1:22" x14ac:dyDescent="0.25">
      <c r="A185" s="29" t="s">
        <v>35</v>
      </c>
      <c r="B185" s="29" t="s">
        <v>40</v>
      </c>
      <c r="C185" s="105">
        <f>IFERROR(INDEX(lifespans_all!C$158:C$212,MATCH($A185,lifespans_all!$A$158:$A$212,0))*INDEX(SR_mission_minutes!C$2:C$43,MATCH($A185,SR_mission_minutes!$A$2:$A$43)),"-")</f>
        <v>2364.2857142857142</v>
      </c>
      <c r="D185" s="105">
        <f>IFERROR(INDEX(lifespans_all!D$80:D$126,MATCH($A185,lifespans_all!$A$80:$A$126,0))*INDEX(SR_mission_minutes!D$2:D$43,MATCH($A185,SR_mission_minutes!$A$2:$A$43)),"-")</f>
        <v>2364.2857142857142</v>
      </c>
      <c r="E185" s="105">
        <f>IFERROR(INDEX(lifespans_all!E$80:E$126,MATCH($A185,lifespans_all!$A$80:$A$126,0))*INDEX(SR_mission_minutes!E$2:E$43,MATCH($A185,SR_mission_minutes!$A$2:$A$43)),"-")</f>
        <v>0</v>
      </c>
      <c r="F185" s="105">
        <f>IFERROR(INDEX(lifespans_all!F$80:F$126,MATCH($A185,lifespans_all!$A$80:$A$126,0))*INDEX(SR_mission_minutes!F$2:F$43,MATCH($A185,SR_mission_minutes!$A$2:$A$43)),"-")</f>
        <v>0</v>
      </c>
      <c r="G185" s="105">
        <f>IFERROR(INDEX(lifespans_all!G$80:G$126,MATCH($A185,lifespans_all!$A$80:$A$126,0))*INDEX(SR_mission_minutes!G$2:G$43,MATCH($A185,SR_mission_minutes!$A$2:$A$43)),"-")</f>
        <v>0</v>
      </c>
      <c r="H185" s="105">
        <f>IFERROR(INDEX(lifespans_all!H$80:H$126,MATCH($A185,lifespans_all!$A$80:$A$126,0))*INDEX(SR_mission_minutes!H$2:H$43,MATCH($A185,SR_mission_minutes!$A$2:$A$43)),"-")</f>
        <v>0</v>
      </c>
      <c r="I185" s="105">
        <f>IFERROR(INDEX(lifespans_all!I$80:I$126,MATCH($A185,lifespans_all!$A$80:$A$126,0))*INDEX(SR_mission_minutes!I$2:I$43,MATCH($A185,SR_mission_minutes!$A$2:$A$43)),"-")</f>
        <v>0</v>
      </c>
      <c r="J185" s="105">
        <f>IFERROR(INDEX(lifespans_all!J$80:J$126,MATCH($A185,lifespans_all!$A$80:$A$126,0))*INDEX(SR_mission_minutes!J$2:J$43,MATCH($A185,SR_mission_minutes!$A$2:$A$43)),"-")</f>
        <v>0</v>
      </c>
      <c r="K185" s="105">
        <f>IFERROR(INDEX(lifespans_all!K$80:K$126,MATCH($A185,lifespans_all!$A$80:$A$126,0))*INDEX(SR_mission_minutes!K$2:K$43,MATCH($A185,SR_mission_minutes!$A$2:$A$43)),"-")</f>
        <v>0</v>
      </c>
      <c r="L185" s="105">
        <f>IFERROR(INDEX(lifespans_all!L$80:L$126,MATCH($A185,lifespans_all!$A$80:$A$126,0))*INDEX(SR_mission_minutes!L$2:L$43,MATCH($A185,SR_mission_minutes!$A$2:$A$43)),"-")</f>
        <v>0</v>
      </c>
      <c r="M185" s="105">
        <f>IFERROR(INDEX(lifespans_all!M$80:M$126,MATCH($A185,lifespans_all!$A$80:$A$126,0))*INDEX(SR_mission_minutes!M$2:M$43,MATCH($A185,SR_mission_minutes!$A$2:$A$43)),"-")</f>
        <v>0</v>
      </c>
      <c r="N185" s="105">
        <f>IFERROR(INDEX(lifespans_all!N$80:N$126,MATCH($A185,lifespans_all!$A$80:$A$126,0))*INDEX(SR_mission_minutes!N$2:N$43,MATCH($A185,SR_mission_minutes!$A$2:$A$43)),"-")</f>
        <v>0</v>
      </c>
      <c r="O185" s="105">
        <f>IFERROR(INDEX(lifespans_all!O$80:O$126,MATCH($A185,lifespans_all!$A$80:$A$126,0))*INDEX(SR_mission_minutes!O$2:O$43,MATCH($A185,SR_mission_minutes!$A$2:$A$43)),"-")</f>
        <v>0</v>
      </c>
      <c r="P185" s="105">
        <f>IFERROR(INDEX(lifespans_all!P$80:P$126,MATCH($A185,lifespans_all!$A$80:$A$126,0))*INDEX(SR_mission_minutes!P$2:P$43,MATCH($A185,SR_mission_minutes!$A$2:$A$43)),"-")</f>
        <v>0</v>
      </c>
      <c r="Q185" s="105">
        <f>IFERROR(INDEX(lifespans_all!Q$80:Q$126,MATCH($A185,lifespans_all!$A$80:$A$126,0))*INDEX(SR_mission_minutes!Q$2:Q$43,MATCH($A185,SR_mission_minutes!$A$2:$A$43)),"-")</f>
        <v>0</v>
      </c>
      <c r="R185" s="105">
        <f>IFERROR(INDEX(lifespans_all!R$80:R$126,MATCH($A185,lifespans_all!$A$80:$A$126,0))*INDEX(SR_mission_minutes!R$2:R$43,MATCH($A185,SR_mission_minutes!$A$2:$A$43)),"-")</f>
        <v>0</v>
      </c>
      <c r="S185" s="105">
        <f>IFERROR(INDEX(lifespans_all!S$80:S$126,MATCH($A185,lifespans_all!$A$80:$A$126,0))*INDEX(SR_mission_minutes!S$2:S$43,MATCH($A185,SR_mission_minutes!$A$2:$A$43)),"-")</f>
        <v>0</v>
      </c>
      <c r="T185" s="105">
        <f>IFERROR(INDEX(lifespans_all!T$80:T$126,MATCH($A185,lifespans_all!$A$80:$A$126,0))*INDEX(SR_mission_minutes!T$2:T$43,MATCH($A185,SR_mission_minutes!$A$2:$A$43)),"-")</f>
        <v>0</v>
      </c>
      <c r="U185" s="105">
        <f>IFERROR(INDEX(lifespans_all!U$80:U$126,MATCH($A185,lifespans_all!$A$80:$A$126,0))*INDEX(SR_mission_minutes!U$2:U$43,MATCH($A185,SR_mission_minutes!$A$2:$A$43)),"-")</f>
        <v>0</v>
      </c>
      <c r="V185" s="105">
        <f>IFERROR(INDEX(lifespans_all!V$80:V$126,MATCH($A185,lifespans_all!$A$80:$A$126,0))*INDEX(SR_mission_minutes!V$2:V$43,MATCH($A185,SR_mission_minutes!$A$2:$A$43)),"-")</f>
        <v>0</v>
      </c>
    </row>
    <row r="186" spans="1:22" x14ac:dyDescent="0.25">
      <c r="A186" s="29" t="s">
        <v>36</v>
      </c>
      <c r="B186" s="29" t="s">
        <v>40</v>
      </c>
      <c r="C186" s="105">
        <f>IFERROR(INDEX(lifespans_all!C$158:C$212,MATCH($A186,lifespans_all!$A$158:$A$212,0))*INDEX(SR_mission_minutes!C$2:C$43,MATCH($A186,SR_mission_minutes!$A$2:$A$43)),"-")</f>
        <v>2364.2857142857142</v>
      </c>
      <c r="D186" s="105">
        <f>IFERROR(INDEX(lifespans_all!D$80:D$126,MATCH($A186,lifespans_all!$A$80:$A$126,0))*INDEX(SR_mission_minutes!D$2:D$43,MATCH($A186,SR_mission_minutes!$A$2:$A$43)),"-")</f>
        <v>2364.2857142857142</v>
      </c>
      <c r="E186" s="105">
        <f>IFERROR(INDEX(lifespans_all!E$80:E$126,MATCH($A186,lifespans_all!$A$80:$A$126,0))*INDEX(SR_mission_minutes!E$2:E$43,MATCH($A186,SR_mission_minutes!$A$2:$A$43)),"-")</f>
        <v>0</v>
      </c>
      <c r="F186" s="105">
        <f>IFERROR(INDEX(lifespans_all!F$80:F$126,MATCH($A186,lifespans_all!$A$80:$A$126,0))*INDEX(SR_mission_minutes!F$2:F$43,MATCH($A186,SR_mission_minutes!$A$2:$A$43)),"-")</f>
        <v>0</v>
      </c>
      <c r="G186" s="105">
        <f>IFERROR(INDEX(lifespans_all!G$80:G$126,MATCH($A186,lifespans_all!$A$80:$A$126,0))*INDEX(SR_mission_minutes!G$2:G$43,MATCH($A186,SR_mission_minutes!$A$2:$A$43)),"-")</f>
        <v>0</v>
      </c>
      <c r="H186" s="105">
        <f>IFERROR(INDEX(lifespans_all!H$80:H$126,MATCH($A186,lifespans_all!$A$80:$A$126,0))*INDEX(SR_mission_minutes!H$2:H$43,MATCH($A186,SR_mission_minutes!$A$2:$A$43)),"-")</f>
        <v>0</v>
      </c>
      <c r="I186" s="105">
        <f>IFERROR(INDEX(lifespans_all!I$80:I$126,MATCH($A186,lifespans_all!$A$80:$A$126,0))*INDEX(SR_mission_minutes!I$2:I$43,MATCH($A186,SR_mission_minutes!$A$2:$A$43)),"-")</f>
        <v>0</v>
      </c>
      <c r="J186" s="105">
        <f>IFERROR(INDEX(lifespans_all!J$80:J$126,MATCH($A186,lifespans_all!$A$80:$A$126,0))*INDEX(SR_mission_minutes!J$2:J$43,MATCH($A186,SR_mission_minutes!$A$2:$A$43)),"-")</f>
        <v>0</v>
      </c>
      <c r="K186" s="105">
        <f>IFERROR(INDEX(lifespans_all!K$80:K$126,MATCH($A186,lifespans_all!$A$80:$A$126,0))*INDEX(SR_mission_minutes!K$2:K$43,MATCH($A186,SR_mission_minutes!$A$2:$A$43)),"-")</f>
        <v>0</v>
      </c>
      <c r="L186" s="105">
        <f>IFERROR(INDEX(lifespans_all!L$80:L$126,MATCH($A186,lifespans_all!$A$80:$A$126,0))*INDEX(SR_mission_minutes!L$2:L$43,MATCH($A186,SR_mission_minutes!$A$2:$A$43)),"-")</f>
        <v>0</v>
      </c>
      <c r="M186" s="105">
        <f>IFERROR(INDEX(lifespans_all!M$80:M$126,MATCH($A186,lifespans_all!$A$80:$A$126,0))*INDEX(SR_mission_minutes!M$2:M$43,MATCH($A186,SR_mission_minutes!$A$2:$A$43)),"-")</f>
        <v>0</v>
      </c>
      <c r="N186" s="105">
        <f>IFERROR(INDEX(lifespans_all!N$80:N$126,MATCH($A186,lifespans_all!$A$80:$A$126,0))*INDEX(SR_mission_minutes!N$2:N$43,MATCH($A186,SR_mission_minutes!$A$2:$A$43)),"-")</f>
        <v>0</v>
      </c>
      <c r="O186" s="105">
        <f>IFERROR(INDEX(lifespans_all!O$80:O$126,MATCH($A186,lifespans_all!$A$80:$A$126,0))*INDEX(SR_mission_minutes!O$2:O$43,MATCH($A186,SR_mission_minutes!$A$2:$A$43)),"-")</f>
        <v>0</v>
      </c>
      <c r="P186" s="105">
        <f>IFERROR(INDEX(lifespans_all!P$80:P$126,MATCH($A186,lifespans_all!$A$80:$A$126,0))*INDEX(SR_mission_minutes!P$2:P$43,MATCH($A186,SR_mission_minutes!$A$2:$A$43)),"-")</f>
        <v>0</v>
      </c>
      <c r="Q186" s="105">
        <f>IFERROR(INDEX(lifespans_all!Q$80:Q$126,MATCH($A186,lifespans_all!$A$80:$A$126,0))*INDEX(SR_mission_minutes!Q$2:Q$43,MATCH($A186,SR_mission_minutes!$A$2:$A$43)),"-")</f>
        <v>0</v>
      </c>
      <c r="R186" s="105">
        <f>IFERROR(INDEX(lifespans_all!R$80:R$126,MATCH($A186,lifespans_all!$A$80:$A$126,0))*INDEX(SR_mission_minutes!R$2:R$43,MATCH($A186,SR_mission_minutes!$A$2:$A$43)),"-")</f>
        <v>0</v>
      </c>
      <c r="S186" s="105">
        <f>IFERROR(INDEX(lifespans_all!S$80:S$126,MATCH($A186,lifespans_all!$A$80:$A$126,0))*INDEX(SR_mission_minutes!S$2:S$43,MATCH($A186,SR_mission_minutes!$A$2:$A$43)),"-")</f>
        <v>0</v>
      </c>
      <c r="T186" s="105">
        <f>IFERROR(INDEX(lifespans_all!T$80:T$126,MATCH($A186,lifespans_all!$A$80:$A$126,0))*INDEX(SR_mission_minutes!T$2:T$43,MATCH($A186,SR_mission_minutes!$A$2:$A$43)),"-")</f>
        <v>0</v>
      </c>
      <c r="U186" s="105">
        <f>IFERROR(INDEX(lifespans_all!U$80:U$126,MATCH($A186,lifespans_all!$A$80:$A$126,0))*INDEX(SR_mission_minutes!U$2:U$43,MATCH($A186,SR_mission_minutes!$A$2:$A$43)),"-")</f>
        <v>0</v>
      </c>
      <c r="V186" s="105">
        <f>IFERROR(INDEX(lifespans_all!V$80:V$126,MATCH($A186,lifespans_all!$A$80:$A$126,0))*INDEX(SR_mission_minutes!V$2:V$43,MATCH($A186,SR_mission_minutes!$A$2:$A$43)),"-")</f>
        <v>0</v>
      </c>
    </row>
    <row r="187" spans="1:22" x14ac:dyDescent="0.25">
      <c r="A187" s="29" t="s">
        <v>37</v>
      </c>
      <c r="B187" s="29" t="s">
        <v>40</v>
      </c>
      <c r="C187" s="105">
        <f>IFERROR(INDEX(lifespans_all!C$158:C$212,MATCH($A187,lifespans_all!$A$158:$A$212,0))*INDEX(SR_mission_minutes!C$2:C$43,MATCH($A187,SR_mission_minutes!$A$2:$A$43)),"-")</f>
        <v>2364.2857142857142</v>
      </c>
      <c r="D187" s="105">
        <f>IFERROR(INDEX(lifespans_all!D$80:D$126,MATCH($A187,lifespans_all!$A$80:$A$126,0))*INDEX(SR_mission_minutes!D$2:D$43,MATCH($A187,SR_mission_minutes!$A$2:$A$43)),"-")</f>
        <v>2364.2857142857142</v>
      </c>
      <c r="E187" s="105">
        <f>IFERROR(INDEX(lifespans_all!E$80:E$126,MATCH($A187,lifespans_all!$A$80:$A$126,0))*INDEX(SR_mission_minutes!E$2:E$43,MATCH($A187,SR_mission_minutes!$A$2:$A$43)),"-")</f>
        <v>0</v>
      </c>
      <c r="F187" s="105">
        <f>IFERROR(INDEX(lifespans_all!F$80:F$126,MATCH($A187,lifespans_all!$A$80:$A$126,0))*INDEX(SR_mission_minutes!F$2:F$43,MATCH($A187,SR_mission_minutes!$A$2:$A$43)),"-")</f>
        <v>0</v>
      </c>
      <c r="G187" s="105">
        <f>IFERROR(INDEX(lifespans_all!G$80:G$126,MATCH($A187,lifespans_all!$A$80:$A$126,0))*INDEX(SR_mission_minutes!G$2:G$43,MATCH($A187,SR_mission_minutes!$A$2:$A$43)),"-")</f>
        <v>0</v>
      </c>
      <c r="H187" s="105">
        <f>IFERROR(INDEX(lifespans_all!H$80:H$126,MATCH($A187,lifespans_all!$A$80:$A$126,0))*INDEX(SR_mission_minutes!H$2:H$43,MATCH($A187,SR_mission_minutes!$A$2:$A$43)),"-")</f>
        <v>0</v>
      </c>
      <c r="I187" s="105">
        <f>IFERROR(INDEX(lifespans_all!I$80:I$126,MATCH($A187,lifespans_all!$A$80:$A$126,0))*INDEX(SR_mission_minutes!I$2:I$43,MATCH($A187,SR_mission_minutes!$A$2:$A$43)),"-")</f>
        <v>0</v>
      </c>
      <c r="J187" s="105">
        <f>IFERROR(INDEX(lifespans_all!J$80:J$126,MATCH($A187,lifespans_all!$A$80:$A$126,0))*INDEX(SR_mission_minutes!J$2:J$43,MATCH($A187,SR_mission_minutes!$A$2:$A$43)),"-")</f>
        <v>0</v>
      </c>
      <c r="K187" s="105">
        <f>IFERROR(INDEX(lifespans_all!K$80:K$126,MATCH($A187,lifespans_all!$A$80:$A$126,0))*INDEX(SR_mission_minutes!K$2:K$43,MATCH($A187,SR_mission_minutes!$A$2:$A$43)),"-")</f>
        <v>0</v>
      </c>
      <c r="L187" s="105">
        <f>IFERROR(INDEX(lifespans_all!L$80:L$126,MATCH($A187,lifespans_all!$A$80:$A$126,0))*INDEX(SR_mission_minutes!L$2:L$43,MATCH($A187,SR_mission_minutes!$A$2:$A$43)),"-")</f>
        <v>0</v>
      </c>
      <c r="M187" s="105">
        <f>IFERROR(INDEX(lifespans_all!M$80:M$126,MATCH($A187,lifespans_all!$A$80:$A$126,0))*INDEX(SR_mission_minutes!M$2:M$43,MATCH($A187,SR_mission_minutes!$A$2:$A$43)),"-")</f>
        <v>0</v>
      </c>
      <c r="N187" s="105">
        <f>IFERROR(INDEX(lifespans_all!N$80:N$126,MATCH($A187,lifespans_all!$A$80:$A$126,0))*INDEX(SR_mission_minutes!N$2:N$43,MATCH($A187,SR_mission_minutes!$A$2:$A$43)),"-")</f>
        <v>0</v>
      </c>
      <c r="O187" s="105">
        <f>IFERROR(INDEX(lifespans_all!O$80:O$126,MATCH($A187,lifespans_all!$A$80:$A$126,0))*INDEX(SR_mission_minutes!O$2:O$43,MATCH($A187,SR_mission_minutes!$A$2:$A$43)),"-")</f>
        <v>0</v>
      </c>
      <c r="P187" s="105">
        <f>IFERROR(INDEX(lifespans_all!P$80:P$126,MATCH($A187,lifespans_all!$A$80:$A$126,0))*INDEX(SR_mission_minutes!P$2:P$43,MATCH($A187,SR_mission_minutes!$A$2:$A$43)),"-")</f>
        <v>0</v>
      </c>
      <c r="Q187" s="105">
        <f>IFERROR(INDEX(lifespans_all!Q$80:Q$126,MATCH($A187,lifespans_all!$A$80:$A$126,0))*INDEX(SR_mission_minutes!Q$2:Q$43,MATCH($A187,SR_mission_minutes!$A$2:$A$43)),"-")</f>
        <v>0</v>
      </c>
      <c r="R187" s="105">
        <f>IFERROR(INDEX(lifespans_all!R$80:R$126,MATCH($A187,lifespans_all!$A$80:$A$126,0))*INDEX(SR_mission_minutes!R$2:R$43,MATCH($A187,SR_mission_minutes!$A$2:$A$43)),"-")</f>
        <v>0</v>
      </c>
      <c r="S187" s="105">
        <f>IFERROR(INDEX(lifespans_all!S$80:S$126,MATCH($A187,lifespans_all!$A$80:$A$126,0))*INDEX(SR_mission_minutes!S$2:S$43,MATCH($A187,SR_mission_minutes!$A$2:$A$43)),"-")</f>
        <v>0</v>
      </c>
      <c r="T187" s="105">
        <f>IFERROR(INDEX(lifespans_all!T$80:T$126,MATCH($A187,lifespans_all!$A$80:$A$126,0))*INDEX(SR_mission_minutes!T$2:T$43,MATCH($A187,SR_mission_minutes!$A$2:$A$43)),"-")</f>
        <v>0</v>
      </c>
      <c r="U187" s="105">
        <f>IFERROR(INDEX(lifespans_all!U$80:U$126,MATCH($A187,lifespans_all!$A$80:$A$126,0))*INDEX(SR_mission_minutes!U$2:U$43,MATCH($A187,SR_mission_minutes!$A$2:$A$43)),"-")</f>
        <v>0</v>
      </c>
      <c r="V187" s="105">
        <f>IFERROR(INDEX(lifespans_all!V$80:V$126,MATCH($A187,lifespans_all!$A$80:$A$126,0))*INDEX(SR_mission_minutes!V$2:V$43,MATCH($A187,SR_mission_minutes!$A$2:$A$43)),"-")</f>
        <v>0</v>
      </c>
    </row>
    <row r="188" spans="1:22" x14ac:dyDescent="0.25">
      <c r="A188" s="29" t="s">
        <v>38</v>
      </c>
      <c r="B188" s="29" t="s">
        <v>41</v>
      </c>
      <c r="C188" s="105">
        <f>IFERROR(INDEX(lifespans_all!C$158:C$212,MATCH($A188,lifespans_all!$A$158:$A$212,0))*INDEX(SR_mission_minutes!C$2:C$43,MATCH($A188,SR_mission_minutes!$A$2:$A$43)),"-")</f>
        <v>66700.388888888891</v>
      </c>
      <c r="D188" s="105">
        <f>IFERROR(INDEX(lifespans_all!D$80:D$126,MATCH($A188,lifespans_all!$A$80:$A$126,0))*INDEX(SR_mission_minutes!D$2:D$43,MATCH($A188,SR_mission_minutes!$A$2:$A$43)),"-")</f>
        <v>0</v>
      </c>
      <c r="E188" s="105">
        <f>IFERROR(INDEX(lifespans_all!E$80:E$126,MATCH($A188,lifespans_all!$A$80:$A$126,0))*INDEX(SR_mission_minutes!E$2:E$43,MATCH($A188,SR_mission_minutes!$A$2:$A$43)),"-")</f>
        <v>0</v>
      </c>
      <c r="F188" s="105">
        <f>IFERROR(INDEX(lifespans_all!F$80:F$126,MATCH($A188,lifespans_all!$A$80:$A$126,0))*INDEX(SR_mission_minutes!F$2:F$43,MATCH($A188,SR_mission_minutes!$A$2:$A$43)),"-")</f>
        <v>0</v>
      </c>
      <c r="G188" s="105">
        <f>IFERROR(INDEX(lifespans_all!G$80:G$126,MATCH($A188,lifespans_all!$A$80:$A$126,0))*INDEX(SR_mission_minutes!G$2:G$43,MATCH($A188,SR_mission_minutes!$A$2:$A$43)),"-")</f>
        <v>0</v>
      </c>
      <c r="H188" s="105">
        <f>IFERROR(INDEX(lifespans_all!H$80:H$126,MATCH($A188,lifespans_all!$A$80:$A$126,0))*INDEX(SR_mission_minutes!H$2:H$43,MATCH($A188,SR_mission_minutes!$A$2:$A$43)),"-")</f>
        <v>0</v>
      </c>
      <c r="I188" s="105">
        <f>IFERROR(INDEX(lifespans_all!I$80:I$126,MATCH($A188,lifespans_all!$A$80:$A$126,0))*INDEX(SR_mission_minutes!I$2:I$43,MATCH($A188,SR_mission_minutes!$A$2:$A$43)),"-")</f>
        <v>0</v>
      </c>
      <c r="J188" s="105">
        <f>IFERROR(INDEX(lifespans_all!J$80:J$126,MATCH($A188,lifespans_all!$A$80:$A$126,0))*INDEX(SR_mission_minutes!J$2:J$43,MATCH($A188,SR_mission_minutes!$A$2:$A$43)),"-")</f>
        <v>0</v>
      </c>
      <c r="K188" s="105">
        <f>IFERROR(INDEX(lifespans_all!K$80:K$126,MATCH($A188,lifespans_all!$A$80:$A$126,0))*INDEX(SR_mission_minutes!K$2:K$43,MATCH($A188,SR_mission_minutes!$A$2:$A$43)),"-")</f>
        <v>0</v>
      </c>
      <c r="L188" s="105">
        <f>IFERROR(INDEX(lifespans_all!L$80:L$126,MATCH($A188,lifespans_all!$A$80:$A$126,0))*INDEX(SR_mission_minutes!L$2:L$43,MATCH($A188,SR_mission_minutes!$A$2:$A$43)),"-")</f>
        <v>0</v>
      </c>
      <c r="M188" s="105">
        <f>IFERROR(INDEX(lifespans_all!M$80:M$126,MATCH($A188,lifespans_all!$A$80:$A$126,0))*INDEX(SR_mission_minutes!M$2:M$43,MATCH($A188,SR_mission_minutes!$A$2:$A$43)),"-")</f>
        <v>0</v>
      </c>
      <c r="N188" s="105">
        <f>IFERROR(INDEX(lifespans_all!N$80:N$126,MATCH($A188,lifespans_all!$A$80:$A$126,0))*INDEX(SR_mission_minutes!N$2:N$43,MATCH($A188,SR_mission_minutes!$A$2:$A$43)),"-")</f>
        <v>0</v>
      </c>
      <c r="O188" s="105">
        <f>IFERROR(INDEX(lifespans_all!O$80:O$126,MATCH($A188,lifespans_all!$A$80:$A$126,0))*INDEX(SR_mission_minutes!O$2:O$43,MATCH($A188,SR_mission_minutes!$A$2:$A$43)),"-")</f>
        <v>0</v>
      </c>
      <c r="P188" s="105">
        <f>IFERROR(INDEX(lifespans_all!P$80:P$126,MATCH($A188,lifespans_all!$A$80:$A$126,0))*INDEX(SR_mission_minutes!P$2:P$43,MATCH($A188,SR_mission_minutes!$A$2:$A$43)),"-")</f>
        <v>0</v>
      </c>
      <c r="Q188" s="105">
        <f>IFERROR(INDEX(lifespans_all!Q$80:Q$126,MATCH($A188,lifespans_all!$A$80:$A$126,0))*INDEX(SR_mission_minutes!Q$2:Q$43,MATCH($A188,SR_mission_minutes!$A$2:$A$43)),"-")</f>
        <v>0</v>
      </c>
      <c r="R188" s="105">
        <f>IFERROR(INDEX(lifespans_all!R$80:R$126,MATCH($A188,lifespans_all!$A$80:$A$126,0))*INDEX(SR_mission_minutes!R$2:R$43,MATCH($A188,SR_mission_minutes!$A$2:$A$43)),"-")</f>
        <v>0</v>
      </c>
      <c r="S188" s="105">
        <f>IFERROR(INDEX(lifespans_all!S$80:S$126,MATCH($A188,lifespans_all!$A$80:$A$126,0))*INDEX(SR_mission_minutes!S$2:S$43,MATCH($A188,SR_mission_minutes!$A$2:$A$43)),"-")</f>
        <v>0</v>
      </c>
      <c r="T188" s="105">
        <f>IFERROR(INDEX(lifespans_all!T$80:T$126,MATCH($A188,lifespans_all!$A$80:$A$126,0))*INDEX(SR_mission_minutes!T$2:T$43,MATCH($A188,SR_mission_minutes!$A$2:$A$43)),"-")</f>
        <v>0</v>
      </c>
      <c r="U188" s="105">
        <f>IFERROR(INDEX(lifespans_all!U$80:U$126,MATCH($A188,lifespans_all!$A$80:$A$126,0))*INDEX(SR_mission_minutes!U$2:U$43,MATCH($A188,SR_mission_minutes!$A$2:$A$43)),"-")</f>
        <v>0</v>
      </c>
      <c r="V188" s="105">
        <f>IFERROR(INDEX(lifespans_all!V$80:V$126,MATCH($A188,lifespans_all!$A$80:$A$126,0))*INDEX(SR_mission_minutes!V$2:V$43,MATCH($A188,SR_mission_minutes!$A$2:$A$43)),"-")</f>
        <v>0</v>
      </c>
    </row>
    <row r="189" spans="1:22" x14ac:dyDescent="0.25">
      <c r="A189" s="29" t="s">
        <v>39</v>
      </c>
      <c r="B189" s="29" t="s">
        <v>41</v>
      </c>
      <c r="C189" s="105">
        <f>IFERROR(INDEX(lifespans_all!C$158:C$212,MATCH($A189,lifespans_all!$A$158:$A$212,0))*INDEX(SR_mission_minutes!C$2:C$43,MATCH($A189,SR_mission_minutes!$A$2:$A$43)),"-")</f>
        <v>33739.333333333336</v>
      </c>
      <c r="D189" s="105">
        <f>IFERROR(INDEX(lifespans_all!D$80:D$126,MATCH($A189,lifespans_all!$A$80:$A$126,0))*INDEX(SR_mission_minutes!D$2:D$43,MATCH($A189,SR_mission_minutes!$A$2:$A$43)),"-")</f>
        <v>33739.333333333336</v>
      </c>
      <c r="E189" s="105">
        <f>IFERROR(INDEX(lifespans_all!E$80:E$126,MATCH($A189,lifespans_all!$A$80:$A$126,0))*INDEX(SR_mission_minutes!E$2:E$43,MATCH($A189,SR_mission_minutes!$A$2:$A$43)),"-")</f>
        <v>33739.333333333336</v>
      </c>
      <c r="F189" s="105">
        <f>IFERROR(INDEX(lifespans_all!F$80:F$126,MATCH($A189,lifespans_all!$A$80:$A$126,0))*INDEX(SR_mission_minutes!F$2:F$43,MATCH($A189,SR_mission_minutes!$A$2:$A$43)),"-")</f>
        <v>33739.333333333336</v>
      </c>
      <c r="G189" s="105">
        <f>IFERROR(INDEX(lifespans_all!G$80:G$126,MATCH($A189,lifespans_all!$A$80:$A$126,0))*INDEX(SR_mission_minutes!G$2:G$43,MATCH($A189,SR_mission_minutes!$A$2:$A$43)),"-")</f>
        <v>0</v>
      </c>
      <c r="H189" s="105">
        <f>IFERROR(INDEX(lifespans_all!H$80:H$126,MATCH($A189,lifespans_all!$A$80:$A$126,0))*INDEX(SR_mission_minutes!H$2:H$43,MATCH($A189,SR_mission_minutes!$A$2:$A$43)),"-")</f>
        <v>0</v>
      </c>
      <c r="I189" s="105">
        <f>IFERROR(INDEX(lifespans_all!I$80:I$126,MATCH($A189,lifespans_all!$A$80:$A$126,0))*INDEX(SR_mission_minutes!I$2:I$43,MATCH($A189,SR_mission_minutes!$A$2:$A$43)),"-")</f>
        <v>0</v>
      </c>
      <c r="J189" s="105">
        <f>IFERROR(INDEX(lifespans_all!J$80:J$126,MATCH($A189,lifespans_all!$A$80:$A$126,0))*INDEX(SR_mission_minutes!J$2:J$43,MATCH($A189,SR_mission_minutes!$A$2:$A$43)),"-")</f>
        <v>0</v>
      </c>
      <c r="K189" s="105">
        <f>IFERROR(INDEX(lifespans_all!K$80:K$126,MATCH($A189,lifespans_all!$A$80:$A$126,0))*INDEX(SR_mission_minutes!K$2:K$43,MATCH($A189,SR_mission_minutes!$A$2:$A$43)),"-")</f>
        <v>0</v>
      </c>
      <c r="L189" s="105">
        <f>IFERROR(INDEX(lifespans_all!L$80:L$126,MATCH($A189,lifespans_all!$A$80:$A$126,0))*INDEX(SR_mission_minutes!L$2:L$43,MATCH($A189,SR_mission_minutes!$A$2:$A$43)),"-")</f>
        <v>0</v>
      </c>
      <c r="M189" s="105">
        <f>IFERROR(INDEX(lifespans_all!M$80:M$126,MATCH($A189,lifespans_all!$A$80:$A$126,0))*INDEX(SR_mission_minutes!M$2:M$43,MATCH($A189,SR_mission_minutes!$A$2:$A$43)),"-")</f>
        <v>0</v>
      </c>
      <c r="N189" s="105">
        <f>IFERROR(INDEX(lifespans_all!N$80:N$126,MATCH($A189,lifespans_all!$A$80:$A$126,0))*INDEX(SR_mission_minutes!N$2:N$43,MATCH($A189,SR_mission_minutes!$A$2:$A$43)),"-")</f>
        <v>0</v>
      </c>
      <c r="O189" s="105">
        <f>IFERROR(INDEX(lifespans_all!O$80:O$126,MATCH($A189,lifespans_all!$A$80:$A$126,0))*INDEX(SR_mission_minutes!O$2:O$43,MATCH($A189,SR_mission_minutes!$A$2:$A$43)),"-")</f>
        <v>0</v>
      </c>
      <c r="P189" s="105">
        <f>IFERROR(INDEX(lifespans_all!P$80:P$126,MATCH($A189,lifespans_all!$A$80:$A$126,0))*INDEX(SR_mission_minutes!P$2:P$43,MATCH($A189,SR_mission_minutes!$A$2:$A$43)),"-")</f>
        <v>0</v>
      </c>
      <c r="Q189" s="105">
        <f>IFERROR(INDEX(lifespans_all!Q$80:Q$126,MATCH($A189,lifespans_all!$A$80:$A$126,0))*INDEX(SR_mission_minutes!Q$2:Q$43,MATCH($A189,SR_mission_minutes!$A$2:$A$43)),"-")</f>
        <v>0</v>
      </c>
      <c r="R189" s="105">
        <f>IFERROR(INDEX(lifespans_all!R$80:R$126,MATCH($A189,lifespans_all!$A$80:$A$126,0))*INDEX(SR_mission_minutes!R$2:R$43,MATCH($A189,SR_mission_minutes!$A$2:$A$43)),"-")</f>
        <v>0</v>
      </c>
      <c r="S189" s="105">
        <f>IFERROR(INDEX(lifespans_all!S$80:S$126,MATCH($A189,lifespans_all!$A$80:$A$126,0))*INDEX(SR_mission_minutes!S$2:S$43,MATCH($A189,SR_mission_minutes!$A$2:$A$43)),"-")</f>
        <v>0</v>
      </c>
      <c r="T189" s="105">
        <f>IFERROR(INDEX(lifespans_all!T$80:T$126,MATCH($A189,lifespans_all!$A$80:$A$126,0))*INDEX(SR_mission_minutes!T$2:T$43,MATCH($A189,SR_mission_minutes!$A$2:$A$43)),"-")</f>
        <v>0</v>
      </c>
      <c r="U189" s="105">
        <f>IFERROR(INDEX(lifespans_all!U$80:U$126,MATCH($A189,lifespans_all!$A$80:$A$126,0))*INDEX(SR_mission_minutes!U$2:U$43,MATCH($A189,SR_mission_minutes!$A$2:$A$43)),"-")</f>
        <v>0</v>
      </c>
      <c r="V189" s="105">
        <f>IFERROR(INDEX(lifespans_all!V$80:V$126,MATCH($A189,lifespans_all!$A$80:$A$126,0))*INDEX(SR_mission_minutes!V$2:V$43,MATCH($A189,SR_mission_minutes!$A$2:$A$43)),"-")</f>
        <v>0</v>
      </c>
    </row>
    <row r="190" spans="1:22" x14ac:dyDescent="0.25">
      <c r="A190" s="21" t="s">
        <v>88</v>
      </c>
      <c r="B190" s="20" t="s">
        <v>43</v>
      </c>
      <c r="C190" s="105" t="str">
        <f>IFERROR((INDEX(lifespans_all!C$205:C$212,MATCH($B190,lifespans_all!$B$205:$B$212,0))*SR_mission_minutes!C44)*POWER(1+(#REF!/100),C$1-2021),"-")</f>
        <v>-</v>
      </c>
      <c r="D190" s="105" t="str">
        <f>IFERROR((INDEX(lifespans_all!D$205:D$212,MATCH($B190,lifespans_all!$B$205:$B$212,0))*SR_mission_minutes!D44)*POWER(1+(#REF!/100),D$1-2021),"-")</f>
        <v>-</v>
      </c>
      <c r="E190" s="105" t="str">
        <f>IFERROR((INDEX(lifespans_all!E$205:E$212,MATCH($B190,lifespans_all!$B$205:$B$212,0))*SR_mission_minutes!E44)*POWER(1+(#REF!/100),E$1-2021),"-")</f>
        <v>-</v>
      </c>
      <c r="F190" s="105" t="str">
        <f>IFERROR((INDEX(lifespans_all!F$205:F$212,MATCH($B190,lifespans_all!$B$205:$B$212,0))*SR_mission_minutes!F44)*POWER(1+(#REF!/100),F$1-2021),"-")</f>
        <v>-</v>
      </c>
      <c r="G190" s="105" t="str">
        <f>IFERROR((INDEX(lifespans_all!G$205:G$212,MATCH($B190,lifespans_all!$B$205:$B$212,0))*SR_mission_minutes!G44)*POWER(1+(#REF!/100),G$1-2021),"-")</f>
        <v>-</v>
      </c>
      <c r="H190" s="105" t="str">
        <f>IFERROR((INDEX(lifespans_all!H$205:H$212,MATCH($B190,lifespans_all!$B$205:$B$212,0))*SR_mission_minutes!H44)*POWER(1+(#REF!/100),H$1-2021),"-")</f>
        <v>-</v>
      </c>
      <c r="I190" s="105" t="str">
        <f>IFERROR((INDEX(lifespans_all!I$205:I$212,MATCH($B190,lifespans_all!$B$205:$B$212,0))*SR_mission_minutes!I44)*POWER(1+(#REF!/100),I$1-2021),"-")</f>
        <v>-</v>
      </c>
      <c r="J190" s="105" t="str">
        <f>IFERROR((INDEX(lifespans_all!J$205:J$212,MATCH($B190,lifespans_all!$B$205:$B$212,0))*SR_mission_minutes!J44)*POWER(1+(#REF!/100),J$1-2021),"-")</f>
        <v>-</v>
      </c>
      <c r="K190" s="105" t="str">
        <f>IFERROR((INDEX(lifespans_all!K$205:K$212,MATCH($B190,lifespans_all!$B$205:$B$212,0))*SR_mission_minutes!K44)*POWER(1+(#REF!/100),K$1-2021),"-")</f>
        <v>-</v>
      </c>
      <c r="L190" s="105" t="str">
        <f>IFERROR((INDEX(lifespans_all!L$205:L$212,MATCH($B190,lifespans_all!$B$205:$B$212,0))*SR_mission_minutes!L44)*POWER(1+(#REF!/100),L$1-2021),"-")</f>
        <v>-</v>
      </c>
      <c r="M190" s="105" t="str">
        <f>IFERROR((INDEX(lifespans_all!M$205:M$212,MATCH($B190,lifespans_all!$B$205:$B$212,0))*SR_mission_minutes!M44)*POWER(1+(#REF!/100),M$1-2021),"-")</f>
        <v>-</v>
      </c>
      <c r="N190" s="105" t="str">
        <f>IFERROR((INDEX(lifespans_all!N$205:N$212,MATCH($B190,lifespans_all!$B$205:$B$212,0))*SR_mission_minutes!N44)*POWER(1+(#REF!/100),N$1-2021),"-")</f>
        <v>-</v>
      </c>
      <c r="O190" s="105" t="str">
        <f>IFERROR((INDEX(lifespans_all!O$205:O$212,MATCH($B190,lifespans_all!$B$205:$B$212,0))*SR_mission_minutes!O44)*POWER(1+(#REF!/100),O$1-2021),"-")</f>
        <v>-</v>
      </c>
      <c r="P190" s="105" t="str">
        <f>IFERROR((INDEX(lifespans_all!P$205:P$212,MATCH($B190,lifespans_all!$B$205:$B$212,0))*SR_mission_minutes!P44)*POWER(1+(#REF!/100),P$1-2021),"-")</f>
        <v>-</v>
      </c>
      <c r="Q190" s="105" t="str">
        <f>IFERROR((INDEX(lifespans_all!Q$205:Q$212,MATCH($B190,lifespans_all!$B$205:$B$212,0))*SR_mission_minutes!Q44)*POWER(1+(#REF!/100),Q$1-2021),"-")</f>
        <v>-</v>
      </c>
      <c r="R190" s="105" t="str">
        <f>IFERROR((INDEX(lifespans_all!R$205:R$212,MATCH($B190,lifespans_all!$B$205:$B$212,0))*SR_mission_minutes!R44)*POWER(1+(#REF!/100),R$1-2021),"-")</f>
        <v>-</v>
      </c>
      <c r="S190" s="105" t="str">
        <f>IFERROR((INDEX(lifespans_all!S$205:S$212,MATCH($B190,lifespans_all!$B$205:$B$212,0))*SR_mission_minutes!S44)*POWER(1+(#REF!/100),S$1-2021),"-")</f>
        <v>-</v>
      </c>
      <c r="T190" s="105" t="str">
        <f>IFERROR((INDEX(lifespans_all!T$205:T$212,MATCH($B190,lifespans_all!$B$205:$B$212,0))*SR_mission_minutes!T44)*POWER(1+(#REF!/100),T$1-2021),"-")</f>
        <v>-</v>
      </c>
      <c r="U190" s="105" t="str">
        <f>IFERROR((INDEX(lifespans_all!U$205:U$212,MATCH($B190,lifespans_all!$B$205:$B$212,0))*SR_mission_minutes!U44)*POWER(1+(#REF!/100),U$1-2021),"-")</f>
        <v>-</v>
      </c>
      <c r="V190" s="105" t="str">
        <f>IFERROR((INDEX(lifespans_all!V$205:V$212,MATCH($B190,lifespans_all!$B$205:$B$212,0))*SR_mission_minutes!V44)*POWER(1+(#REF!/100),V$1-2021),"-")</f>
        <v>-</v>
      </c>
    </row>
    <row r="191" spans="1:22" x14ac:dyDescent="0.25">
      <c r="A191" s="21" t="s">
        <v>88</v>
      </c>
      <c r="B191" s="20" t="s">
        <v>41</v>
      </c>
      <c r="C191" s="105" t="str">
        <f>IFERROR((INDEX(lifespans_all!C$205:C$212,MATCH($B191,lifespans_all!$B$205:$B$212,0))*SR_mission_minutes!C45)*POWER(1+(#REF!/100),C$1-2021),"-")</f>
        <v>-</v>
      </c>
      <c r="D191" s="105" t="str">
        <f>IFERROR((INDEX(lifespans_all!D$205:D$212,MATCH($B191,lifespans_all!$B$205:$B$212,0))*SR_mission_minutes!D45)*POWER(1+(#REF!/100),D$1-2021),"-")</f>
        <v>-</v>
      </c>
      <c r="E191" s="105" t="str">
        <f>IFERROR((INDEX(lifespans_all!E$205:E$212,MATCH($B191,lifespans_all!$B$205:$B$212,0))*SR_mission_minutes!E45)*POWER(1+(#REF!/100),E$1-2021),"-")</f>
        <v>-</v>
      </c>
      <c r="F191" s="105" t="str">
        <f>IFERROR((INDEX(lifespans_all!F$205:F$212,MATCH($B191,lifespans_all!$B$205:$B$212,0))*SR_mission_minutes!F45)*POWER(1+(#REF!/100),F$1-2021),"-")</f>
        <v>-</v>
      </c>
      <c r="G191" s="105" t="str">
        <f>IFERROR((INDEX(lifespans_all!G$205:G$212,MATCH($B191,lifespans_all!$B$205:$B$212,0))*SR_mission_minutes!G45)*POWER(1+(#REF!/100),G$1-2021),"-")</f>
        <v>-</v>
      </c>
      <c r="H191" s="105" t="str">
        <f>IFERROR((INDEX(lifespans_all!H$205:H$212,MATCH($B191,lifespans_all!$B$205:$B$212,0))*SR_mission_minutes!H45)*POWER(1+(#REF!/100),H$1-2021),"-")</f>
        <v>-</v>
      </c>
      <c r="I191" s="105" t="str">
        <f>IFERROR((INDEX(lifespans_all!I$205:I$212,MATCH($B191,lifespans_all!$B$205:$B$212,0))*SR_mission_minutes!I45)*POWER(1+(#REF!/100),I$1-2021),"-")</f>
        <v>-</v>
      </c>
      <c r="J191" s="105" t="str">
        <f>IFERROR((INDEX(lifespans_all!J$205:J$212,MATCH($B191,lifespans_all!$B$205:$B$212,0))*SR_mission_minutes!J45)*POWER(1+(#REF!/100),J$1-2021),"-")</f>
        <v>-</v>
      </c>
      <c r="K191" s="105" t="str">
        <f>IFERROR((INDEX(lifespans_all!K$205:K$212,MATCH($B191,lifespans_all!$B$205:$B$212,0))*SR_mission_minutes!K45)*POWER(1+(#REF!/100),K$1-2021),"-")</f>
        <v>-</v>
      </c>
      <c r="L191" s="105" t="str">
        <f>IFERROR((INDEX(lifespans_all!L$205:L$212,MATCH($B191,lifespans_all!$B$205:$B$212,0))*SR_mission_minutes!L45)*POWER(1+(#REF!/100),L$1-2021),"-")</f>
        <v>-</v>
      </c>
      <c r="M191" s="105" t="str">
        <f>IFERROR((INDEX(lifespans_all!M$205:M$212,MATCH($B191,lifespans_all!$B$205:$B$212,0))*SR_mission_minutes!M45)*POWER(1+(#REF!/100),M$1-2021),"-")</f>
        <v>-</v>
      </c>
      <c r="N191" s="105" t="str">
        <f>IFERROR((INDEX(lifespans_all!N$205:N$212,MATCH($B191,lifespans_all!$B$205:$B$212,0))*SR_mission_minutes!N45)*POWER(1+(#REF!/100),N$1-2021),"-")</f>
        <v>-</v>
      </c>
      <c r="O191" s="105" t="str">
        <f>IFERROR((INDEX(lifespans_all!O$205:O$212,MATCH($B191,lifespans_all!$B$205:$B$212,0))*SR_mission_minutes!O45)*POWER(1+(#REF!/100),O$1-2021),"-")</f>
        <v>-</v>
      </c>
      <c r="P191" s="105" t="str">
        <f>IFERROR((INDEX(lifespans_all!P$205:P$212,MATCH($B191,lifespans_all!$B$205:$B$212,0))*SR_mission_minutes!P45)*POWER(1+(#REF!/100),P$1-2021),"-")</f>
        <v>-</v>
      </c>
      <c r="Q191" s="105" t="str">
        <f>IFERROR((INDEX(lifespans_all!Q$205:Q$212,MATCH($B191,lifespans_all!$B$205:$B$212,0))*SR_mission_minutes!Q45)*POWER(1+(#REF!/100),Q$1-2021),"-")</f>
        <v>-</v>
      </c>
      <c r="R191" s="105" t="str">
        <f>IFERROR((INDEX(lifespans_all!R$205:R$212,MATCH($B191,lifespans_all!$B$205:$B$212,0))*SR_mission_minutes!R45)*POWER(1+(#REF!/100),R$1-2021),"-")</f>
        <v>-</v>
      </c>
      <c r="S191" s="105" t="str">
        <f>IFERROR((INDEX(lifespans_all!S$205:S$212,MATCH($B191,lifespans_all!$B$205:$B$212,0))*SR_mission_minutes!S45)*POWER(1+(#REF!/100),S$1-2021),"-")</f>
        <v>-</v>
      </c>
      <c r="T191" s="105" t="str">
        <f>IFERROR((INDEX(lifespans_all!T$205:T$212,MATCH($B191,lifespans_all!$B$205:$B$212,0))*SR_mission_minutes!T45)*POWER(1+(#REF!/100),T$1-2021),"-")</f>
        <v>-</v>
      </c>
      <c r="U191" s="105" t="str">
        <f>IFERROR((INDEX(lifespans_all!U$205:U$212,MATCH($B191,lifespans_all!$B$205:$B$212,0))*SR_mission_minutes!U45)*POWER(1+(#REF!/100),U$1-2021),"-")</f>
        <v>-</v>
      </c>
      <c r="V191" s="105" t="str">
        <f>IFERROR((INDEX(lifespans_all!V$205:V$212,MATCH($B191,lifespans_all!$B$205:$B$212,0))*SR_mission_minutes!V45)*POWER(1+(#REF!/100),V$1-2021),"-")</f>
        <v>-</v>
      </c>
    </row>
    <row r="192" spans="1:22" x14ac:dyDescent="0.25">
      <c r="A192" s="21" t="s">
        <v>88</v>
      </c>
      <c r="B192" s="20" t="s">
        <v>40</v>
      </c>
      <c r="C192" s="105" t="str">
        <f>IFERROR((INDEX(lifespans_all!C$205:C$212,MATCH($B192,lifespans_all!$B$205:$B$212,0))*SR_mission_minutes!C46)*POWER(1+(#REF!/100),C$1-2021),"-")</f>
        <v>-</v>
      </c>
      <c r="D192" s="105" t="str">
        <f>IFERROR((INDEX(lifespans_all!D$205:D$212,MATCH($B192,lifespans_all!$B$205:$B$212,0))*SR_mission_minutes!D46)*POWER(1+(#REF!/100),D$1-2021),"-")</f>
        <v>-</v>
      </c>
      <c r="E192" s="105" t="str">
        <f>IFERROR((INDEX(lifespans_all!E$205:E$212,MATCH($B192,lifespans_all!$B$205:$B$212,0))*SR_mission_minutes!E46)*POWER(1+(#REF!/100),E$1-2021),"-")</f>
        <v>-</v>
      </c>
      <c r="F192" s="105" t="str">
        <f>IFERROR((INDEX(lifespans_all!F$205:F$212,MATCH($B192,lifespans_all!$B$205:$B$212,0))*SR_mission_minutes!F46)*POWER(1+(#REF!/100),F$1-2021),"-")</f>
        <v>-</v>
      </c>
      <c r="G192" s="105" t="str">
        <f>IFERROR((INDEX(lifespans_all!G$205:G$212,MATCH($B192,lifespans_all!$B$205:$B$212,0))*SR_mission_minutes!G46)*POWER(1+(#REF!/100),G$1-2021),"-")</f>
        <v>-</v>
      </c>
      <c r="H192" s="105" t="str">
        <f>IFERROR((INDEX(lifespans_all!H$205:H$212,MATCH($B192,lifespans_all!$B$205:$B$212,0))*SR_mission_minutes!H46)*POWER(1+(#REF!/100),H$1-2021),"-")</f>
        <v>-</v>
      </c>
      <c r="I192" s="105" t="str">
        <f>IFERROR((INDEX(lifespans_all!I$205:I$212,MATCH($B192,lifespans_all!$B$205:$B$212,0))*SR_mission_minutes!I46)*POWER(1+(#REF!/100),I$1-2021),"-")</f>
        <v>-</v>
      </c>
      <c r="J192" s="105" t="str">
        <f>IFERROR((INDEX(lifespans_all!J$205:J$212,MATCH($B192,lifespans_all!$B$205:$B$212,0))*SR_mission_minutes!J46)*POWER(1+(#REF!/100),J$1-2021),"-")</f>
        <v>-</v>
      </c>
      <c r="K192" s="105" t="str">
        <f>IFERROR((INDEX(lifespans_all!K$205:K$212,MATCH($B192,lifespans_all!$B$205:$B$212,0))*SR_mission_minutes!K46)*POWER(1+(#REF!/100),K$1-2021),"-")</f>
        <v>-</v>
      </c>
      <c r="L192" s="105" t="str">
        <f>IFERROR((INDEX(lifespans_all!L$205:L$212,MATCH($B192,lifespans_all!$B$205:$B$212,0))*SR_mission_minutes!L46)*POWER(1+(#REF!/100),L$1-2021),"-")</f>
        <v>-</v>
      </c>
      <c r="M192" s="105" t="str">
        <f>IFERROR((INDEX(lifespans_all!M$205:M$212,MATCH($B192,lifespans_all!$B$205:$B$212,0))*SR_mission_minutes!M46)*POWER(1+(#REF!/100),M$1-2021),"-")</f>
        <v>-</v>
      </c>
      <c r="N192" s="105" t="str">
        <f>IFERROR((INDEX(lifespans_all!N$205:N$212,MATCH($B192,lifespans_all!$B$205:$B$212,0))*SR_mission_minutes!N46)*POWER(1+(#REF!/100),N$1-2021),"-")</f>
        <v>-</v>
      </c>
      <c r="O192" s="105" t="str">
        <f>IFERROR((INDEX(lifespans_all!O$205:O$212,MATCH($B192,lifespans_all!$B$205:$B$212,0))*SR_mission_minutes!O46)*POWER(1+(#REF!/100),O$1-2021),"-")</f>
        <v>-</v>
      </c>
      <c r="P192" s="105" t="str">
        <f>IFERROR((INDEX(lifespans_all!P$205:P$212,MATCH($B192,lifespans_all!$B$205:$B$212,0))*SR_mission_minutes!P46)*POWER(1+(#REF!/100),P$1-2021),"-")</f>
        <v>-</v>
      </c>
      <c r="Q192" s="105" t="str">
        <f>IFERROR((INDEX(lifespans_all!Q$205:Q$212,MATCH($B192,lifespans_all!$B$205:$B$212,0))*SR_mission_minutes!Q46)*POWER(1+(#REF!/100),Q$1-2021),"-")</f>
        <v>-</v>
      </c>
      <c r="R192" s="105" t="str">
        <f>IFERROR((INDEX(lifespans_all!R$205:R$212,MATCH($B192,lifespans_all!$B$205:$B$212,0))*SR_mission_minutes!R46)*POWER(1+(#REF!/100),R$1-2021),"-")</f>
        <v>-</v>
      </c>
      <c r="S192" s="105" t="str">
        <f>IFERROR((INDEX(lifespans_all!S$205:S$212,MATCH($B192,lifespans_all!$B$205:$B$212,0))*SR_mission_minutes!S46)*POWER(1+(#REF!/100),S$1-2021),"-")</f>
        <v>-</v>
      </c>
      <c r="T192" s="105" t="str">
        <f>IFERROR((INDEX(lifespans_all!T$205:T$212,MATCH($B192,lifespans_all!$B$205:$B$212,0))*SR_mission_minutes!T46)*POWER(1+(#REF!/100),T$1-2021),"-")</f>
        <v>-</v>
      </c>
      <c r="U192" s="105" t="str">
        <f>IFERROR((INDEX(lifespans_all!U$205:U$212,MATCH($B192,lifespans_all!$B$205:$B$212,0))*SR_mission_minutes!U46)*POWER(1+(#REF!/100),U$1-2021),"-")</f>
        <v>-</v>
      </c>
      <c r="V192" s="105" t="str">
        <f>IFERROR((INDEX(lifespans_all!V$205:V$212,MATCH($B192,lifespans_all!$B$205:$B$212,0))*SR_mission_minutes!V46)*POWER(1+(#REF!/100),V$1-2021),"-")</f>
        <v>-</v>
      </c>
    </row>
    <row r="193" spans="1:22" x14ac:dyDescent="0.25">
      <c r="A193" s="21" t="s">
        <v>88</v>
      </c>
      <c r="B193" s="20" t="s">
        <v>80</v>
      </c>
      <c r="C193" s="105" t="str">
        <f>IFERROR((INDEX(lifespans_all!C$205:C$212,MATCH($B193,lifespans_all!$B$205:$B$212,0))*SR_mission_minutes!C47)*POWER(1+(#REF!/100),C$1-2021),"-")</f>
        <v>-</v>
      </c>
      <c r="D193" s="105" t="str">
        <f>IFERROR((INDEX(lifespans_all!D$205:D$212,MATCH($B193,lifespans_all!$B$205:$B$212,0))*SR_mission_minutes!D47)*POWER(1+(#REF!/100),D$1-2021),"-")</f>
        <v>-</v>
      </c>
      <c r="E193" s="105" t="str">
        <f>IFERROR((INDEX(lifespans_all!E$205:E$212,MATCH($B193,lifespans_all!$B$205:$B$212,0))*SR_mission_minutes!E47)*POWER(1+(#REF!/100),E$1-2021),"-")</f>
        <v>-</v>
      </c>
      <c r="F193" s="105" t="str">
        <f>IFERROR((INDEX(lifespans_all!F$205:F$212,MATCH($B193,lifespans_all!$B$205:$B$212,0))*SR_mission_minutes!F47)*POWER(1+(#REF!/100),F$1-2021),"-")</f>
        <v>-</v>
      </c>
      <c r="G193" s="105" t="str">
        <f>IFERROR((INDEX(lifespans_all!G$205:G$212,MATCH($B193,lifespans_all!$B$205:$B$212,0))*SR_mission_minutes!G47)*POWER(1+(#REF!/100),G$1-2021),"-")</f>
        <v>-</v>
      </c>
      <c r="H193" s="105" t="str">
        <f>IFERROR((INDEX(lifespans_all!H$205:H$212,MATCH($B193,lifespans_all!$B$205:$B$212,0))*SR_mission_minutes!H47)*POWER(1+(#REF!/100),H$1-2021),"-")</f>
        <v>-</v>
      </c>
      <c r="I193" s="105" t="str">
        <f>IFERROR((INDEX(lifespans_all!I$205:I$212,MATCH($B193,lifespans_all!$B$205:$B$212,0))*SR_mission_minutes!I47)*POWER(1+(#REF!/100),I$1-2021),"-")</f>
        <v>-</v>
      </c>
      <c r="J193" s="105" t="str">
        <f>IFERROR((INDEX(lifespans_all!J$205:J$212,MATCH($B193,lifespans_all!$B$205:$B$212,0))*SR_mission_minutes!J47)*POWER(1+(#REF!/100),J$1-2021),"-")</f>
        <v>-</v>
      </c>
      <c r="K193" s="105" t="str">
        <f>IFERROR((INDEX(lifespans_all!K$205:K$212,MATCH($B193,lifespans_all!$B$205:$B$212,0))*SR_mission_minutes!K47)*POWER(1+(#REF!/100),K$1-2021),"-")</f>
        <v>-</v>
      </c>
      <c r="L193" s="105" t="str">
        <f>IFERROR((INDEX(lifespans_all!L$205:L$212,MATCH($B193,lifespans_all!$B$205:$B$212,0))*SR_mission_minutes!L47)*POWER(1+(#REF!/100),L$1-2021),"-")</f>
        <v>-</v>
      </c>
      <c r="M193" s="105" t="str">
        <f>IFERROR((INDEX(lifespans_all!M$205:M$212,MATCH($B193,lifespans_all!$B$205:$B$212,0))*SR_mission_minutes!M47)*POWER(1+(#REF!/100),M$1-2021),"-")</f>
        <v>-</v>
      </c>
      <c r="N193" s="105" t="str">
        <f>IFERROR((INDEX(lifespans_all!N$205:N$212,MATCH($B193,lifespans_all!$B$205:$B$212,0))*SR_mission_minutes!N47)*POWER(1+(#REF!/100),N$1-2021),"-")</f>
        <v>-</v>
      </c>
      <c r="O193" s="105" t="str">
        <f>IFERROR((INDEX(lifespans_all!O$205:O$212,MATCH($B193,lifespans_all!$B$205:$B$212,0))*SR_mission_minutes!O47)*POWER(1+(#REF!/100),O$1-2021),"-")</f>
        <v>-</v>
      </c>
      <c r="P193" s="105" t="str">
        <f>IFERROR((INDEX(lifespans_all!P$205:P$212,MATCH($B193,lifespans_all!$B$205:$B$212,0))*SR_mission_minutes!P47)*POWER(1+(#REF!/100),P$1-2021),"-")</f>
        <v>-</v>
      </c>
      <c r="Q193" s="105" t="str">
        <f>IFERROR((INDEX(lifespans_all!Q$205:Q$212,MATCH($B193,lifespans_all!$B$205:$B$212,0))*SR_mission_minutes!Q47)*POWER(1+(#REF!/100),Q$1-2021),"-")</f>
        <v>-</v>
      </c>
      <c r="R193" s="105" t="str">
        <f>IFERROR((INDEX(lifespans_all!R$205:R$212,MATCH($B193,lifespans_all!$B$205:$B$212,0))*SR_mission_minutes!R47)*POWER(1+(#REF!/100),R$1-2021),"-")</f>
        <v>-</v>
      </c>
      <c r="S193" s="105" t="str">
        <f>IFERROR((INDEX(lifespans_all!S$205:S$212,MATCH($B193,lifespans_all!$B$205:$B$212,0))*SR_mission_minutes!S47)*POWER(1+(#REF!/100),S$1-2021),"-")</f>
        <v>-</v>
      </c>
      <c r="T193" s="105" t="str">
        <f>IFERROR((INDEX(lifespans_all!T$205:T$212,MATCH($B193,lifespans_all!$B$205:$B$212,0))*SR_mission_minutes!T47)*POWER(1+(#REF!/100),T$1-2021),"-")</f>
        <v>-</v>
      </c>
      <c r="U193" s="105" t="str">
        <f>IFERROR((INDEX(lifespans_all!U$205:U$212,MATCH($B193,lifespans_all!$B$205:$B$212,0))*SR_mission_minutes!U47)*POWER(1+(#REF!/100),U$1-2021),"-")</f>
        <v>-</v>
      </c>
      <c r="V193" s="105" t="str">
        <f>IFERROR((INDEX(lifespans_all!V$205:V$212,MATCH($B193,lifespans_all!$B$205:$B$212,0))*SR_mission_minutes!V47)*POWER(1+(#REF!/100),V$1-2021),"-")</f>
        <v>-</v>
      </c>
    </row>
    <row r="194" spans="1:22" x14ac:dyDescent="0.25">
      <c r="A194" s="21" t="s">
        <v>88</v>
      </c>
      <c r="B194" s="20" t="s">
        <v>44</v>
      </c>
      <c r="C194" s="105" t="str">
        <f>IFERROR((INDEX(lifespans_all!C$205:C$212,MATCH($B194,lifespans_all!$B$205:$B$212,0))*SR_mission_minutes!C48)*POWER(1+(#REF!/100),C$1-2021),"-")</f>
        <v>-</v>
      </c>
      <c r="D194" s="105" t="str">
        <f>IFERROR((INDEX(lifespans_all!D$205:D$212,MATCH($B194,lifespans_all!$B$205:$B$212,0))*SR_mission_minutes!D48)*POWER(1+(#REF!/100),D$1-2021),"-")</f>
        <v>-</v>
      </c>
      <c r="E194" s="105" t="str">
        <f>IFERROR((INDEX(lifespans_all!E$205:E$212,MATCH($B194,lifespans_all!$B$205:$B$212,0))*SR_mission_minutes!E48)*POWER(1+(#REF!/100),E$1-2021),"-")</f>
        <v>-</v>
      </c>
      <c r="F194" s="105" t="str">
        <f>IFERROR((INDEX(lifespans_all!F$205:F$212,MATCH($B194,lifespans_all!$B$205:$B$212,0))*SR_mission_minutes!F48)*POWER(1+(#REF!/100),F$1-2021),"-")</f>
        <v>-</v>
      </c>
      <c r="G194" s="105" t="str">
        <f>IFERROR((INDEX(lifespans_all!G$205:G$212,MATCH($B194,lifespans_all!$B$205:$B$212,0))*SR_mission_minutes!G48)*POWER(1+(#REF!/100),G$1-2021),"-")</f>
        <v>-</v>
      </c>
      <c r="H194" s="105" t="str">
        <f>IFERROR((INDEX(lifespans_all!H$205:H$212,MATCH($B194,lifespans_all!$B$205:$B$212,0))*SR_mission_minutes!H48)*POWER(1+(#REF!/100),H$1-2021),"-")</f>
        <v>-</v>
      </c>
      <c r="I194" s="105" t="str">
        <f>IFERROR((INDEX(lifespans_all!I$205:I$212,MATCH($B194,lifespans_all!$B$205:$B$212,0))*SR_mission_minutes!I48)*POWER(1+(#REF!/100),I$1-2021),"-")</f>
        <v>-</v>
      </c>
      <c r="J194" s="105" t="str">
        <f>IFERROR((INDEX(lifespans_all!J$205:J$212,MATCH($B194,lifespans_all!$B$205:$B$212,0))*SR_mission_minutes!J48)*POWER(1+(#REF!/100),J$1-2021),"-")</f>
        <v>-</v>
      </c>
      <c r="K194" s="105" t="str">
        <f>IFERROR((INDEX(lifespans_all!K$205:K$212,MATCH($B194,lifespans_all!$B$205:$B$212,0))*SR_mission_minutes!K48)*POWER(1+(#REF!/100),K$1-2021),"-")</f>
        <v>-</v>
      </c>
      <c r="L194" s="105" t="str">
        <f>IFERROR((INDEX(lifespans_all!L$205:L$212,MATCH($B194,lifespans_all!$B$205:$B$212,0))*SR_mission_minutes!L48)*POWER(1+(#REF!/100),L$1-2021),"-")</f>
        <v>-</v>
      </c>
      <c r="M194" s="105" t="str">
        <f>IFERROR((INDEX(lifespans_all!M$205:M$212,MATCH($B194,lifespans_all!$B$205:$B$212,0))*SR_mission_minutes!M48)*POWER(1+(#REF!/100),M$1-2021),"-")</f>
        <v>-</v>
      </c>
      <c r="N194" s="105" t="str">
        <f>IFERROR((INDEX(lifespans_all!N$205:N$212,MATCH($B194,lifespans_all!$B$205:$B$212,0))*SR_mission_minutes!N48)*POWER(1+(#REF!/100),N$1-2021),"-")</f>
        <v>-</v>
      </c>
      <c r="O194" s="105" t="str">
        <f>IFERROR((INDEX(lifespans_all!O$205:O$212,MATCH($B194,lifespans_all!$B$205:$B$212,0))*SR_mission_minutes!O48)*POWER(1+(#REF!/100),O$1-2021),"-")</f>
        <v>-</v>
      </c>
      <c r="P194" s="105" t="str">
        <f>IFERROR((INDEX(lifespans_all!P$205:P$212,MATCH($B194,lifespans_all!$B$205:$B$212,0))*SR_mission_minutes!P48)*POWER(1+(#REF!/100),P$1-2021),"-")</f>
        <v>-</v>
      </c>
      <c r="Q194" s="105" t="str">
        <f>IFERROR((INDEX(lifespans_all!Q$205:Q$212,MATCH($B194,lifespans_all!$B$205:$B$212,0))*SR_mission_minutes!Q48)*POWER(1+(#REF!/100),Q$1-2021),"-")</f>
        <v>-</v>
      </c>
      <c r="R194" s="105" t="str">
        <f>IFERROR((INDEX(lifespans_all!R$205:R$212,MATCH($B194,lifespans_all!$B$205:$B$212,0))*SR_mission_minutes!R48)*POWER(1+(#REF!/100),R$1-2021),"-")</f>
        <v>-</v>
      </c>
      <c r="S194" s="105" t="str">
        <f>IFERROR((INDEX(lifespans_all!S$205:S$212,MATCH($B194,lifespans_all!$B$205:$B$212,0))*SR_mission_minutes!S48)*POWER(1+(#REF!/100),S$1-2021),"-")</f>
        <v>-</v>
      </c>
      <c r="T194" s="105" t="str">
        <f>IFERROR((INDEX(lifespans_all!T$205:T$212,MATCH($B194,lifespans_all!$B$205:$B$212,0))*SR_mission_minutes!T48)*POWER(1+(#REF!/100),T$1-2021),"-")</f>
        <v>-</v>
      </c>
      <c r="U194" s="105" t="str">
        <f>IFERROR((INDEX(lifespans_all!U$205:U$212,MATCH($B194,lifespans_all!$B$205:$B$212,0))*SR_mission_minutes!U48)*POWER(1+(#REF!/100),U$1-2021),"-")</f>
        <v>-</v>
      </c>
      <c r="V194" s="105" t="str">
        <f>IFERROR((INDEX(lifespans_all!V$205:V$212,MATCH($B194,lifespans_all!$B$205:$B$212,0))*SR_mission_minutes!V48)*POWER(1+(#REF!/100),V$1-2021),"-")</f>
        <v>-</v>
      </c>
    </row>
    <row r="195" spans="1:22" x14ac:dyDescent="0.25">
      <c r="A195" s="21" t="s">
        <v>88</v>
      </c>
      <c r="B195" s="20" t="s">
        <v>81</v>
      </c>
      <c r="C195" s="105" t="str">
        <f>IFERROR((INDEX(lifespans_all!C$205:C$212,MATCH($B195,lifespans_all!$B$205:$B$212,0))*SR_mission_minutes!C49)*POWER(1+(#REF!/100),C$1-2021),"-")</f>
        <v>-</v>
      </c>
      <c r="D195" s="105" t="str">
        <f>IFERROR((INDEX(lifespans_all!D$205:D$212,MATCH($B195,lifespans_all!$B$205:$B$212,0))*SR_mission_minutes!D49)*POWER(1+(#REF!/100),D$1-2021),"-")</f>
        <v>-</v>
      </c>
      <c r="E195" s="105" t="str">
        <f>IFERROR((INDEX(lifespans_all!E$205:E$212,MATCH($B195,lifespans_all!$B$205:$B$212,0))*SR_mission_minutes!E49)*POWER(1+(#REF!/100),E$1-2021),"-")</f>
        <v>-</v>
      </c>
      <c r="F195" s="105" t="str">
        <f>IFERROR((INDEX(lifespans_all!F$205:F$212,MATCH($B195,lifespans_all!$B$205:$B$212,0))*SR_mission_minutes!F49)*POWER(1+(#REF!/100),F$1-2021),"-")</f>
        <v>-</v>
      </c>
      <c r="G195" s="105" t="str">
        <f>IFERROR((INDEX(lifespans_all!G$205:G$212,MATCH($B195,lifespans_all!$B$205:$B$212,0))*SR_mission_minutes!G49)*POWER(1+(#REF!/100),G$1-2021),"-")</f>
        <v>-</v>
      </c>
      <c r="H195" s="105" t="str">
        <f>IFERROR((INDEX(lifespans_all!H$205:H$212,MATCH($B195,lifespans_all!$B$205:$B$212,0))*SR_mission_minutes!H49)*POWER(1+(#REF!/100),H$1-2021),"-")</f>
        <v>-</v>
      </c>
      <c r="I195" s="105" t="str">
        <f>IFERROR((INDEX(lifespans_all!I$205:I$212,MATCH($B195,lifespans_all!$B$205:$B$212,0))*SR_mission_minutes!I49)*POWER(1+(#REF!/100),I$1-2021),"-")</f>
        <v>-</v>
      </c>
      <c r="J195" s="105" t="str">
        <f>IFERROR((INDEX(lifespans_all!J$205:J$212,MATCH($B195,lifespans_all!$B$205:$B$212,0))*SR_mission_minutes!J49)*POWER(1+(#REF!/100),J$1-2021),"-")</f>
        <v>-</v>
      </c>
      <c r="K195" s="105" t="str">
        <f>IFERROR((INDEX(lifespans_all!K$205:K$212,MATCH($B195,lifespans_all!$B$205:$B$212,0))*SR_mission_minutes!K49)*POWER(1+(#REF!/100),K$1-2021),"-")</f>
        <v>-</v>
      </c>
      <c r="L195" s="105" t="str">
        <f>IFERROR((INDEX(lifespans_all!L$205:L$212,MATCH($B195,lifespans_all!$B$205:$B$212,0))*SR_mission_minutes!L49)*POWER(1+(#REF!/100),L$1-2021),"-")</f>
        <v>-</v>
      </c>
      <c r="M195" s="105" t="str">
        <f>IFERROR((INDEX(lifespans_all!M$205:M$212,MATCH($B195,lifespans_all!$B$205:$B$212,0))*SR_mission_minutes!M49)*POWER(1+(#REF!/100),M$1-2021),"-")</f>
        <v>-</v>
      </c>
      <c r="N195" s="105" t="str">
        <f>IFERROR((INDEX(lifespans_all!N$205:N$212,MATCH($B195,lifespans_all!$B$205:$B$212,0))*SR_mission_minutes!N49)*POWER(1+(#REF!/100),N$1-2021),"-")</f>
        <v>-</v>
      </c>
      <c r="O195" s="105" t="str">
        <f>IFERROR((INDEX(lifespans_all!O$205:O$212,MATCH($B195,lifespans_all!$B$205:$B$212,0))*SR_mission_minutes!O49)*POWER(1+(#REF!/100),O$1-2021),"-")</f>
        <v>-</v>
      </c>
      <c r="P195" s="105" t="str">
        <f>IFERROR((INDEX(lifespans_all!P$205:P$212,MATCH($B195,lifespans_all!$B$205:$B$212,0))*SR_mission_minutes!P49)*POWER(1+(#REF!/100),P$1-2021),"-")</f>
        <v>-</v>
      </c>
      <c r="Q195" s="105" t="str">
        <f>IFERROR((INDEX(lifespans_all!Q$205:Q$212,MATCH($B195,lifespans_all!$B$205:$B$212,0))*SR_mission_minutes!Q49)*POWER(1+(#REF!/100),Q$1-2021),"-")</f>
        <v>-</v>
      </c>
      <c r="R195" s="105" t="str">
        <f>IFERROR((INDEX(lifespans_all!R$205:R$212,MATCH($B195,lifespans_all!$B$205:$B$212,0))*SR_mission_minutes!R49)*POWER(1+(#REF!/100),R$1-2021),"-")</f>
        <v>-</v>
      </c>
      <c r="S195" s="105" t="str">
        <f>IFERROR((INDEX(lifespans_all!S$205:S$212,MATCH($B195,lifespans_all!$B$205:$B$212,0))*SR_mission_minutes!S49)*POWER(1+(#REF!/100),S$1-2021),"-")</f>
        <v>-</v>
      </c>
      <c r="T195" s="105" t="str">
        <f>IFERROR((INDEX(lifespans_all!T$205:T$212,MATCH($B195,lifespans_all!$B$205:$B$212,0))*SR_mission_minutes!T49)*POWER(1+(#REF!/100),T$1-2021),"-")</f>
        <v>-</v>
      </c>
      <c r="U195" s="105" t="str">
        <f>IFERROR((INDEX(lifespans_all!U$205:U$212,MATCH($B195,lifespans_all!$B$205:$B$212,0))*SR_mission_minutes!U49)*POWER(1+(#REF!/100),U$1-2021),"-")</f>
        <v>-</v>
      </c>
      <c r="V195" s="105" t="str">
        <f>IFERROR((INDEX(lifespans_all!V$205:V$212,MATCH($B195,lifespans_all!$B$205:$B$212,0))*SR_mission_minutes!V49)*POWER(1+(#REF!/100),V$1-2021),"-")</f>
        <v>-</v>
      </c>
    </row>
    <row r="196" spans="1:22" x14ac:dyDescent="0.25">
      <c r="A196" s="21" t="s">
        <v>88</v>
      </c>
      <c r="B196" s="20" t="s">
        <v>42</v>
      </c>
      <c r="C196" s="105" t="str">
        <f>IFERROR((INDEX(lifespans_all!C$205:C$212,MATCH($B196,lifespans_all!$B$205:$B$212,0))*SR_mission_minutes!C50)*POWER(1+(#REF!/100),C$1-2021),"-")</f>
        <v>-</v>
      </c>
      <c r="D196" s="105" t="str">
        <f>IFERROR((INDEX(lifespans_all!D$205:D$212,MATCH($B196,lifespans_all!$B$205:$B$212,0))*SR_mission_minutes!D50)*POWER(1+(#REF!/100),D$1-2021),"-")</f>
        <v>-</v>
      </c>
      <c r="E196" s="105" t="str">
        <f>IFERROR((INDEX(lifespans_all!E$205:E$212,MATCH($B196,lifespans_all!$B$205:$B$212,0))*SR_mission_minutes!E50)*POWER(1+(#REF!/100),E$1-2021),"-")</f>
        <v>-</v>
      </c>
      <c r="F196" s="105" t="str">
        <f>IFERROR((INDEX(lifespans_all!F$205:F$212,MATCH($B196,lifespans_all!$B$205:$B$212,0))*SR_mission_minutes!F50)*POWER(1+(#REF!/100),F$1-2021),"-")</f>
        <v>-</v>
      </c>
      <c r="G196" s="105" t="str">
        <f>IFERROR((INDEX(lifespans_all!G$205:G$212,MATCH($B196,lifespans_all!$B$205:$B$212,0))*SR_mission_minutes!G50)*POWER(1+(#REF!/100),G$1-2021),"-")</f>
        <v>-</v>
      </c>
      <c r="H196" s="105" t="str">
        <f>IFERROR((INDEX(lifespans_all!H$205:H$212,MATCH($B196,lifespans_all!$B$205:$B$212,0))*SR_mission_minutes!H50)*POWER(1+(#REF!/100),H$1-2021),"-")</f>
        <v>-</v>
      </c>
      <c r="I196" s="105" t="str">
        <f>IFERROR((INDEX(lifespans_all!I$205:I$212,MATCH($B196,lifespans_all!$B$205:$B$212,0))*SR_mission_minutes!I50)*POWER(1+(#REF!/100),I$1-2021),"-")</f>
        <v>-</v>
      </c>
      <c r="J196" s="105" t="str">
        <f>IFERROR((INDEX(lifespans_all!J$205:J$212,MATCH($B196,lifespans_all!$B$205:$B$212,0))*SR_mission_minutes!J50)*POWER(1+(#REF!/100),J$1-2021),"-")</f>
        <v>-</v>
      </c>
      <c r="K196" s="105" t="str">
        <f>IFERROR((INDEX(lifespans_all!K$205:K$212,MATCH($B196,lifespans_all!$B$205:$B$212,0))*SR_mission_minutes!K50)*POWER(1+(#REF!/100),K$1-2021),"-")</f>
        <v>-</v>
      </c>
      <c r="L196" s="105" t="str">
        <f>IFERROR((INDEX(lifespans_all!L$205:L$212,MATCH($B196,lifespans_all!$B$205:$B$212,0))*SR_mission_minutes!L50)*POWER(1+(#REF!/100),L$1-2021),"-")</f>
        <v>-</v>
      </c>
      <c r="M196" s="105" t="str">
        <f>IFERROR((INDEX(lifespans_all!M$205:M$212,MATCH($B196,lifespans_all!$B$205:$B$212,0))*SR_mission_minutes!M50)*POWER(1+(#REF!/100),M$1-2021),"-")</f>
        <v>-</v>
      </c>
      <c r="N196" s="105" t="str">
        <f>IFERROR((INDEX(lifespans_all!N$205:N$212,MATCH($B196,lifespans_all!$B$205:$B$212,0))*SR_mission_minutes!N50)*POWER(1+(#REF!/100),N$1-2021),"-")</f>
        <v>-</v>
      </c>
      <c r="O196" s="105" t="str">
        <f>IFERROR((INDEX(lifespans_all!O$205:O$212,MATCH($B196,lifespans_all!$B$205:$B$212,0))*SR_mission_minutes!O50)*POWER(1+(#REF!/100),O$1-2021),"-")</f>
        <v>-</v>
      </c>
      <c r="P196" s="105" t="str">
        <f>IFERROR((INDEX(lifespans_all!P$205:P$212,MATCH($B196,lifespans_all!$B$205:$B$212,0))*SR_mission_minutes!P50)*POWER(1+(#REF!/100),P$1-2021),"-")</f>
        <v>-</v>
      </c>
      <c r="Q196" s="105" t="str">
        <f>IFERROR((INDEX(lifespans_all!Q$205:Q$212,MATCH($B196,lifespans_all!$B$205:$B$212,0))*SR_mission_minutes!Q50)*POWER(1+(#REF!/100),Q$1-2021),"-")</f>
        <v>-</v>
      </c>
      <c r="R196" s="105" t="str">
        <f>IFERROR((INDEX(lifespans_all!R$205:R$212,MATCH($B196,lifespans_all!$B$205:$B$212,0))*SR_mission_minutes!R50)*POWER(1+(#REF!/100),R$1-2021),"-")</f>
        <v>-</v>
      </c>
      <c r="S196" s="105" t="str">
        <f>IFERROR((INDEX(lifespans_all!S$205:S$212,MATCH($B196,lifespans_all!$B$205:$B$212,0))*SR_mission_minutes!S50)*POWER(1+(#REF!/100),S$1-2021),"-")</f>
        <v>-</v>
      </c>
      <c r="T196" s="105" t="str">
        <f>IFERROR((INDEX(lifespans_all!T$205:T$212,MATCH($B196,lifespans_all!$B$205:$B$212,0))*SR_mission_minutes!T50)*POWER(1+(#REF!/100),T$1-2021),"-")</f>
        <v>-</v>
      </c>
      <c r="U196" s="105" t="str">
        <f>IFERROR((INDEX(lifespans_all!U$205:U$212,MATCH($B196,lifespans_all!$B$205:$B$212,0))*SR_mission_minutes!U50)*POWER(1+(#REF!/100),U$1-2021),"-")</f>
        <v>-</v>
      </c>
      <c r="V196" s="105" t="str">
        <f>IFERROR((INDEX(lifespans_all!V$205:V$212,MATCH($B196,lifespans_all!$B$205:$B$212,0))*SR_mission_minutes!V50)*POWER(1+(#REF!/100),V$1-2021),"-")</f>
        <v>-</v>
      </c>
    </row>
    <row r="197" spans="1:22" x14ac:dyDescent="0.25">
      <c r="A197" s="21" t="s">
        <v>88</v>
      </c>
      <c r="B197" s="20" t="s">
        <v>45</v>
      </c>
      <c r="C197" s="105" t="str">
        <f>IFERROR((INDEX(lifespans_all!C$205:C$212,MATCH($B197,lifespans_all!$B$205:$B$212,0))*SR_mission_minutes!C51)*POWER(1+(#REF!/100),C$1-2021),"-")</f>
        <v>-</v>
      </c>
      <c r="D197" s="105" t="str">
        <f>IFERROR((INDEX(lifespans_all!D$205:D$212,MATCH($B197,lifespans_all!$B$205:$B$212,0))*SR_mission_minutes!D51)*POWER(1+(#REF!/100),D$1-2021),"-")</f>
        <v>-</v>
      </c>
      <c r="E197" s="105" t="str">
        <f>IFERROR((INDEX(lifespans_all!E$205:E$212,MATCH($B197,lifespans_all!$B$205:$B$212,0))*SR_mission_minutes!E51)*POWER(1+(#REF!/100),E$1-2021),"-")</f>
        <v>-</v>
      </c>
      <c r="F197" s="105" t="str">
        <f>IFERROR((INDEX(lifespans_all!F$205:F$212,MATCH($B197,lifespans_all!$B$205:$B$212,0))*SR_mission_minutes!F51)*POWER(1+(#REF!/100),F$1-2021),"-")</f>
        <v>-</v>
      </c>
      <c r="G197" s="105" t="str">
        <f>IFERROR((INDEX(lifespans_all!G$205:G$212,MATCH($B197,lifespans_all!$B$205:$B$212,0))*SR_mission_minutes!G51)*POWER(1+(#REF!/100),G$1-2021),"-")</f>
        <v>-</v>
      </c>
      <c r="H197" s="105" t="str">
        <f>IFERROR((INDEX(lifespans_all!H$205:H$212,MATCH($B197,lifespans_all!$B$205:$B$212,0))*SR_mission_minutes!H51)*POWER(1+(#REF!/100),H$1-2021),"-")</f>
        <v>-</v>
      </c>
      <c r="I197" s="105" t="str">
        <f>IFERROR((INDEX(lifespans_all!I$205:I$212,MATCH($B197,lifespans_all!$B$205:$B$212,0))*SR_mission_minutes!I51)*POWER(1+(#REF!/100),I$1-2021),"-")</f>
        <v>-</v>
      </c>
      <c r="J197" s="105" t="str">
        <f>IFERROR((INDEX(lifespans_all!J$205:J$212,MATCH($B197,lifespans_all!$B$205:$B$212,0))*SR_mission_minutes!J51)*POWER(1+(#REF!/100),J$1-2021),"-")</f>
        <v>-</v>
      </c>
      <c r="K197" s="105" t="str">
        <f>IFERROR((INDEX(lifespans_all!K$205:K$212,MATCH($B197,lifespans_all!$B$205:$B$212,0))*SR_mission_minutes!K51)*POWER(1+(#REF!/100),K$1-2021),"-")</f>
        <v>-</v>
      </c>
      <c r="L197" s="105" t="str">
        <f>IFERROR((INDEX(lifespans_all!L$205:L$212,MATCH($B197,lifespans_all!$B$205:$B$212,0))*SR_mission_minutes!L51)*POWER(1+(#REF!/100),L$1-2021),"-")</f>
        <v>-</v>
      </c>
      <c r="M197" s="105" t="str">
        <f>IFERROR((INDEX(lifespans_all!M$205:M$212,MATCH($B197,lifespans_all!$B$205:$B$212,0))*SR_mission_minutes!M51)*POWER(1+(#REF!/100),M$1-2021),"-")</f>
        <v>-</v>
      </c>
      <c r="N197" s="105" t="str">
        <f>IFERROR((INDEX(lifespans_all!N$205:N$212,MATCH($B197,lifespans_all!$B$205:$B$212,0))*SR_mission_minutes!N51)*POWER(1+(#REF!/100),N$1-2021),"-")</f>
        <v>-</v>
      </c>
      <c r="O197" s="105" t="str">
        <f>IFERROR((INDEX(lifespans_all!O$205:O$212,MATCH($B197,lifespans_all!$B$205:$B$212,0))*SR_mission_minutes!O51)*POWER(1+(#REF!/100),O$1-2021),"-")</f>
        <v>-</v>
      </c>
      <c r="P197" s="105" t="str">
        <f>IFERROR((INDEX(lifespans_all!P$205:P$212,MATCH($B197,lifespans_all!$B$205:$B$212,0))*SR_mission_minutes!P51)*POWER(1+(#REF!/100),P$1-2021),"-")</f>
        <v>-</v>
      </c>
      <c r="Q197" s="105" t="str">
        <f>IFERROR((INDEX(lifespans_all!Q$205:Q$212,MATCH($B197,lifespans_all!$B$205:$B$212,0))*SR_mission_minutes!Q51)*POWER(1+(#REF!/100),Q$1-2021),"-")</f>
        <v>-</v>
      </c>
      <c r="R197" s="105" t="str">
        <f>IFERROR((INDEX(lifespans_all!R$205:R$212,MATCH($B197,lifespans_all!$B$205:$B$212,0))*SR_mission_minutes!R51)*POWER(1+(#REF!/100),R$1-2021),"-")</f>
        <v>-</v>
      </c>
      <c r="S197" s="105" t="str">
        <f>IFERROR((INDEX(lifespans_all!S$205:S$212,MATCH($B197,lifespans_all!$B$205:$B$212,0))*SR_mission_minutes!S51)*POWER(1+(#REF!/100),S$1-2021),"-")</f>
        <v>-</v>
      </c>
      <c r="T197" s="105" t="str">
        <f>IFERROR((INDEX(lifespans_all!T$205:T$212,MATCH($B197,lifespans_all!$B$205:$B$212,0))*SR_mission_minutes!T51)*POWER(1+(#REF!/100),T$1-2021),"-")</f>
        <v>-</v>
      </c>
      <c r="U197" s="105" t="str">
        <f>IFERROR((INDEX(lifespans_all!U$205:U$212,MATCH($B197,lifespans_all!$B$205:$B$212,0))*SR_mission_minutes!U51)*POWER(1+(#REF!/100),U$1-2021),"-")</f>
        <v>-</v>
      </c>
      <c r="V197" s="105" t="str">
        <f>IFERROR((INDEX(lifespans_all!V$205:V$212,MATCH($B197,lifespans_all!$B$205:$B$212,0))*SR_mission_minutes!V51)*POWER(1+(#REF!/100),V$1-2021),"-")</f>
        <v>-</v>
      </c>
    </row>
    <row r="198" spans="1:22" x14ac:dyDescent="0.25">
      <c r="A198" s="45"/>
      <c r="B198" s="45"/>
      <c r="C198" s="118"/>
      <c r="D198" s="2"/>
      <c r="E198" s="2"/>
      <c r="F198" s="2"/>
      <c r="G198" s="2"/>
      <c r="H198" s="2"/>
      <c r="I198" s="2"/>
      <c r="J198" s="2"/>
      <c r="K198" s="2"/>
      <c r="L198" s="2"/>
      <c r="M198" s="2"/>
      <c r="N198" s="2"/>
      <c r="O198" s="2"/>
      <c r="P198" s="2"/>
      <c r="Q198" s="2"/>
      <c r="R198" s="2"/>
      <c r="S198" s="2"/>
      <c r="T198" s="2"/>
      <c r="U198" s="2"/>
      <c r="V198" s="2"/>
    </row>
    <row r="199" spans="1:22" x14ac:dyDescent="0.25">
      <c r="A199" s="45"/>
      <c r="B199" s="45"/>
      <c r="C199" s="22">
        <f t="shared" ref="C199:U199" si="26">SUM(C148:C197)</f>
        <v>1676114.912698413</v>
      </c>
      <c r="D199" s="22">
        <f t="shared" si="26"/>
        <v>1442274.4126984125</v>
      </c>
      <c r="E199" s="22">
        <f t="shared" si="26"/>
        <v>1435181.5555555555</v>
      </c>
      <c r="F199" s="22">
        <f t="shared" si="26"/>
        <v>1301780.7777777778</v>
      </c>
      <c r="G199" s="22">
        <f t="shared" si="26"/>
        <v>1131886.1666666667</v>
      </c>
      <c r="H199" s="22">
        <f t="shared" si="26"/>
        <v>898045.66666666674</v>
      </c>
      <c r="I199" s="22">
        <f t="shared" si="26"/>
        <v>697944.49999999988</v>
      </c>
      <c r="J199" s="22">
        <f t="shared" si="26"/>
        <v>564543.72222222225</v>
      </c>
      <c r="K199" s="22">
        <f t="shared" si="26"/>
        <v>564543.72222222225</v>
      </c>
      <c r="L199" s="22">
        <f t="shared" si="26"/>
        <v>564543.72222222225</v>
      </c>
      <c r="M199" s="22">
        <f t="shared" si="26"/>
        <v>449664.72222222225</v>
      </c>
      <c r="N199" s="22">
        <f t="shared" si="26"/>
        <v>449664.72222222225</v>
      </c>
      <c r="O199" s="22">
        <f t="shared" si="26"/>
        <v>449664.72222222225</v>
      </c>
      <c r="P199" s="22">
        <f t="shared" si="26"/>
        <v>449664.72222222225</v>
      </c>
      <c r="Q199" s="22">
        <f t="shared" si="26"/>
        <v>449664.72222222225</v>
      </c>
      <c r="R199" s="22">
        <f t="shared" si="26"/>
        <v>449664.72222222225</v>
      </c>
      <c r="S199" s="22">
        <f t="shared" si="26"/>
        <v>449664.72222222225</v>
      </c>
      <c r="T199" s="22">
        <f t="shared" si="26"/>
        <v>449664.72222222225</v>
      </c>
      <c r="U199" s="22">
        <f t="shared" si="26"/>
        <v>449664.72222222225</v>
      </c>
      <c r="V199" s="22">
        <f>SUM(V148:V197)</f>
        <v>449664.72222222225</v>
      </c>
    </row>
    <row r="200" spans="1:22" ht="14.4" thickBot="1" x14ac:dyDescent="0.3">
      <c r="B200" s="2" t="s">
        <v>76</v>
      </c>
      <c r="C200" s="23"/>
      <c r="D200" s="23"/>
      <c r="E200" s="23"/>
      <c r="F200" s="23"/>
      <c r="G200" s="23"/>
      <c r="H200" s="23"/>
      <c r="I200" s="23"/>
      <c r="J200" s="23"/>
      <c r="K200" s="23"/>
      <c r="L200" s="2"/>
      <c r="M200" s="2"/>
      <c r="N200" s="23"/>
      <c r="O200" s="23"/>
      <c r="P200" s="23"/>
      <c r="Q200" s="23"/>
      <c r="R200" s="23"/>
      <c r="S200" s="23"/>
      <c r="T200" s="23"/>
      <c r="U200" s="23"/>
      <c r="V200" s="23"/>
    </row>
    <row r="201" spans="1:22" x14ac:dyDescent="0.25">
      <c r="B201" s="54" t="s">
        <v>82</v>
      </c>
      <c r="C201" s="75">
        <v>2021</v>
      </c>
      <c r="D201" s="76">
        <v>2022</v>
      </c>
      <c r="E201" s="75">
        <v>2023</v>
      </c>
      <c r="F201" s="76">
        <v>2024</v>
      </c>
      <c r="G201" s="75">
        <v>2025</v>
      </c>
      <c r="H201" s="76">
        <v>2026</v>
      </c>
      <c r="I201" s="75">
        <v>2027</v>
      </c>
      <c r="J201" s="76">
        <v>2028</v>
      </c>
      <c r="K201" s="75">
        <v>2029</v>
      </c>
      <c r="L201" s="76">
        <v>2030</v>
      </c>
      <c r="M201" s="75">
        <v>2031</v>
      </c>
      <c r="N201" s="76">
        <v>2032</v>
      </c>
      <c r="O201" s="75">
        <v>2033</v>
      </c>
      <c r="P201" s="76">
        <v>2034</v>
      </c>
      <c r="Q201" s="75">
        <v>2035</v>
      </c>
      <c r="R201" s="76">
        <v>2036</v>
      </c>
      <c r="S201" s="75">
        <v>2037</v>
      </c>
      <c r="T201" s="76">
        <v>2038</v>
      </c>
      <c r="U201" s="75">
        <v>2039</v>
      </c>
      <c r="V201" s="76">
        <v>2040</v>
      </c>
    </row>
    <row r="202" spans="1:22" x14ac:dyDescent="0.25">
      <c r="B202" s="33" t="s">
        <v>43</v>
      </c>
      <c r="C202" s="78">
        <f>SUMIF($B148:$B197,$B202,C$148:C$197)</f>
        <v>459516</v>
      </c>
      <c r="D202" s="78">
        <f t="shared" ref="D202:V202" si="27">SUMIF($B148:$B197,$B202,D$148:D$197)</f>
        <v>459516</v>
      </c>
      <c r="E202" s="78">
        <f t="shared" si="27"/>
        <v>459516</v>
      </c>
      <c r="F202" s="78">
        <f t="shared" si="27"/>
        <v>459516</v>
      </c>
      <c r="G202" s="78">
        <f t="shared" si="27"/>
        <v>459516</v>
      </c>
      <c r="H202" s="78">
        <f t="shared" si="27"/>
        <v>459516</v>
      </c>
      <c r="I202" s="78">
        <f t="shared" si="27"/>
        <v>459516</v>
      </c>
      <c r="J202" s="78">
        <f t="shared" si="27"/>
        <v>459516</v>
      </c>
      <c r="K202" s="78">
        <f t="shared" si="27"/>
        <v>459516</v>
      </c>
      <c r="L202" s="78">
        <f t="shared" si="27"/>
        <v>459516</v>
      </c>
      <c r="M202" s="78">
        <f t="shared" si="27"/>
        <v>344637</v>
      </c>
      <c r="N202" s="78">
        <f t="shared" si="27"/>
        <v>344637</v>
      </c>
      <c r="O202" s="78">
        <f t="shared" si="27"/>
        <v>344637</v>
      </c>
      <c r="P202" s="78">
        <f t="shared" si="27"/>
        <v>344637</v>
      </c>
      <c r="Q202" s="78">
        <f t="shared" si="27"/>
        <v>344637</v>
      </c>
      <c r="R202" s="78">
        <f t="shared" si="27"/>
        <v>344637</v>
      </c>
      <c r="S202" s="78">
        <f t="shared" si="27"/>
        <v>344637</v>
      </c>
      <c r="T202" s="78">
        <f t="shared" si="27"/>
        <v>344637</v>
      </c>
      <c r="U202" s="78">
        <f t="shared" si="27"/>
        <v>344637</v>
      </c>
      <c r="V202" s="78">
        <f t="shared" si="27"/>
        <v>344637</v>
      </c>
    </row>
    <row r="203" spans="1:22" x14ac:dyDescent="0.25">
      <c r="B203" s="33" t="s">
        <v>41</v>
      </c>
      <c r="C203" s="78">
        <f>SUMIF($B148:$B197,$B203,C$148:C$197)</f>
        <v>1100945.5555555555</v>
      </c>
      <c r="D203" s="78">
        <f t="shared" ref="D203:V203" si="28">SUMIF($B148:$B197,$B203,D$148:D$197)</f>
        <v>900844.38888888888</v>
      </c>
      <c r="E203" s="78">
        <f t="shared" si="28"/>
        <v>900844.38888888888</v>
      </c>
      <c r="F203" s="78">
        <f t="shared" si="28"/>
        <v>767443.61111111112</v>
      </c>
      <c r="G203" s="78">
        <f t="shared" si="28"/>
        <v>600303.5</v>
      </c>
      <c r="H203" s="78">
        <f t="shared" si="28"/>
        <v>400202.33333333331</v>
      </c>
      <c r="I203" s="78">
        <f t="shared" si="28"/>
        <v>200101.16666666669</v>
      </c>
      <c r="J203" s="78">
        <f t="shared" si="28"/>
        <v>66700.388888888891</v>
      </c>
      <c r="K203" s="78">
        <f t="shared" si="28"/>
        <v>66700.388888888891</v>
      </c>
      <c r="L203" s="78">
        <f t="shared" si="28"/>
        <v>66700.388888888891</v>
      </c>
      <c r="M203" s="78">
        <f t="shared" si="28"/>
        <v>66700.388888888891</v>
      </c>
      <c r="N203" s="78">
        <f t="shared" si="28"/>
        <v>66700.388888888891</v>
      </c>
      <c r="O203" s="78">
        <f t="shared" si="28"/>
        <v>66700.388888888891</v>
      </c>
      <c r="P203" s="78">
        <f t="shared" si="28"/>
        <v>66700.388888888891</v>
      </c>
      <c r="Q203" s="78">
        <f t="shared" si="28"/>
        <v>66700.388888888891</v>
      </c>
      <c r="R203" s="78">
        <f t="shared" si="28"/>
        <v>66700.388888888891</v>
      </c>
      <c r="S203" s="78">
        <f t="shared" si="28"/>
        <v>66700.388888888891</v>
      </c>
      <c r="T203" s="78">
        <f t="shared" si="28"/>
        <v>66700.388888888891</v>
      </c>
      <c r="U203" s="78">
        <f t="shared" si="28"/>
        <v>66700.388888888891</v>
      </c>
      <c r="V203" s="78">
        <f t="shared" si="28"/>
        <v>66700.388888888891</v>
      </c>
    </row>
    <row r="204" spans="1:22" x14ac:dyDescent="0.25">
      <c r="B204" s="33" t="s">
        <v>40</v>
      </c>
      <c r="C204" s="78">
        <f>SUMIF($B148:$B197,$B204,C$148:C$197)</f>
        <v>7092.8571428571431</v>
      </c>
      <c r="D204" s="78">
        <f t="shared" ref="D204:V204" si="29">SUMIF($B148:$B197,$B204,D$148:D$197)</f>
        <v>7092.8571428571431</v>
      </c>
      <c r="E204" s="78">
        <f t="shared" si="29"/>
        <v>0</v>
      </c>
      <c r="F204" s="78">
        <f t="shared" si="29"/>
        <v>0</v>
      </c>
      <c r="G204" s="78">
        <f t="shared" si="29"/>
        <v>0</v>
      </c>
      <c r="H204" s="78">
        <f t="shared" si="29"/>
        <v>0</v>
      </c>
      <c r="I204" s="78">
        <f t="shared" si="29"/>
        <v>0</v>
      </c>
      <c r="J204" s="78">
        <f t="shared" si="29"/>
        <v>0</v>
      </c>
      <c r="K204" s="78">
        <f t="shared" si="29"/>
        <v>0</v>
      </c>
      <c r="L204" s="78">
        <f t="shared" si="29"/>
        <v>0</v>
      </c>
      <c r="M204" s="78">
        <f t="shared" si="29"/>
        <v>0</v>
      </c>
      <c r="N204" s="78">
        <f t="shared" si="29"/>
        <v>0</v>
      </c>
      <c r="O204" s="78">
        <f t="shared" si="29"/>
        <v>0</v>
      </c>
      <c r="P204" s="78">
        <f t="shared" si="29"/>
        <v>0</v>
      </c>
      <c r="Q204" s="78">
        <f t="shared" si="29"/>
        <v>0</v>
      </c>
      <c r="R204" s="78">
        <f t="shared" si="29"/>
        <v>0</v>
      </c>
      <c r="S204" s="78">
        <f t="shared" si="29"/>
        <v>0</v>
      </c>
      <c r="T204" s="78">
        <f t="shared" si="29"/>
        <v>0</v>
      </c>
      <c r="U204" s="78">
        <f t="shared" si="29"/>
        <v>0</v>
      </c>
      <c r="V204" s="78">
        <f t="shared" si="29"/>
        <v>0</v>
      </c>
    </row>
    <row r="205" spans="1:22" x14ac:dyDescent="0.25">
      <c r="B205" s="33" t="s">
        <v>80</v>
      </c>
      <c r="C205" s="78">
        <f>SUMIF($B148:$B197,$B205,C$148:C$197)</f>
        <v>0</v>
      </c>
      <c r="D205" s="78">
        <f t="shared" ref="D205:V205" si="30">SUMIF($B148:$B197,$B205,D$148:D$197)</f>
        <v>0</v>
      </c>
      <c r="E205" s="78">
        <f t="shared" si="30"/>
        <v>0</v>
      </c>
      <c r="F205" s="78">
        <f t="shared" si="30"/>
        <v>0</v>
      </c>
      <c r="G205" s="78">
        <f t="shared" si="30"/>
        <v>0</v>
      </c>
      <c r="H205" s="78">
        <f t="shared" si="30"/>
        <v>0</v>
      </c>
      <c r="I205" s="78">
        <f t="shared" si="30"/>
        <v>0</v>
      </c>
      <c r="J205" s="78">
        <f t="shared" si="30"/>
        <v>0</v>
      </c>
      <c r="K205" s="78">
        <f t="shared" si="30"/>
        <v>0</v>
      </c>
      <c r="L205" s="78">
        <f t="shared" si="30"/>
        <v>0</v>
      </c>
      <c r="M205" s="78">
        <f t="shared" si="30"/>
        <v>0</v>
      </c>
      <c r="N205" s="78">
        <f t="shared" si="30"/>
        <v>0</v>
      </c>
      <c r="O205" s="78">
        <f t="shared" si="30"/>
        <v>0</v>
      </c>
      <c r="P205" s="78">
        <f t="shared" si="30"/>
        <v>0</v>
      </c>
      <c r="Q205" s="78">
        <f t="shared" si="30"/>
        <v>0</v>
      </c>
      <c r="R205" s="78">
        <f t="shared" si="30"/>
        <v>0</v>
      </c>
      <c r="S205" s="78">
        <f t="shared" si="30"/>
        <v>0</v>
      </c>
      <c r="T205" s="78">
        <f t="shared" si="30"/>
        <v>0</v>
      </c>
      <c r="U205" s="78">
        <f t="shared" si="30"/>
        <v>0</v>
      </c>
      <c r="V205" s="78">
        <f t="shared" si="30"/>
        <v>0</v>
      </c>
    </row>
    <row r="206" spans="1:22" x14ac:dyDescent="0.25">
      <c r="B206" s="33" t="s">
        <v>44</v>
      </c>
      <c r="C206" s="78">
        <f>SUMIF($B148:$B197,$B206,C$148:C$197)</f>
        <v>460.5</v>
      </c>
      <c r="D206" s="78">
        <f t="shared" ref="D206:V206" si="31">SUMIF($B148:$B197,$B206,D$148:D$197)</f>
        <v>460.5</v>
      </c>
      <c r="E206" s="78">
        <f t="shared" si="31"/>
        <v>460.5</v>
      </c>
      <c r="F206" s="78">
        <f t="shared" si="31"/>
        <v>460.5</v>
      </c>
      <c r="G206" s="78">
        <f t="shared" si="31"/>
        <v>0</v>
      </c>
      <c r="H206" s="78">
        <f t="shared" si="31"/>
        <v>0</v>
      </c>
      <c r="I206" s="78">
        <f t="shared" si="31"/>
        <v>0</v>
      </c>
      <c r="J206" s="78">
        <f t="shared" si="31"/>
        <v>0</v>
      </c>
      <c r="K206" s="78">
        <f t="shared" si="31"/>
        <v>0</v>
      </c>
      <c r="L206" s="78">
        <f t="shared" si="31"/>
        <v>0</v>
      </c>
      <c r="M206" s="78">
        <f t="shared" si="31"/>
        <v>0</v>
      </c>
      <c r="N206" s="78">
        <f t="shared" si="31"/>
        <v>0</v>
      </c>
      <c r="O206" s="78">
        <f t="shared" si="31"/>
        <v>0</v>
      </c>
      <c r="P206" s="78">
        <f t="shared" si="31"/>
        <v>0</v>
      </c>
      <c r="Q206" s="78">
        <f t="shared" si="31"/>
        <v>0</v>
      </c>
      <c r="R206" s="78">
        <f t="shared" si="31"/>
        <v>0</v>
      </c>
      <c r="S206" s="78">
        <f t="shared" si="31"/>
        <v>0</v>
      </c>
      <c r="T206" s="78">
        <f t="shared" si="31"/>
        <v>0</v>
      </c>
      <c r="U206" s="78">
        <f t="shared" si="31"/>
        <v>0</v>
      </c>
      <c r="V206" s="78">
        <f t="shared" si="31"/>
        <v>0</v>
      </c>
    </row>
    <row r="207" spans="1:22" x14ac:dyDescent="0.25">
      <c r="B207" s="33" t="s">
        <v>81</v>
      </c>
      <c r="C207" s="78">
        <f>SUMIF($B148:$B197,$B207,C$148:C$197)</f>
        <v>0</v>
      </c>
      <c r="D207" s="78">
        <f t="shared" ref="D207:V207" si="32">SUMIF($B148:$B197,$B207,D$148:D$197)</f>
        <v>0</v>
      </c>
      <c r="E207" s="78">
        <f t="shared" si="32"/>
        <v>0</v>
      </c>
      <c r="F207" s="78">
        <f t="shared" si="32"/>
        <v>0</v>
      </c>
      <c r="G207" s="78">
        <f t="shared" si="32"/>
        <v>0</v>
      </c>
      <c r="H207" s="78">
        <f t="shared" si="32"/>
        <v>0</v>
      </c>
      <c r="I207" s="78">
        <f t="shared" si="32"/>
        <v>0</v>
      </c>
      <c r="J207" s="78">
        <f t="shared" si="32"/>
        <v>0</v>
      </c>
      <c r="K207" s="78">
        <f t="shared" si="32"/>
        <v>0</v>
      </c>
      <c r="L207" s="78">
        <f t="shared" si="32"/>
        <v>0</v>
      </c>
      <c r="M207" s="78">
        <f t="shared" si="32"/>
        <v>0</v>
      </c>
      <c r="N207" s="78">
        <f t="shared" si="32"/>
        <v>0</v>
      </c>
      <c r="O207" s="78">
        <f t="shared" si="32"/>
        <v>0</v>
      </c>
      <c r="P207" s="78">
        <f t="shared" si="32"/>
        <v>0</v>
      </c>
      <c r="Q207" s="78">
        <f t="shared" si="32"/>
        <v>0</v>
      </c>
      <c r="R207" s="78">
        <f t="shared" si="32"/>
        <v>0</v>
      </c>
      <c r="S207" s="78">
        <f t="shared" si="32"/>
        <v>0</v>
      </c>
      <c r="T207" s="78">
        <f t="shared" si="32"/>
        <v>0</v>
      </c>
      <c r="U207" s="78">
        <f t="shared" si="32"/>
        <v>0</v>
      </c>
      <c r="V207" s="78">
        <f t="shared" si="32"/>
        <v>0</v>
      </c>
    </row>
    <row r="208" spans="1:22" x14ac:dyDescent="0.25">
      <c r="B208" s="33" t="s">
        <v>42</v>
      </c>
      <c r="C208" s="78">
        <f>SUMIF($B148:$B197,$B208,C$148:C$197)</f>
        <v>6882</v>
      </c>
      <c r="D208" s="78">
        <f t="shared" ref="D208:V208" si="33">SUMIF($B148:$B197,$B208,D$148:D$197)</f>
        <v>6882</v>
      </c>
      <c r="E208" s="78">
        <f t="shared" si="33"/>
        <v>6882</v>
      </c>
      <c r="F208" s="78">
        <f t="shared" si="33"/>
        <v>6882</v>
      </c>
      <c r="G208" s="78">
        <f t="shared" si="33"/>
        <v>4588</v>
      </c>
      <c r="H208" s="78">
        <f t="shared" si="33"/>
        <v>4588</v>
      </c>
      <c r="I208" s="78">
        <f t="shared" si="33"/>
        <v>4588</v>
      </c>
      <c r="J208" s="78">
        <f t="shared" si="33"/>
        <v>4588</v>
      </c>
      <c r="K208" s="78">
        <f t="shared" si="33"/>
        <v>4588</v>
      </c>
      <c r="L208" s="78">
        <f t="shared" si="33"/>
        <v>4588</v>
      </c>
      <c r="M208" s="78">
        <f t="shared" si="33"/>
        <v>4588</v>
      </c>
      <c r="N208" s="78">
        <f t="shared" si="33"/>
        <v>4588</v>
      </c>
      <c r="O208" s="78">
        <f t="shared" si="33"/>
        <v>4588</v>
      </c>
      <c r="P208" s="78">
        <f t="shared" si="33"/>
        <v>4588</v>
      </c>
      <c r="Q208" s="78">
        <f t="shared" si="33"/>
        <v>4588</v>
      </c>
      <c r="R208" s="78">
        <f t="shared" si="33"/>
        <v>4588</v>
      </c>
      <c r="S208" s="78">
        <f t="shared" si="33"/>
        <v>4588</v>
      </c>
      <c r="T208" s="78">
        <f t="shared" si="33"/>
        <v>4588</v>
      </c>
      <c r="U208" s="78">
        <f t="shared" si="33"/>
        <v>4588</v>
      </c>
      <c r="V208" s="78">
        <f t="shared" si="33"/>
        <v>4588</v>
      </c>
    </row>
    <row r="209" spans="1:22" ht="14.4" thickBot="1" x14ac:dyDescent="0.3">
      <c r="B209" s="39" t="s">
        <v>45</v>
      </c>
      <c r="C209" s="78">
        <f>SUMIF($B148:$B197,$B209,C$148:C$197)</f>
        <v>101218</v>
      </c>
      <c r="D209" s="78">
        <f t="shared" ref="D209:V209" si="34">SUMIF($B148:$B197,$B209,D$148:D$197)</f>
        <v>67478.666666666672</v>
      </c>
      <c r="E209" s="78">
        <f t="shared" si="34"/>
        <v>67478.666666666672</v>
      </c>
      <c r="F209" s="78">
        <f t="shared" si="34"/>
        <v>67478.666666666672</v>
      </c>
      <c r="G209" s="78">
        <f t="shared" si="34"/>
        <v>67478.666666666672</v>
      </c>
      <c r="H209" s="78">
        <f t="shared" si="34"/>
        <v>33739.333333333336</v>
      </c>
      <c r="I209" s="78">
        <f t="shared" si="34"/>
        <v>33739.333333333336</v>
      </c>
      <c r="J209" s="78">
        <f t="shared" si="34"/>
        <v>33739.333333333336</v>
      </c>
      <c r="K209" s="78">
        <f t="shared" si="34"/>
        <v>33739.333333333336</v>
      </c>
      <c r="L209" s="78">
        <f t="shared" si="34"/>
        <v>33739.333333333336</v>
      </c>
      <c r="M209" s="78">
        <f t="shared" si="34"/>
        <v>33739.333333333336</v>
      </c>
      <c r="N209" s="78">
        <f t="shared" si="34"/>
        <v>33739.333333333336</v>
      </c>
      <c r="O209" s="78">
        <f t="shared" si="34"/>
        <v>33739.333333333336</v>
      </c>
      <c r="P209" s="78">
        <f t="shared" si="34"/>
        <v>33739.333333333336</v>
      </c>
      <c r="Q209" s="78">
        <f t="shared" si="34"/>
        <v>33739.333333333336</v>
      </c>
      <c r="R209" s="78">
        <f t="shared" si="34"/>
        <v>33739.333333333336</v>
      </c>
      <c r="S209" s="78">
        <f t="shared" si="34"/>
        <v>33739.333333333336</v>
      </c>
      <c r="T209" s="78">
        <f t="shared" si="34"/>
        <v>33739.333333333336</v>
      </c>
      <c r="U209" s="78">
        <f t="shared" si="34"/>
        <v>33739.333333333336</v>
      </c>
      <c r="V209" s="78">
        <f t="shared" si="34"/>
        <v>33739.333333333336</v>
      </c>
    </row>
    <row r="210" spans="1:22" x14ac:dyDescent="0.25">
      <c r="C210" s="23"/>
      <c r="D210" s="23"/>
      <c r="E210" s="23"/>
      <c r="F210" s="23"/>
      <c r="G210" s="23"/>
      <c r="H210" s="23"/>
      <c r="I210" s="23"/>
      <c r="J210" s="23"/>
      <c r="K210" s="23"/>
      <c r="L210" s="24"/>
      <c r="M210" s="23"/>
      <c r="N210" s="23"/>
      <c r="O210" s="23"/>
      <c r="P210" s="23"/>
      <c r="Q210" s="23"/>
      <c r="R210" s="23"/>
      <c r="S210" s="23"/>
      <c r="T210" s="23"/>
      <c r="U210" s="23"/>
      <c r="V210" s="23"/>
    </row>
    <row r="211" spans="1:22" x14ac:dyDescent="0.25">
      <c r="C211" s="23">
        <f>SUM(C202:C209)</f>
        <v>1676114.9126984125</v>
      </c>
      <c r="D211" s="23">
        <f t="shared" ref="D211:U211" si="35">SUM(D202:D209)</f>
        <v>1442274.4126984128</v>
      </c>
      <c r="E211" s="23">
        <f t="shared" si="35"/>
        <v>1435181.5555555557</v>
      </c>
      <c r="F211" s="23">
        <f t="shared" si="35"/>
        <v>1301780.7777777778</v>
      </c>
      <c r="G211" s="23">
        <f t="shared" si="35"/>
        <v>1131886.1666666667</v>
      </c>
      <c r="H211" s="23">
        <f t="shared" si="35"/>
        <v>898045.66666666663</v>
      </c>
      <c r="I211" s="23">
        <f t="shared" si="35"/>
        <v>697944.50000000012</v>
      </c>
      <c r="J211" s="23">
        <f t="shared" si="35"/>
        <v>564543.72222222225</v>
      </c>
      <c r="K211" s="23">
        <f t="shared" si="35"/>
        <v>564543.72222222225</v>
      </c>
      <c r="L211" s="24">
        <f t="shared" si="35"/>
        <v>564543.72222222225</v>
      </c>
      <c r="M211" s="23">
        <f t="shared" si="35"/>
        <v>449664.72222222219</v>
      </c>
      <c r="N211" s="23">
        <f t="shared" si="35"/>
        <v>449664.72222222219</v>
      </c>
      <c r="O211" s="23">
        <f t="shared" si="35"/>
        <v>449664.72222222219</v>
      </c>
      <c r="P211" s="23">
        <f t="shared" si="35"/>
        <v>449664.72222222219</v>
      </c>
      <c r="Q211" s="23">
        <f t="shared" si="35"/>
        <v>449664.72222222219</v>
      </c>
      <c r="R211" s="23">
        <f t="shared" si="35"/>
        <v>449664.72222222219</v>
      </c>
      <c r="S211" s="23">
        <f t="shared" si="35"/>
        <v>449664.72222222219</v>
      </c>
      <c r="T211" s="23">
        <f t="shared" si="35"/>
        <v>449664.72222222219</v>
      </c>
      <c r="U211" s="23">
        <f t="shared" si="35"/>
        <v>449664.72222222219</v>
      </c>
      <c r="V211" s="23">
        <f>SUM(V202:V209)</f>
        <v>449664.72222222219</v>
      </c>
    </row>
    <row r="212" spans="1:22" x14ac:dyDescent="0.25">
      <c r="C212" s="23"/>
      <c r="D212" s="23"/>
      <c r="E212" s="23"/>
      <c r="F212" s="23"/>
      <c r="G212" s="23"/>
      <c r="H212" s="23"/>
      <c r="I212" s="23"/>
      <c r="J212" s="23"/>
      <c r="K212" s="23"/>
      <c r="L212" s="24"/>
      <c r="M212" s="2"/>
      <c r="N212" s="23"/>
      <c r="O212" s="23"/>
      <c r="P212" s="23"/>
      <c r="Q212" s="23"/>
      <c r="R212" s="23"/>
      <c r="S212" s="23"/>
      <c r="T212" s="23"/>
      <c r="U212" s="23"/>
      <c r="V212" s="23"/>
    </row>
    <row r="213" spans="1:22" ht="14.4" thickBot="1" x14ac:dyDescent="0.3">
      <c r="B213" s="2" t="s">
        <v>76</v>
      </c>
      <c r="C213" s="23"/>
      <c r="D213" s="23"/>
      <c r="E213" s="23"/>
      <c r="F213" s="23"/>
      <c r="G213" s="23"/>
      <c r="H213" s="23"/>
      <c r="I213" s="23"/>
      <c r="J213" s="23"/>
      <c r="K213" s="23"/>
      <c r="L213" s="24"/>
      <c r="M213" s="2"/>
      <c r="N213" s="23"/>
      <c r="O213" s="23"/>
      <c r="P213" s="23"/>
      <c r="Q213" s="23"/>
      <c r="R213" s="23"/>
      <c r="S213" s="23"/>
      <c r="T213" s="23"/>
      <c r="U213" s="23"/>
      <c r="V213" s="23"/>
    </row>
    <row r="214" spans="1:22" x14ac:dyDescent="0.25">
      <c r="B214" s="54" t="s">
        <v>82</v>
      </c>
      <c r="C214" s="75">
        <v>2021</v>
      </c>
      <c r="D214" s="75">
        <v>2022</v>
      </c>
      <c r="E214" s="75">
        <v>2023</v>
      </c>
      <c r="F214" s="75">
        <v>2024</v>
      </c>
      <c r="G214" s="75">
        <v>2025</v>
      </c>
      <c r="H214" s="75">
        <v>2026</v>
      </c>
      <c r="I214" s="75">
        <v>2027</v>
      </c>
      <c r="J214" s="75">
        <v>2028</v>
      </c>
      <c r="K214" s="75">
        <v>2029</v>
      </c>
      <c r="L214" s="75">
        <v>2030</v>
      </c>
      <c r="M214" s="75">
        <v>2031</v>
      </c>
      <c r="N214" s="75">
        <v>2032</v>
      </c>
      <c r="O214" s="75">
        <v>2033</v>
      </c>
      <c r="P214" s="75">
        <v>2034</v>
      </c>
      <c r="Q214" s="75">
        <v>2035</v>
      </c>
      <c r="R214" s="75">
        <v>2036</v>
      </c>
      <c r="S214" s="75">
        <v>2037</v>
      </c>
      <c r="T214" s="75">
        <v>2038</v>
      </c>
      <c r="U214" s="75">
        <v>2039</v>
      </c>
      <c r="V214" s="75">
        <v>2040</v>
      </c>
    </row>
    <row r="215" spans="1:22" x14ac:dyDescent="0.25">
      <c r="B215" s="33" t="s">
        <v>93</v>
      </c>
      <c r="C215" s="25">
        <f>SUM(C148:C189)</f>
        <v>1676114.912698413</v>
      </c>
      <c r="D215" s="25">
        <f t="shared" ref="D215:V215" si="36">SUM(D148:D189)</f>
        <v>1442274.4126984125</v>
      </c>
      <c r="E215" s="25">
        <f t="shared" si="36"/>
        <v>1435181.5555555555</v>
      </c>
      <c r="F215" s="25">
        <f t="shared" si="36"/>
        <v>1301780.7777777778</v>
      </c>
      <c r="G215" s="25">
        <f t="shared" si="36"/>
        <v>1131886.1666666667</v>
      </c>
      <c r="H215" s="25">
        <f t="shared" si="36"/>
        <v>898045.66666666674</v>
      </c>
      <c r="I215" s="25">
        <f t="shared" si="36"/>
        <v>697944.49999999988</v>
      </c>
      <c r="J215" s="25">
        <f t="shared" si="36"/>
        <v>564543.72222222225</v>
      </c>
      <c r="K215" s="25">
        <f t="shared" si="36"/>
        <v>564543.72222222225</v>
      </c>
      <c r="L215" s="25">
        <f t="shared" si="36"/>
        <v>564543.72222222225</v>
      </c>
      <c r="M215" s="25">
        <f t="shared" si="36"/>
        <v>449664.72222222225</v>
      </c>
      <c r="N215" s="25">
        <f t="shared" si="36"/>
        <v>449664.72222222225</v>
      </c>
      <c r="O215" s="25">
        <f t="shared" si="36"/>
        <v>449664.72222222225</v>
      </c>
      <c r="P215" s="25">
        <f t="shared" si="36"/>
        <v>449664.72222222225</v>
      </c>
      <c r="Q215" s="25">
        <f t="shared" si="36"/>
        <v>449664.72222222225</v>
      </c>
      <c r="R215" s="25">
        <f t="shared" si="36"/>
        <v>449664.72222222225</v>
      </c>
      <c r="S215" s="25">
        <f t="shared" si="36"/>
        <v>449664.72222222225</v>
      </c>
      <c r="T215" s="25">
        <f t="shared" si="36"/>
        <v>449664.72222222225</v>
      </c>
      <c r="U215" s="25">
        <f t="shared" si="36"/>
        <v>449664.72222222225</v>
      </c>
      <c r="V215" s="25">
        <f t="shared" si="36"/>
        <v>449664.72222222225</v>
      </c>
    </row>
    <row r="216" spans="1:22" x14ac:dyDescent="0.25">
      <c r="B216" s="33" t="s">
        <v>94</v>
      </c>
      <c r="C216" s="25">
        <f>SUM(C190:C197)</f>
        <v>0</v>
      </c>
      <c r="D216" s="25">
        <f t="shared" ref="D216:V216" si="37">SUM(D190:D197)</f>
        <v>0</v>
      </c>
      <c r="E216" s="25">
        <f t="shared" si="37"/>
        <v>0</v>
      </c>
      <c r="F216" s="25">
        <f t="shared" si="37"/>
        <v>0</v>
      </c>
      <c r="G216" s="25">
        <f t="shared" si="37"/>
        <v>0</v>
      </c>
      <c r="H216" s="25">
        <f t="shared" si="37"/>
        <v>0</v>
      </c>
      <c r="I216" s="25">
        <f t="shared" si="37"/>
        <v>0</v>
      </c>
      <c r="J216" s="25">
        <f t="shared" si="37"/>
        <v>0</v>
      </c>
      <c r="K216" s="25">
        <f t="shared" si="37"/>
        <v>0</v>
      </c>
      <c r="L216" s="25">
        <f t="shared" si="37"/>
        <v>0</v>
      </c>
      <c r="M216" s="25">
        <f t="shared" si="37"/>
        <v>0</v>
      </c>
      <c r="N216" s="25">
        <f t="shared" si="37"/>
        <v>0</v>
      </c>
      <c r="O216" s="25">
        <f t="shared" si="37"/>
        <v>0</v>
      </c>
      <c r="P216" s="25">
        <f t="shared" si="37"/>
        <v>0</v>
      </c>
      <c r="Q216" s="25">
        <f t="shared" si="37"/>
        <v>0</v>
      </c>
      <c r="R216" s="25">
        <f t="shared" si="37"/>
        <v>0</v>
      </c>
      <c r="S216" s="25">
        <f t="shared" si="37"/>
        <v>0</v>
      </c>
      <c r="T216" s="25">
        <f t="shared" si="37"/>
        <v>0</v>
      </c>
      <c r="U216" s="25">
        <f t="shared" si="37"/>
        <v>0</v>
      </c>
      <c r="V216" s="25">
        <f t="shared" si="37"/>
        <v>0</v>
      </c>
    </row>
    <row r="217" spans="1:22" x14ac:dyDescent="0.25">
      <c r="C217" s="2"/>
      <c r="D217" s="2"/>
      <c r="E217" s="2"/>
      <c r="F217" s="2"/>
      <c r="G217" s="2"/>
      <c r="H217" s="2"/>
      <c r="I217" s="2"/>
      <c r="J217" s="2"/>
      <c r="K217" s="2"/>
      <c r="L217" s="2"/>
      <c r="M217" s="2"/>
      <c r="N217" s="2"/>
      <c r="O217" s="2"/>
      <c r="P217" s="2"/>
      <c r="Q217" s="2"/>
      <c r="R217" s="2"/>
      <c r="S217" s="2"/>
      <c r="T217" s="2"/>
      <c r="U217" s="2"/>
      <c r="V217" s="2"/>
    </row>
    <row r="218" spans="1:22" x14ac:dyDescent="0.25">
      <c r="C218" s="22">
        <f>SUM(C215:C216)</f>
        <v>1676114.912698413</v>
      </c>
      <c r="D218" s="22">
        <f t="shared" ref="D218:V218" si="38">SUM(D215:D216)</f>
        <v>1442274.4126984125</v>
      </c>
      <c r="E218" s="22">
        <f t="shared" si="38"/>
        <v>1435181.5555555555</v>
      </c>
      <c r="F218" s="22">
        <f t="shared" si="38"/>
        <v>1301780.7777777778</v>
      </c>
      <c r="G218" s="22">
        <f t="shared" si="38"/>
        <v>1131886.1666666667</v>
      </c>
      <c r="H218" s="22">
        <f t="shared" si="38"/>
        <v>898045.66666666674</v>
      </c>
      <c r="I218" s="22">
        <f t="shared" si="38"/>
        <v>697944.49999999988</v>
      </c>
      <c r="J218" s="22">
        <f t="shared" si="38"/>
        <v>564543.72222222225</v>
      </c>
      <c r="K218" s="22">
        <f t="shared" si="38"/>
        <v>564543.72222222225</v>
      </c>
      <c r="L218" s="22">
        <f t="shared" si="38"/>
        <v>564543.72222222225</v>
      </c>
      <c r="M218" s="22">
        <f t="shared" si="38"/>
        <v>449664.72222222225</v>
      </c>
      <c r="N218" s="22">
        <f t="shared" si="38"/>
        <v>449664.72222222225</v>
      </c>
      <c r="O218" s="22">
        <f t="shared" si="38"/>
        <v>449664.72222222225</v>
      </c>
      <c r="P218" s="22">
        <f t="shared" si="38"/>
        <v>449664.72222222225</v>
      </c>
      <c r="Q218" s="22">
        <f t="shared" si="38"/>
        <v>449664.72222222225</v>
      </c>
      <c r="R218" s="22">
        <f t="shared" si="38"/>
        <v>449664.72222222225</v>
      </c>
      <c r="S218" s="22">
        <f t="shared" si="38"/>
        <v>449664.72222222225</v>
      </c>
      <c r="T218" s="22">
        <f t="shared" si="38"/>
        <v>449664.72222222225</v>
      </c>
      <c r="U218" s="22">
        <f t="shared" si="38"/>
        <v>449664.72222222225</v>
      </c>
      <c r="V218" s="22">
        <f t="shared" si="38"/>
        <v>449664.72222222225</v>
      </c>
    </row>
    <row r="220" spans="1:22" ht="14.4" x14ac:dyDescent="0.3">
      <c r="A220" s="96" t="s">
        <v>132</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A940-A8DC-4741-BD33-9BB4DD47FF64}">
  <sheetPr codeName="Sheet23">
    <tabColor rgb="FF00B050"/>
  </sheetPr>
  <dimension ref="A1:Y15"/>
  <sheetViews>
    <sheetView zoomScaleNormal="100" workbookViewId="0">
      <selection activeCell="D24" sqref="D24"/>
    </sheetView>
  </sheetViews>
  <sheetFormatPr defaultRowHeight="13.8" x14ac:dyDescent="0.25"/>
  <cols>
    <col min="1" max="1" width="51.77734375" style="2" customWidth="1"/>
    <col min="2" max="2" width="13.109375" style="2" bestFit="1" customWidth="1"/>
    <col min="3" max="3" width="12.44140625" style="2" bestFit="1" customWidth="1"/>
    <col min="4" max="5" width="11.33203125" style="2" bestFit="1" customWidth="1"/>
    <col min="6" max="21" width="9.44140625" style="2" customWidth="1"/>
    <col min="22" max="16384" width="8.88671875" style="2"/>
  </cols>
  <sheetData>
    <row r="1" spans="1:25" s="11" customFormat="1" ht="27.6" x14ac:dyDescent="0.25">
      <c r="A1" s="27" t="s">
        <v>82</v>
      </c>
      <c r="B1" s="27" t="s">
        <v>122</v>
      </c>
      <c r="C1" s="80" t="s">
        <v>123</v>
      </c>
      <c r="D1" s="75"/>
      <c r="E1" s="76"/>
      <c r="F1" s="75"/>
      <c r="G1" s="76"/>
      <c r="H1" s="75"/>
      <c r="I1" s="76"/>
      <c r="J1" s="75"/>
      <c r="K1" s="76"/>
      <c r="L1" s="75"/>
      <c r="M1" s="76"/>
      <c r="N1" s="75"/>
      <c r="O1" s="76"/>
      <c r="P1" s="75"/>
      <c r="Q1" s="76"/>
      <c r="R1" s="75"/>
      <c r="S1" s="76"/>
      <c r="T1" s="75"/>
      <c r="U1" s="76"/>
      <c r="V1" s="75"/>
      <c r="W1" s="76"/>
      <c r="X1" s="77"/>
      <c r="Y1" s="43"/>
    </row>
    <row r="2" spans="1:25" x14ac:dyDescent="0.25">
      <c r="A2" s="30" t="s">
        <v>43</v>
      </c>
      <c r="B2" s="123">
        <f>IFERROR((SUMIF(Current_DTE!$B$2:$B$48,Minutes_by_use_case!A2,Current_DTE!$X$2:$X$48)/COUNTIFS(Current_DTE!$B$2:$B$48,Minutes_by_use_case!A2,Current_DTE!$X$2:$X$48,"*"))*60,"-")</f>
        <v>171572.29579277776</v>
      </c>
      <c r="C2" s="25">
        <f>IFERROR((SUMIF(Current_SR!$B$2:$B$49,Minutes_by_use_case!A2,Current_SR!$O$2:$O$49)/COUNTIFS(Current_SR!$B$2:$B$43,Minutes_by_use_case!A2)),"-")</f>
        <v>114879</v>
      </c>
    </row>
    <row r="3" spans="1:25" x14ac:dyDescent="0.25">
      <c r="A3" s="30" t="s">
        <v>41</v>
      </c>
      <c r="B3" s="123">
        <f>IFERROR((SUMIF(Current_DTE!$B$2:$B$48,Minutes_by_use_case!A3,Current_DTE!$X$2:$X$48)/COUNTIFS(Current_DTE!$B$2:$B$48,Minutes_by_use_case!A3,Current_DTE!$X$2:$X$48,"*"))*60,"-")</f>
        <v>133409.35004928565</v>
      </c>
      <c r="C3" s="25">
        <f>IFERROR((SUMIF(Current_SR!$B$2:$B$49,Minutes_by_use_case!A3,Current_SR!$O$2:$O$49)/COUNTIFS(Current_SR!$B$2:$B$43,Minutes_by_use_case!A3)),"-")</f>
        <v>66700.388888888891</v>
      </c>
      <c r="E3" s="81"/>
    </row>
    <row r="4" spans="1:25" x14ac:dyDescent="0.25">
      <c r="A4" s="30" t="s">
        <v>40</v>
      </c>
      <c r="B4" s="123">
        <f>IFERROR((SUMIF(Current_DTE!$B$2:$B$48,Minutes_by_use_case!A4,Current_DTE!$X$2:$X$48)/COUNTIFS(Current_DTE!$B$2:$B$48,Minutes_by_use_case!A4,Current_DTE!$X$2:$X$48,"*"))*60,"-")</f>
        <v>2140.4341038095235</v>
      </c>
      <c r="C4" s="25">
        <f>IFERROR((SUMIF(Current_SR!$B$2:$B$49,Minutes_by_use_case!A4,Current_SR!$O$2:$O$49)/COUNTIFS(Current_SR!$B$2:$B$43,Minutes_by_use_case!A4)),"-")</f>
        <v>2364.2857142857142</v>
      </c>
    </row>
    <row r="5" spans="1:25" x14ac:dyDescent="0.25">
      <c r="A5" s="30" t="s">
        <v>80</v>
      </c>
      <c r="B5" s="123" t="str">
        <f>IFERROR((SUMIF(Current_DTE!$B$2:$B$48,Minutes_by_use_case!A5,Current_DTE!$X$2:$X$48)/COUNTIFS(Current_DTE!$B$2:$B$48,Minutes_by_use_case!A5,Current_DTE!$X$2:$X$48,"*"))*60,"-")</f>
        <v>-</v>
      </c>
      <c r="C5" s="25" t="str">
        <f>IFERROR((SUMIF(Current_SR!$B$2:$B$49,Minutes_by_use_case!A5,Current_SR!$O$2:$O$49)/COUNTIFS(Current_SR!$B$2:$B$43,Minutes_by_use_case!A5)),"-")</f>
        <v>-</v>
      </c>
    </row>
    <row r="6" spans="1:25" x14ac:dyDescent="0.25">
      <c r="A6" s="30" t="s">
        <v>44</v>
      </c>
      <c r="B6" s="123">
        <f>IFERROR((SUMIF(Current_DTE!$B$2:$B$48,Minutes_by_use_case!A6,Current_DTE!$X$2:$X$48)/COUNTIFS(Current_DTE!$B$2:$B$48,Minutes_by_use_case!A6,Current_DTE!$X$2:$X$48,"*"))*60,"-")</f>
        <v>0</v>
      </c>
      <c r="C6" s="25">
        <f>IFERROR((SUMIF(Current_SR!$B$2:$B$49,Minutes_by_use_case!A6,Current_SR!$O$2:$O$49)/COUNTIFS(Current_SR!$B$2:$B$43,Minutes_by_use_case!A6)),"-")</f>
        <v>460.5</v>
      </c>
    </row>
    <row r="7" spans="1:25" x14ac:dyDescent="0.25">
      <c r="A7" s="30" t="s">
        <v>81</v>
      </c>
      <c r="B7" s="123" t="str">
        <f>IFERROR((SUMIF(Current_DTE!$B$2:$B$48,Minutes_by_use_case!A7,Current_DTE!$X$2:$X$48)/COUNTIFS(Current_DTE!$B$2:$B$48,Minutes_by_use_case!A7,Current_DTE!$X$2:$X$48,"*"))*60,"-")</f>
        <v>-</v>
      </c>
      <c r="C7" s="25" t="str">
        <f>IFERROR((SUMIF(Current_SR!$B$2:$B$49,Minutes_by_use_case!A7,Current_SR!$O$2:$O$49)/COUNTIFS(Current_SR!$B$2:$B$43,Minutes_by_use_case!A7)),"-")</f>
        <v>-</v>
      </c>
    </row>
    <row r="8" spans="1:25" x14ac:dyDescent="0.25">
      <c r="A8" s="30" t="s">
        <v>42</v>
      </c>
      <c r="B8" s="123">
        <f>IFERROR((SUMIF(Current_DTE!$B$2:$B$48,Minutes_by_use_case!A8,Current_DTE!$X$2:$X$48)/COUNTIFS(Current_DTE!$B$2:$B$48,Minutes_by_use_case!A8,Current_DTE!$X$2:$X$48,"*"))*60,"-")</f>
        <v>721.11352444444435</v>
      </c>
      <c r="C8" s="25">
        <f>IFERROR((SUMIF(Current_SR!$B$2:$B$49,Minutes_by_use_case!A8,Current_SR!$O$2:$O$49)/COUNTIFS(Current_SR!$B$2:$B$43,Minutes_by_use_case!A8)),"-")</f>
        <v>2294</v>
      </c>
    </row>
    <row r="9" spans="1:25" x14ac:dyDescent="0.25">
      <c r="A9" s="30" t="s">
        <v>45</v>
      </c>
      <c r="B9" s="123">
        <f>IFERROR((SUMIF(Current_DTE!$B$2:$B$48,Minutes_by_use_case!A9,Current_DTE!$X$2:$X$48)/COUNTIFS(Current_DTE!$B$2:$B$48,Minutes_by_use_case!A9,Current_DTE!$X$2:$X$48,"*"))*60,"-")</f>
        <v>89453.837836666688</v>
      </c>
      <c r="C9" s="25">
        <f>IFERROR((SUMIF(Current_SR!$B$2:$B$49,Minutes_by_use_case!A9,Current_SR!$O$2:$O$49)/COUNTIFS(Current_SR!$B$2:$B$43,Minutes_by_use_case!A9)),"-")</f>
        <v>33739.333333333336</v>
      </c>
    </row>
    <row r="10" spans="1:25" x14ac:dyDescent="0.25">
      <c r="A10" s="82"/>
      <c r="B10" s="82"/>
      <c r="C10" s="82"/>
    </row>
    <row r="11" spans="1:25" x14ac:dyDescent="0.25">
      <c r="A11" s="79" t="s">
        <v>84</v>
      </c>
      <c r="B11" s="123">
        <f>SUM(B2:B9)</f>
        <v>397297.03130698408</v>
      </c>
      <c r="C11" s="123">
        <f>SUM(C2:C9)</f>
        <v>220437.50793650793</v>
      </c>
    </row>
    <row r="13" spans="1:25" ht="14.4" x14ac:dyDescent="0.3">
      <c r="A13" s="96" t="s">
        <v>129</v>
      </c>
    </row>
    <row r="14" spans="1:25" ht="14.4" x14ac:dyDescent="0.3">
      <c r="A14" s="96" t="s">
        <v>114</v>
      </c>
    </row>
    <row r="15" spans="1:25" ht="14.4" x14ac:dyDescent="0.3">
      <c r="A15" s="96" t="s">
        <v>130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25219-EA98-4161-9BB2-303371CA7C90}">
  <sheetPr>
    <tabColor rgb="FFFFC000"/>
  </sheetPr>
  <dimension ref="A1:BI96"/>
  <sheetViews>
    <sheetView zoomScale="55" zoomScaleNormal="55" workbookViewId="0">
      <selection activeCell="AF35" sqref="AF35"/>
    </sheetView>
  </sheetViews>
  <sheetFormatPr defaultRowHeight="13.8" x14ac:dyDescent="0.25"/>
  <cols>
    <col min="1" max="1" width="33.88671875" style="104" customWidth="1"/>
    <col min="2" max="2" width="15.5546875" style="2" bestFit="1" customWidth="1"/>
    <col min="3" max="3" width="16.44140625" style="2" bestFit="1" customWidth="1"/>
    <col min="4" max="4" width="18.109375" style="2" customWidth="1"/>
    <col min="5" max="27" width="8.88671875" style="2"/>
    <col min="28" max="28" width="15.6640625" style="2" bestFit="1" customWidth="1"/>
    <col min="29" max="29" width="16.77734375" style="2" bestFit="1" customWidth="1"/>
    <col min="30" max="30" width="12.21875" style="2" bestFit="1" customWidth="1"/>
    <col min="31" max="31" width="15.77734375" style="2" bestFit="1" customWidth="1"/>
    <col min="32" max="32" width="16.44140625" style="2" bestFit="1" customWidth="1"/>
    <col min="33" max="33" width="28.33203125" style="2" bestFit="1" customWidth="1"/>
    <col min="34" max="34" width="26.88671875" style="2" bestFit="1" customWidth="1"/>
    <col min="35" max="35" width="30.5546875" style="2" bestFit="1" customWidth="1"/>
    <col min="36" max="36" width="33.88671875" style="2" bestFit="1" customWidth="1"/>
    <col min="37" max="37" width="22.33203125" style="2" bestFit="1" customWidth="1"/>
    <col min="38" max="38" width="13.77734375" style="2" customWidth="1"/>
    <col min="39" max="39" width="13.44140625" style="2" bestFit="1" customWidth="1"/>
    <col min="40" max="58" width="8.88671875" style="2"/>
    <col min="59" max="59" width="9.44140625" style="2" bestFit="1" customWidth="1"/>
    <col min="60" max="60" width="11.109375" style="2" bestFit="1" customWidth="1"/>
    <col min="61" max="61" width="14.5546875" style="2" bestFit="1" customWidth="1"/>
    <col min="62" max="16384" width="8.88671875" style="2"/>
  </cols>
  <sheetData>
    <row r="1" spans="1:37" ht="15" customHeight="1" thickBot="1" x14ac:dyDescent="0.3">
      <c r="A1" s="506" t="s">
        <v>530</v>
      </c>
      <c r="B1" s="506"/>
      <c r="C1" s="506"/>
      <c r="D1" s="506"/>
      <c r="AC1" s="502" t="s">
        <v>428</v>
      </c>
      <c r="AD1" s="502"/>
      <c r="AE1" s="502"/>
      <c r="AF1" s="502"/>
      <c r="AG1" s="502"/>
      <c r="AH1" s="502"/>
      <c r="AI1" s="502"/>
      <c r="AJ1" s="502"/>
      <c r="AK1" s="502"/>
    </row>
    <row r="2" spans="1:37" x14ac:dyDescent="0.25">
      <c r="A2" s="412" t="s">
        <v>365</v>
      </c>
      <c r="B2" s="413" t="s">
        <v>9</v>
      </c>
      <c r="C2" s="413" t="s">
        <v>8</v>
      </c>
      <c r="D2" s="512" t="s">
        <v>144</v>
      </c>
      <c r="AC2" s="235" t="s">
        <v>354</v>
      </c>
      <c r="AD2" s="236" t="s">
        <v>367</v>
      </c>
      <c r="AE2" s="418" t="s">
        <v>413</v>
      </c>
      <c r="AF2" s="418" t="s">
        <v>414</v>
      </c>
      <c r="AG2" s="236" t="s">
        <v>415</v>
      </c>
      <c r="AH2" s="236" t="s">
        <v>416</v>
      </c>
      <c r="AI2" s="236" t="s">
        <v>462</v>
      </c>
      <c r="AJ2" s="236" t="s">
        <v>463</v>
      </c>
      <c r="AK2" s="237" t="s">
        <v>417</v>
      </c>
    </row>
    <row r="3" spans="1:37" x14ac:dyDescent="0.25">
      <c r="A3" s="421" t="s">
        <v>423</v>
      </c>
      <c r="B3" s="158">
        <v>4</v>
      </c>
      <c r="C3" s="88" t="s">
        <v>375</v>
      </c>
      <c r="D3" s="513" t="s">
        <v>142</v>
      </c>
      <c r="AC3" s="285">
        <v>0</v>
      </c>
      <c r="AD3" s="423">
        <v>0</v>
      </c>
      <c r="AE3" s="21"/>
      <c r="AF3" s="21"/>
      <c r="AG3" s="21"/>
      <c r="AH3" s="238">
        <v>0</v>
      </c>
      <c r="AI3" s="238">
        <v>0</v>
      </c>
      <c r="AJ3" s="238">
        <v>0</v>
      </c>
      <c r="AK3" s="283">
        <v>0</v>
      </c>
    </row>
    <row r="4" spans="1:37" ht="14.4" x14ac:dyDescent="0.3">
      <c r="A4" s="421" t="s">
        <v>137</v>
      </c>
      <c r="B4" s="527">
        <v>3.5</v>
      </c>
      <c r="C4" s="88" t="s">
        <v>375</v>
      </c>
      <c r="D4" s="513" t="s">
        <v>142</v>
      </c>
      <c r="AB4" s="526"/>
      <c r="AC4" s="240">
        <f>AC34</f>
        <v>525600</v>
      </c>
      <c r="AD4" s="423">
        <v>1</v>
      </c>
      <c r="AE4" s="25">
        <f>SUM(AF4+AG4)</f>
        <v>109.11184486104776</v>
      </c>
      <c r="AF4" s="25">
        <f>SUM($AE$64:$AI$64,$BH$64)</f>
        <v>109.11184486104776</v>
      </c>
      <c r="AG4" s="21">
        <v>0</v>
      </c>
      <c r="AH4" s="215">
        <f>SUM(AI4:AJ4)</f>
        <v>207.59483421051704</v>
      </c>
      <c r="AI4" s="215">
        <f>IFERROR(AF4/AC4,0)*1000000</f>
        <v>207.59483421051704</v>
      </c>
      <c r="AJ4" s="215">
        <f>IFERROR(AG4/AC4,0)*1000000</f>
        <v>0</v>
      </c>
      <c r="AK4" s="239">
        <f>IFERROR((AE4-AE3)/(AC4-AC3),0)*1000000</f>
        <v>207.59483421051704</v>
      </c>
    </row>
    <row r="5" spans="1:37" ht="14.4" x14ac:dyDescent="0.3">
      <c r="A5" s="411" t="s">
        <v>138</v>
      </c>
      <c r="B5" s="528">
        <v>2</v>
      </c>
      <c r="C5" s="88" t="s">
        <v>375</v>
      </c>
      <c r="D5" s="513" t="s">
        <v>142</v>
      </c>
      <c r="AB5" s="526"/>
      <c r="AC5" s="240">
        <f t="shared" ref="AC5:AC28" si="0">AC35</f>
        <v>1051200</v>
      </c>
      <c r="AD5" s="423">
        <v>2</v>
      </c>
      <c r="AE5" s="25">
        <f t="shared" ref="AE5:AE28" si="1">SUM(AF5+AG5)</f>
        <v>128.36668687133871</v>
      </c>
      <c r="AF5" s="25">
        <f t="shared" ref="AF5:AF28" si="2">SUM($AE$64:$AI$64,$BH$64)</f>
        <v>109.11184486104776</v>
      </c>
      <c r="AG5" s="216">
        <f>AG4+SUM(AE65,BH65)</f>
        <v>19.254842010290965</v>
      </c>
      <c r="AH5" s="215">
        <f>SUM(AI5:AJ5)</f>
        <v>122.11442815005586</v>
      </c>
      <c r="AI5" s="215">
        <f>IFERROR(AF5/AC5,0)*1000000</f>
        <v>103.79741710525852</v>
      </c>
      <c r="AJ5" s="215">
        <f>IFERROR(AG5/AC5,0)*1000000</f>
        <v>18.31701104479734</v>
      </c>
      <c r="AK5" s="239">
        <f t="shared" ref="AK5:AK28" si="3">IFERROR((AE5-AE4)/(AC5-AC4),0)*1000000</f>
        <v>36.634022089594666</v>
      </c>
    </row>
    <row r="6" spans="1:37" ht="14.4" x14ac:dyDescent="0.3">
      <c r="A6" s="514" t="s">
        <v>139</v>
      </c>
      <c r="B6" s="251">
        <v>0.02</v>
      </c>
      <c r="C6" s="88" t="s">
        <v>379</v>
      </c>
      <c r="D6" s="513" t="s">
        <v>142</v>
      </c>
      <c r="AB6" s="526"/>
      <c r="AC6" s="240">
        <f t="shared" si="0"/>
        <v>1576800</v>
      </c>
      <c r="AD6" s="423">
        <v>3</v>
      </c>
      <c r="AE6" s="25">
        <f t="shared" si="1"/>
        <v>147.62152888162967</v>
      </c>
      <c r="AF6" s="25">
        <f t="shared" si="2"/>
        <v>109.11184486104776</v>
      </c>
      <c r="AG6" s="216">
        <f>AG5+SUM(AE66,BH66)</f>
        <v>38.509684020581929</v>
      </c>
      <c r="AH6" s="215">
        <f>SUM(AI6:AJ6)</f>
        <v>93.620959463235465</v>
      </c>
      <c r="AI6" s="215">
        <f>IFERROR(AF6/AC6,0)*1000000</f>
        <v>69.198278070172336</v>
      </c>
      <c r="AJ6" s="215">
        <f>IFERROR(AG6/AC6,0)*1000000</f>
        <v>24.422681393063122</v>
      </c>
      <c r="AK6" s="239">
        <f t="shared" si="3"/>
        <v>36.634022089594666</v>
      </c>
    </row>
    <row r="7" spans="1:37" ht="14.4" x14ac:dyDescent="0.3">
      <c r="A7" s="514" t="s">
        <v>145</v>
      </c>
      <c r="B7" s="252">
        <v>0.5</v>
      </c>
      <c r="C7" s="210" t="s">
        <v>424</v>
      </c>
      <c r="D7" s="513" t="s">
        <v>142</v>
      </c>
      <c r="AB7" s="526"/>
      <c r="AC7" s="240">
        <f t="shared" si="0"/>
        <v>2102400</v>
      </c>
      <c r="AD7" s="423">
        <v>4</v>
      </c>
      <c r="AE7" s="25">
        <f t="shared" si="1"/>
        <v>166.87637089192066</v>
      </c>
      <c r="AF7" s="25">
        <f t="shared" si="2"/>
        <v>109.11184486104776</v>
      </c>
      <c r="AG7" s="216">
        <f>AG6+SUM(AE67,BH67)</f>
        <v>57.764526030872894</v>
      </c>
      <c r="AH7" s="215">
        <f t="shared" ref="AH5:AH28" si="4">SUM(AI7:AJ7)</f>
        <v>79.374225119825269</v>
      </c>
      <c r="AI7" s="215">
        <f t="shared" ref="AI5:AI28" si="5">IFERROR(AF7/AC7,0)*1000000</f>
        <v>51.898708552629259</v>
      </c>
      <c r="AJ7" s="215">
        <f t="shared" ref="AJ5:AJ28" si="6">IFERROR(AG7/AC7,0)*1000000</f>
        <v>27.47551656719601</v>
      </c>
      <c r="AK7" s="239">
        <f t="shared" si="3"/>
        <v>36.634022089594723</v>
      </c>
    </row>
    <row r="8" spans="1:37" ht="14.4" x14ac:dyDescent="0.3">
      <c r="A8" s="514" t="s">
        <v>380</v>
      </c>
      <c r="B8" s="252">
        <v>0.1</v>
      </c>
      <c r="C8" s="210" t="s">
        <v>425</v>
      </c>
      <c r="D8" s="513" t="s">
        <v>143</v>
      </c>
      <c r="AB8" s="526"/>
      <c r="AC8" s="240">
        <f t="shared" si="0"/>
        <v>2628000</v>
      </c>
      <c r="AD8" s="423">
        <v>5</v>
      </c>
      <c r="AE8" s="25">
        <f t="shared" si="1"/>
        <v>186.13121290221162</v>
      </c>
      <c r="AF8" s="25">
        <f t="shared" si="2"/>
        <v>109.11184486104776</v>
      </c>
      <c r="AG8" s="216">
        <f>AG7+SUM(AE68,BH68)</f>
        <v>77.019368041163858</v>
      </c>
      <c r="AH8" s="215">
        <f t="shared" si="4"/>
        <v>70.82618451377914</v>
      </c>
      <c r="AI8" s="215">
        <f t="shared" si="5"/>
        <v>41.518966842103403</v>
      </c>
      <c r="AJ8" s="215">
        <f t="shared" si="6"/>
        <v>29.307217671675744</v>
      </c>
      <c r="AK8" s="239">
        <f t="shared" si="3"/>
        <v>36.634022089594666</v>
      </c>
    </row>
    <row r="9" spans="1:37" ht="14.4" x14ac:dyDescent="0.3">
      <c r="A9" s="514" t="s">
        <v>426</v>
      </c>
      <c r="B9" s="253">
        <v>10</v>
      </c>
      <c r="C9" s="88" t="s">
        <v>383</v>
      </c>
      <c r="D9" s="513" t="s">
        <v>143</v>
      </c>
      <c r="AB9" s="526"/>
      <c r="AC9" s="240">
        <f t="shared" si="0"/>
        <v>3153600</v>
      </c>
      <c r="AD9" s="423">
        <v>6</v>
      </c>
      <c r="AE9" s="25">
        <f t="shared" si="1"/>
        <v>205.38605491250257</v>
      </c>
      <c r="AF9" s="25">
        <f t="shared" si="2"/>
        <v>109.11184486104776</v>
      </c>
      <c r="AG9" s="216">
        <f>AG8+SUM(AE69,BH69)</f>
        <v>96.274210051454816</v>
      </c>
      <c r="AH9" s="215">
        <f t="shared" si="4"/>
        <v>65.127490776415073</v>
      </c>
      <c r="AI9" s="215">
        <f t="shared" si="5"/>
        <v>34.599139035086168</v>
      </c>
      <c r="AJ9" s="215">
        <f t="shared" si="6"/>
        <v>30.528351741328898</v>
      </c>
      <c r="AK9" s="239">
        <f t="shared" si="3"/>
        <v>36.634022089594666</v>
      </c>
    </row>
    <row r="10" spans="1:37" ht="14.4" x14ac:dyDescent="0.3">
      <c r="A10" s="514" t="s">
        <v>140</v>
      </c>
      <c r="B10" s="251">
        <v>0.19</v>
      </c>
      <c r="C10" s="88" t="s">
        <v>384</v>
      </c>
      <c r="D10" s="513" t="s">
        <v>143</v>
      </c>
      <c r="AB10" s="526"/>
      <c r="AC10" s="240">
        <f t="shared" si="0"/>
        <v>3679200</v>
      </c>
      <c r="AD10" s="423">
        <v>7</v>
      </c>
      <c r="AE10" s="25">
        <f t="shared" si="1"/>
        <v>224.64089692279353</v>
      </c>
      <c r="AF10" s="25">
        <f t="shared" si="2"/>
        <v>109.11184486104776</v>
      </c>
      <c r="AG10" s="216">
        <f>AG9+SUM(AE70,BH70)</f>
        <v>115.52905206174577</v>
      </c>
      <c r="AH10" s="215">
        <f t="shared" si="4"/>
        <v>61.056995249726441</v>
      </c>
      <c r="AI10" s="215">
        <f t="shared" si="5"/>
        <v>29.65640488721672</v>
      </c>
      <c r="AJ10" s="215">
        <f t="shared" si="6"/>
        <v>31.400590362509725</v>
      </c>
      <c r="AK10" s="239">
        <f t="shared" si="3"/>
        <v>36.634022089594666</v>
      </c>
    </row>
    <row r="11" spans="1:37" ht="15" thickBot="1" x14ac:dyDescent="0.35">
      <c r="A11" s="515" t="s">
        <v>141</v>
      </c>
      <c r="B11" s="516">
        <v>3</v>
      </c>
      <c r="C11" s="220" t="s">
        <v>385</v>
      </c>
      <c r="D11" s="517" t="s">
        <v>5</v>
      </c>
      <c r="AB11" s="526"/>
      <c r="AC11" s="240">
        <f t="shared" si="0"/>
        <v>4204800</v>
      </c>
      <c r="AD11" s="423">
        <v>8</v>
      </c>
      <c r="AE11" s="25">
        <f t="shared" si="1"/>
        <v>243.89573893308449</v>
      </c>
      <c r="AF11" s="25">
        <f t="shared" si="2"/>
        <v>109.11184486104776</v>
      </c>
      <c r="AG11" s="216">
        <f>AG10+SUM(AE71,BH71)</f>
        <v>134.78389407203673</v>
      </c>
      <c r="AH11" s="215">
        <f t="shared" si="4"/>
        <v>58.004123604709974</v>
      </c>
      <c r="AI11" s="215">
        <f t="shared" si="5"/>
        <v>25.949354276314629</v>
      </c>
      <c r="AJ11" s="215">
        <f t="shared" si="6"/>
        <v>32.054769328395345</v>
      </c>
      <c r="AK11" s="239">
        <f t="shared" si="3"/>
        <v>36.634022089594666</v>
      </c>
    </row>
    <row r="12" spans="1:37" ht="14.4" x14ac:dyDescent="0.3">
      <c r="AB12" s="526"/>
      <c r="AC12" s="240">
        <f t="shared" si="0"/>
        <v>4730400</v>
      </c>
      <c r="AD12" s="423">
        <v>9</v>
      </c>
      <c r="AE12" s="25">
        <f t="shared" si="1"/>
        <v>263.15058094337542</v>
      </c>
      <c r="AF12" s="25">
        <f t="shared" si="2"/>
        <v>109.11184486104776</v>
      </c>
      <c r="AG12" s="216">
        <f>AG11+SUM(AE72,BH72)</f>
        <v>154.03873608232769</v>
      </c>
      <c r="AH12" s="215">
        <f t="shared" si="4"/>
        <v>55.62966788080827</v>
      </c>
      <c r="AI12" s="215">
        <f t="shared" si="5"/>
        <v>23.066092690057449</v>
      </c>
      <c r="AJ12" s="215">
        <f t="shared" si="6"/>
        <v>32.563575190750825</v>
      </c>
      <c r="AK12" s="239">
        <f t="shared" si="3"/>
        <v>36.634022089594616</v>
      </c>
    </row>
    <row r="13" spans="1:37" ht="14.4" x14ac:dyDescent="0.3">
      <c r="A13" s="2"/>
      <c r="AB13" s="526"/>
      <c r="AC13" s="240">
        <f t="shared" si="0"/>
        <v>5256000</v>
      </c>
      <c r="AD13" s="423">
        <v>10</v>
      </c>
      <c r="AE13" s="25">
        <f t="shared" si="1"/>
        <v>282.4054229536664</v>
      </c>
      <c r="AF13" s="25">
        <f t="shared" si="2"/>
        <v>109.11184486104776</v>
      </c>
      <c r="AG13" s="216">
        <f>AG12+SUM(AE73,BH73)</f>
        <v>173.29357809261865</v>
      </c>
      <c r="AH13" s="215">
        <f t="shared" si="4"/>
        <v>53.73010330168691</v>
      </c>
      <c r="AI13" s="215">
        <f t="shared" si="5"/>
        <v>20.759483421051701</v>
      </c>
      <c r="AJ13" s="215">
        <f t="shared" si="6"/>
        <v>32.970619880635212</v>
      </c>
      <c r="AK13" s="239">
        <f t="shared" si="3"/>
        <v>36.634022089594723</v>
      </c>
    </row>
    <row r="14" spans="1:37" ht="14.4" x14ac:dyDescent="0.3">
      <c r="A14" s="145"/>
      <c r="B14" s="145"/>
      <c r="C14" s="145"/>
      <c r="D14" s="145"/>
      <c r="AB14" s="526"/>
      <c r="AC14" s="240">
        <f t="shared" si="0"/>
        <v>5781600</v>
      </c>
      <c r="AD14" s="423">
        <v>11</v>
      </c>
      <c r="AE14" s="25">
        <f t="shared" si="1"/>
        <v>301.66026496395739</v>
      </c>
      <c r="AF14" s="25">
        <f t="shared" si="2"/>
        <v>109.11184486104776</v>
      </c>
      <c r="AG14" s="216">
        <f>AG13+SUM(AE74,BH74)</f>
        <v>192.5484201029096</v>
      </c>
      <c r="AH14" s="215">
        <f t="shared" si="4"/>
        <v>52.175914100587619</v>
      </c>
      <c r="AI14" s="215">
        <f t="shared" si="5"/>
        <v>18.872257655501549</v>
      </c>
      <c r="AJ14" s="215">
        <f t="shared" si="6"/>
        <v>33.303656445086069</v>
      </c>
      <c r="AK14" s="239">
        <f t="shared" si="3"/>
        <v>36.634022089594723</v>
      </c>
    </row>
    <row r="15" spans="1:37" ht="13.8" customHeight="1" x14ac:dyDescent="0.3">
      <c r="A15" s="2"/>
      <c r="AB15" s="526"/>
      <c r="AC15" s="240">
        <f t="shared" si="0"/>
        <v>6307200</v>
      </c>
      <c r="AD15" s="423">
        <v>12</v>
      </c>
      <c r="AE15" s="25">
        <f t="shared" si="1"/>
        <v>320.91510697424832</v>
      </c>
      <c r="AF15" s="25">
        <f t="shared" si="2"/>
        <v>109.11184486104776</v>
      </c>
      <c r="AG15" s="216">
        <f>AG14+SUM(AE75,BH75)</f>
        <v>211.80326211320056</v>
      </c>
      <c r="AH15" s="215">
        <f t="shared" si="4"/>
        <v>50.880756433004869</v>
      </c>
      <c r="AI15" s="215">
        <f t="shared" si="5"/>
        <v>17.299569517543084</v>
      </c>
      <c r="AJ15" s="215">
        <f t="shared" si="6"/>
        <v>33.581186915461785</v>
      </c>
      <c r="AK15" s="239">
        <f t="shared" si="3"/>
        <v>36.634022089594616</v>
      </c>
    </row>
    <row r="16" spans="1:37" ht="14.4" x14ac:dyDescent="0.3">
      <c r="A16" s="104" t="s">
        <v>4</v>
      </c>
      <c r="AB16" s="526"/>
      <c r="AC16" s="240">
        <f t="shared" si="0"/>
        <v>6832800</v>
      </c>
      <c r="AD16" s="423">
        <v>13</v>
      </c>
      <c r="AE16" s="25">
        <f t="shared" si="1"/>
        <v>340.16994898453925</v>
      </c>
      <c r="AF16" s="25">
        <f t="shared" si="2"/>
        <v>109.11184486104776</v>
      </c>
      <c r="AG16" s="216">
        <f>AG15+SUM(AE76,BH76)</f>
        <v>231.05810412349152</v>
      </c>
      <c r="AH16" s="215">
        <f t="shared" si="4"/>
        <v>49.784853791204085</v>
      </c>
      <c r="AI16" s="215">
        <f t="shared" si="5"/>
        <v>15.968833400809004</v>
      </c>
      <c r="AJ16" s="215">
        <f t="shared" si="6"/>
        <v>33.816020390395082</v>
      </c>
      <c r="AK16" s="239">
        <f t="shared" si="3"/>
        <v>36.634022089594616</v>
      </c>
    </row>
    <row r="17" spans="1:61" ht="14.4" x14ac:dyDescent="0.3">
      <c r="A17" s="2" t="s">
        <v>427</v>
      </c>
      <c r="AB17" s="526"/>
      <c r="AC17" s="240">
        <f t="shared" si="0"/>
        <v>7358400</v>
      </c>
      <c r="AD17" s="423">
        <v>14</v>
      </c>
      <c r="AE17" s="25">
        <f t="shared" si="1"/>
        <v>359.42479099483023</v>
      </c>
      <c r="AF17" s="25">
        <f t="shared" si="2"/>
        <v>109.11184486104776</v>
      </c>
      <c r="AG17" s="216">
        <f>AG16+SUM(AE77,BH77)</f>
        <v>250.31294613378248</v>
      </c>
      <c r="AH17" s="215">
        <f t="shared" si="4"/>
        <v>48.84550866966056</v>
      </c>
      <c r="AI17" s="215">
        <f t="shared" si="5"/>
        <v>14.82820244360836</v>
      </c>
      <c r="AJ17" s="215">
        <f t="shared" si="6"/>
        <v>34.017306226052199</v>
      </c>
      <c r="AK17" s="239">
        <f t="shared" si="3"/>
        <v>36.634022089594723</v>
      </c>
    </row>
    <row r="18" spans="1:61" ht="14.4" x14ac:dyDescent="0.3">
      <c r="A18" s="2" t="s">
        <v>429</v>
      </c>
      <c r="AB18" s="526"/>
      <c r="AC18" s="240">
        <f t="shared" si="0"/>
        <v>7884000</v>
      </c>
      <c r="AD18" s="423">
        <v>15</v>
      </c>
      <c r="AE18" s="25">
        <f t="shared" si="1"/>
        <v>378.67963300512122</v>
      </c>
      <c r="AF18" s="25">
        <f t="shared" si="2"/>
        <v>109.11184486104776</v>
      </c>
      <c r="AG18" s="216">
        <f>AG17+SUM(AE78,BH78)</f>
        <v>269.56778814407346</v>
      </c>
      <c r="AH18" s="215">
        <f t="shared" si="4"/>
        <v>48.031409564322836</v>
      </c>
      <c r="AI18" s="215">
        <f t="shared" si="5"/>
        <v>13.83965561403447</v>
      </c>
      <c r="AJ18" s="215">
        <f t="shared" si="6"/>
        <v>34.191753950288366</v>
      </c>
      <c r="AK18" s="239">
        <f t="shared" si="3"/>
        <v>36.634022089594723</v>
      </c>
    </row>
    <row r="19" spans="1:61" ht="14.4" x14ac:dyDescent="0.3">
      <c r="A19" s="2" t="s">
        <v>553</v>
      </c>
      <c r="AB19" s="526"/>
      <c r="AC19" s="240">
        <f t="shared" si="0"/>
        <v>8409600</v>
      </c>
      <c r="AD19" s="423">
        <v>16</v>
      </c>
      <c r="AE19" s="25">
        <f t="shared" si="1"/>
        <v>397.9344750154122</v>
      </c>
      <c r="AF19" s="25">
        <f t="shared" si="2"/>
        <v>109.11184486104776</v>
      </c>
      <c r="AG19" s="216">
        <f>AG18+SUM(AE79,BH79)</f>
        <v>288.82263015436445</v>
      </c>
      <c r="AH19" s="215">
        <f t="shared" si="4"/>
        <v>47.319072847152327</v>
      </c>
      <c r="AI19" s="215">
        <f t="shared" si="5"/>
        <v>12.974677138157315</v>
      </c>
      <c r="AJ19" s="215">
        <f t="shared" si="6"/>
        <v>34.344395708995009</v>
      </c>
      <c r="AK19" s="239">
        <f t="shared" si="3"/>
        <v>36.634022089594723</v>
      </c>
    </row>
    <row r="20" spans="1:61" ht="14.4" x14ac:dyDescent="0.3">
      <c r="A20" s="2" t="s">
        <v>430</v>
      </c>
      <c r="AB20" s="526"/>
      <c r="AC20" s="240">
        <f t="shared" si="0"/>
        <v>8935200</v>
      </c>
      <c r="AD20" s="423">
        <v>17</v>
      </c>
      <c r="AE20" s="25">
        <f t="shared" si="1"/>
        <v>417.18931702570319</v>
      </c>
      <c r="AF20" s="25">
        <f t="shared" si="2"/>
        <v>109.11184486104776</v>
      </c>
      <c r="AG20" s="216">
        <f>AG19+SUM(AE80,BH80)</f>
        <v>308.07747216465543</v>
      </c>
      <c r="AH20" s="215">
        <f t="shared" si="4"/>
        <v>46.690540449648935</v>
      </c>
      <c r="AI20" s="215">
        <f t="shared" si="5"/>
        <v>12.211460835912767</v>
      </c>
      <c r="AJ20" s="215">
        <f t="shared" si="6"/>
        <v>34.479079613736168</v>
      </c>
      <c r="AK20" s="239">
        <f t="shared" si="3"/>
        <v>36.634022089594723</v>
      </c>
    </row>
    <row r="21" spans="1:61" ht="14.4" x14ac:dyDescent="0.3">
      <c r="A21" s="2" t="s">
        <v>431</v>
      </c>
      <c r="AB21" s="526"/>
      <c r="AC21" s="240">
        <f t="shared" si="0"/>
        <v>9460800</v>
      </c>
      <c r="AD21" s="423">
        <v>18</v>
      </c>
      <c r="AE21" s="25">
        <f t="shared" si="1"/>
        <v>436.44415903599418</v>
      </c>
      <c r="AF21" s="25">
        <f t="shared" si="2"/>
        <v>109.11184486104776</v>
      </c>
      <c r="AG21" s="216">
        <f>AG20+SUM(AE81,BH81)</f>
        <v>327.33231417494642</v>
      </c>
      <c r="AH21" s="215">
        <f t="shared" si="4"/>
        <v>46.131844985201475</v>
      </c>
      <c r="AI21" s="215">
        <f t="shared" si="5"/>
        <v>11.533046345028724</v>
      </c>
      <c r="AJ21" s="215">
        <f t="shared" si="6"/>
        <v>34.598798640172753</v>
      </c>
      <c r="AK21" s="239">
        <f t="shared" si="3"/>
        <v>36.634022089594723</v>
      </c>
    </row>
    <row r="22" spans="1:61" ht="14.4" x14ac:dyDescent="0.3">
      <c r="A22" s="2" t="s">
        <v>554</v>
      </c>
      <c r="AB22" s="526"/>
      <c r="AC22" s="240">
        <f t="shared" si="0"/>
        <v>9986400</v>
      </c>
      <c r="AD22" s="423">
        <v>19</v>
      </c>
      <c r="AE22" s="25">
        <f t="shared" si="1"/>
        <v>455.69900104628516</v>
      </c>
      <c r="AF22" s="25">
        <f t="shared" si="2"/>
        <v>109.11184486104776</v>
      </c>
      <c r="AG22" s="216">
        <f>AG21+SUM(AE82,BH82)</f>
        <v>346.5871561852374</v>
      </c>
      <c r="AH22" s="215">
        <f t="shared" si="4"/>
        <v>45.631959569643222</v>
      </c>
      <c r="AI22" s="215">
        <f t="shared" si="5"/>
        <v>10.926043905816686</v>
      </c>
      <c r="AJ22" s="215">
        <f t="shared" si="6"/>
        <v>34.705915663826538</v>
      </c>
      <c r="AK22" s="239">
        <f t="shared" si="3"/>
        <v>36.634022089594723</v>
      </c>
    </row>
    <row r="23" spans="1:61" ht="14.4" x14ac:dyDescent="0.3">
      <c r="A23" s="2" t="s">
        <v>392</v>
      </c>
      <c r="AB23" s="526"/>
      <c r="AC23" s="240">
        <f t="shared" si="0"/>
        <v>10512000</v>
      </c>
      <c r="AD23" s="423">
        <v>20</v>
      </c>
      <c r="AE23" s="25">
        <f t="shared" si="1"/>
        <v>474.95384305657615</v>
      </c>
      <c r="AF23" s="25">
        <f t="shared" si="2"/>
        <v>109.11184486104776</v>
      </c>
      <c r="AG23" s="216">
        <f>AG22+SUM(AE83,BH83)</f>
        <v>365.84199819552839</v>
      </c>
      <c r="AH23" s="215">
        <f t="shared" si="4"/>
        <v>45.182062695640802</v>
      </c>
      <c r="AI23" s="215">
        <f t="shared" si="5"/>
        <v>10.379741710525851</v>
      </c>
      <c r="AJ23" s="215">
        <f t="shared" si="6"/>
        <v>34.802320985114953</v>
      </c>
      <c r="AK23" s="239">
        <f t="shared" si="3"/>
        <v>36.634022089594723</v>
      </c>
    </row>
    <row r="24" spans="1:61" ht="14.4" customHeight="1" x14ac:dyDescent="0.3">
      <c r="A24" s="145"/>
      <c r="B24" s="145"/>
      <c r="C24" s="145"/>
      <c r="AB24" s="526"/>
      <c r="AC24" s="240">
        <f t="shared" si="0"/>
        <v>11037600</v>
      </c>
      <c r="AD24" s="423">
        <v>21</v>
      </c>
      <c r="AE24" s="25">
        <f t="shared" si="1"/>
        <v>494.20868506686713</v>
      </c>
      <c r="AF24" s="25">
        <f t="shared" si="2"/>
        <v>109.11184486104776</v>
      </c>
      <c r="AG24" s="216">
        <f>AG23+SUM(AE84,BH84)</f>
        <v>385.09684020581938</v>
      </c>
      <c r="AH24" s="215">
        <f t="shared" si="4"/>
        <v>44.775013142971943</v>
      </c>
      <c r="AI24" s="215">
        <f t="shared" si="5"/>
        <v>9.8854682957389066</v>
      </c>
      <c r="AJ24" s="215">
        <f t="shared" si="6"/>
        <v>34.889544847233033</v>
      </c>
      <c r="AK24" s="239">
        <f t="shared" si="3"/>
        <v>36.634022089594723</v>
      </c>
    </row>
    <row r="25" spans="1:61" ht="14.4" x14ac:dyDescent="0.3">
      <c r="A25" s="145"/>
      <c r="B25" s="145"/>
      <c r="C25" s="145"/>
      <c r="AB25" s="526"/>
      <c r="AC25" s="240">
        <f t="shared" si="0"/>
        <v>11563200</v>
      </c>
      <c r="AD25" s="423">
        <v>22</v>
      </c>
      <c r="AE25" s="25">
        <f t="shared" si="1"/>
        <v>513.46352707715812</v>
      </c>
      <c r="AF25" s="25">
        <f t="shared" si="2"/>
        <v>109.11184486104776</v>
      </c>
      <c r="AG25" s="216">
        <f>AG24+SUM(AE85,BH85)</f>
        <v>404.35168221611036</v>
      </c>
      <c r="AH25" s="215">
        <f t="shared" si="4"/>
        <v>44.404968095091164</v>
      </c>
      <c r="AI25" s="215">
        <f t="shared" si="5"/>
        <v>9.4361288277507747</v>
      </c>
      <c r="AJ25" s="215">
        <f t="shared" si="6"/>
        <v>34.968839267340385</v>
      </c>
      <c r="AK25" s="239">
        <f t="shared" si="3"/>
        <v>36.634022089594723</v>
      </c>
    </row>
    <row r="26" spans="1:61" ht="14.4" x14ac:dyDescent="0.3">
      <c r="A26" s="145"/>
      <c r="B26" s="145"/>
      <c r="C26" s="145"/>
      <c r="AB26" s="526"/>
      <c r="AC26" s="240">
        <f t="shared" si="0"/>
        <v>12088800</v>
      </c>
      <c r="AD26" s="423">
        <v>23</v>
      </c>
      <c r="AE26" s="25">
        <f t="shared" si="1"/>
        <v>532.7183690874491</v>
      </c>
      <c r="AF26" s="25">
        <f t="shared" si="2"/>
        <v>109.11184486104776</v>
      </c>
      <c r="AG26" s="216">
        <f>AG25+SUM(AE86,BH86)</f>
        <v>423.60652422640135</v>
      </c>
      <c r="AH26" s="215">
        <f t="shared" si="4"/>
        <v>44.067100877460888</v>
      </c>
      <c r="AI26" s="215">
        <f t="shared" si="5"/>
        <v>9.0258623569790029</v>
      </c>
      <c r="AJ26" s="215">
        <f t="shared" si="6"/>
        <v>35.041238520481883</v>
      </c>
      <c r="AK26" s="239">
        <f t="shared" si="3"/>
        <v>36.634022089594723</v>
      </c>
    </row>
    <row r="27" spans="1:61" ht="14.4" x14ac:dyDescent="0.3">
      <c r="A27" s="145"/>
      <c r="B27" s="145"/>
      <c r="C27" s="145"/>
      <c r="AB27" s="526"/>
      <c r="AC27" s="240">
        <f t="shared" si="0"/>
        <v>12614400</v>
      </c>
      <c r="AD27" s="423">
        <v>24</v>
      </c>
      <c r="AE27" s="25">
        <f t="shared" si="1"/>
        <v>551.97321109774009</v>
      </c>
      <c r="AF27" s="25">
        <f t="shared" si="2"/>
        <v>109.11184486104776</v>
      </c>
      <c r="AG27" s="216">
        <f>AG26+SUM(AE87,BH87)</f>
        <v>442.86136623669233</v>
      </c>
      <c r="AH27" s="215">
        <f t="shared" si="4"/>
        <v>43.757389261299792</v>
      </c>
      <c r="AI27" s="215">
        <f t="shared" si="5"/>
        <v>8.649784758771542</v>
      </c>
      <c r="AJ27" s="215">
        <f t="shared" si="6"/>
        <v>35.107604502528247</v>
      </c>
      <c r="AK27" s="239">
        <f t="shared" si="3"/>
        <v>36.634022089594723</v>
      </c>
    </row>
    <row r="28" spans="1:61" ht="15" thickBot="1" x14ac:dyDescent="0.35">
      <c r="B28" s="145"/>
      <c r="C28" s="145"/>
      <c r="AB28" s="526"/>
      <c r="AC28" s="250">
        <f t="shared" si="0"/>
        <v>13140000</v>
      </c>
      <c r="AD28" s="524">
        <v>25</v>
      </c>
      <c r="AE28" s="25">
        <f t="shared" si="1"/>
        <v>571.22805310803108</v>
      </c>
      <c r="AF28" s="25">
        <f t="shared" si="2"/>
        <v>109.11184486104776</v>
      </c>
      <c r="AG28" s="245">
        <f>AG27+SUM(AE88,BH88)</f>
        <v>462.11620824698332</v>
      </c>
      <c r="AH28" s="242">
        <f>SUM(AI28:AJ28)</f>
        <v>43.472454574431595</v>
      </c>
      <c r="AI28" s="215">
        <f t="shared" si="5"/>
        <v>8.3037933684206813</v>
      </c>
      <c r="AJ28" s="215">
        <f t="shared" si="6"/>
        <v>35.16866120601091</v>
      </c>
      <c r="AK28" s="239">
        <f t="shared" si="3"/>
        <v>36.634022089594723</v>
      </c>
      <c r="AO28" s="145"/>
      <c r="AP28" s="145"/>
      <c r="AQ28" s="145"/>
      <c r="AR28" s="145"/>
      <c r="AS28" s="145"/>
      <c r="AT28" s="145"/>
      <c r="AU28" s="145"/>
      <c r="AV28" s="145"/>
      <c r="AW28" s="145"/>
      <c r="AX28" s="145"/>
      <c r="AY28" s="145"/>
      <c r="AZ28" s="145"/>
      <c r="BA28" s="145"/>
      <c r="BB28" s="145"/>
      <c r="BC28" s="145"/>
      <c r="BD28" s="145"/>
      <c r="BE28" s="145"/>
      <c r="BF28" s="145"/>
      <c r="BG28" s="145"/>
      <c r="BH28" s="145"/>
      <c r="BI28" s="145"/>
    </row>
    <row r="31" spans="1:61" ht="13.8" customHeight="1" thickBot="1" x14ac:dyDescent="0.35">
      <c r="AC31" s="507" t="s">
        <v>522</v>
      </c>
      <c r="AD31" s="507"/>
      <c r="AE31" s="507"/>
      <c r="AF31" s="507"/>
      <c r="AG31" s="507"/>
      <c r="AH31" s="507"/>
      <c r="AI31" s="507"/>
      <c r="AJ31" s="507"/>
      <c r="AK31" s="507"/>
      <c r="AL31" s="507"/>
      <c r="AM31"/>
    </row>
    <row r="32" spans="1:61" ht="14.4" x14ac:dyDescent="0.3">
      <c r="AC32" s="414" t="s">
        <v>354</v>
      </c>
      <c r="AD32" s="415" t="s">
        <v>432</v>
      </c>
      <c r="AE32" s="415" t="s">
        <v>422</v>
      </c>
      <c r="AF32" s="415" t="s">
        <v>137</v>
      </c>
      <c r="AG32" s="415" t="s">
        <v>138</v>
      </c>
      <c r="AH32" s="518" t="s">
        <v>139</v>
      </c>
      <c r="AI32" s="518" t="s">
        <v>145</v>
      </c>
      <c r="AJ32" s="518" t="s">
        <v>380</v>
      </c>
      <c r="AK32" s="518" t="s">
        <v>373</v>
      </c>
      <c r="AL32" s="512" t="s">
        <v>140</v>
      </c>
      <c r="AM32"/>
    </row>
    <row r="33" spans="28:39" ht="14.4" x14ac:dyDescent="0.3">
      <c r="AC33" s="519">
        <v>0</v>
      </c>
      <c r="AD33" s="101">
        <v>0</v>
      </c>
      <c r="AE33" s="101">
        <v>0</v>
      </c>
      <c r="AF33" s="101">
        <v>0</v>
      </c>
      <c r="AG33" s="101">
        <v>0</v>
      </c>
      <c r="AH33" s="101">
        <v>0</v>
      </c>
      <c r="AI33" s="101">
        <v>0</v>
      </c>
      <c r="AJ33" s="101">
        <v>0</v>
      </c>
      <c r="AK33" s="101">
        <v>0</v>
      </c>
      <c r="AL33" s="520">
        <v>0</v>
      </c>
      <c r="AM33"/>
    </row>
    <row r="34" spans="28:39" ht="14.4" x14ac:dyDescent="0.3">
      <c r="AB34" s="22"/>
      <c r="AC34" s="367">
        <f>(60*24*365)</f>
        <v>525600</v>
      </c>
      <c r="AD34" s="21">
        <v>1</v>
      </c>
      <c r="AE34" s="101">
        <v>1</v>
      </c>
      <c r="AF34" s="21">
        <v>1</v>
      </c>
      <c r="AG34" s="21">
        <v>5</v>
      </c>
      <c r="AH34" s="21">
        <f>AG34*10</f>
        <v>50</v>
      </c>
      <c r="AI34" s="21">
        <v>5</v>
      </c>
      <c r="AJ34" s="248">
        <v>1</v>
      </c>
      <c r="AK34" s="216">
        <f t="shared" ref="AK34:AK58" si="7">$B$9</f>
        <v>10</v>
      </c>
      <c r="AL34" s="292">
        <v>20</v>
      </c>
      <c r="AM34"/>
    </row>
    <row r="35" spans="28:39" ht="14.4" x14ac:dyDescent="0.3">
      <c r="AB35" s="22"/>
      <c r="AC35" s="367">
        <f>AC34+$AC$34</f>
        <v>1051200</v>
      </c>
      <c r="AD35" s="21">
        <v>2</v>
      </c>
      <c r="AE35" s="21">
        <v>1</v>
      </c>
      <c r="AF35" s="21">
        <v>0.33</v>
      </c>
      <c r="AG35" s="21">
        <v>0</v>
      </c>
      <c r="AH35" s="522">
        <f t="shared" ref="AH35:AH58" si="8">AG35*10</f>
        <v>0</v>
      </c>
      <c r="AI35" s="21">
        <v>0</v>
      </c>
      <c r="AJ35" s="248">
        <v>1</v>
      </c>
      <c r="AK35" s="216">
        <f t="shared" si="7"/>
        <v>10</v>
      </c>
      <c r="AL35" s="292">
        <v>2</v>
      </c>
      <c r="AM35"/>
    </row>
    <row r="36" spans="28:39" ht="14.4" x14ac:dyDescent="0.3">
      <c r="AB36" s="22"/>
      <c r="AC36" s="367">
        <f t="shared" ref="AC36:AC58" si="9">AC35+$AC$34</f>
        <v>1576800</v>
      </c>
      <c r="AD36" s="21">
        <v>3</v>
      </c>
      <c r="AE36" s="21">
        <v>1</v>
      </c>
      <c r="AF36" s="21">
        <v>0.33</v>
      </c>
      <c r="AG36" s="21">
        <v>0</v>
      </c>
      <c r="AH36" s="522">
        <f>AG36*10</f>
        <v>0</v>
      </c>
      <c r="AI36" s="21">
        <v>0</v>
      </c>
      <c r="AJ36" s="248">
        <v>1</v>
      </c>
      <c r="AK36" s="216">
        <f t="shared" si="7"/>
        <v>10</v>
      </c>
      <c r="AL36" s="292">
        <v>2</v>
      </c>
      <c r="AM36"/>
    </row>
    <row r="37" spans="28:39" ht="14.4" x14ac:dyDescent="0.3">
      <c r="AB37" s="22"/>
      <c r="AC37" s="367">
        <f t="shared" si="9"/>
        <v>2102400</v>
      </c>
      <c r="AD37" s="21">
        <v>4</v>
      </c>
      <c r="AE37" s="21">
        <v>1</v>
      </c>
      <c r="AF37" s="21">
        <v>0.33</v>
      </c>
      <c r="AG37" s="21">
        <v>0</v>
      </c>
      <c r="AH37" s="522">
        <f t="shared" si="8"/>
        <v>0</v>
      </c>
      <c r="AI37" s="21">
        <v>0</v>
      </c>
      <c r="AJ37" s="248">
        <v>1</v>
      </c>
      <c r="AK37" s="216">
        <f t="shared" si="7"/>
        <v>10</v>
      </c>
      <c r="AL37" s="292">
        <v>2</v>
      </c>
      <c r="AM37"/>
    </row>
    <row r="38" spans="28:39" ht="14.4" x14ac:dyDescent="0.3">
      <c r="AB38" s="22"/>
      <c r="AC38" s="367">
        <f t="shared" si="9"/>
        <v>2628000</v>
      </c>
      <c r="AD38" s="21">
        <v>5</v>
      </c>
      <c r="AE38" s="21">
        <v>1</v>
      </c>
      <c r="AF38" s="21">
        <v>0.33</v>
      </c>
      <c r="AG38" s="21">
        <v>0</v>
      </c>
      <c r="AH38" s="522">
        <f t="shared" si="8"/>
        <v>0</v>
      </c>
      <c r="AI38" s="21">
        <v>0</v>
      </c>
      <c r="AJ38" s="248">
        <v>1</v>
      </c>
      <c r="AK38" s="216">
        <f t="shared" si="7"/>
        <v>10</v>
      </c>
      <c r="AL38" s="292">
        <v>2</v>
      </c>
      <c r="AM38"/>
    </row>
    <row r="39" spans="28:39" ht="14.4" x14ac:dyDescent="0.3">
      <c r="AB39" s="22"/>
      <c r="AC39" s="367">
        <f t="shared" si="9"/>
        <v>3153600</v>
      </c>
      <c r="AD39" s="21">
        <v>6</v>
      </c>
      <c r="AE39" s="21">
        <v>1</v>
      </c>
      <c r="AF39" s="21">
        <v>0.33</v>
      </c>
      <c r="AG39" s="21">
        <v>0</v>
      </c>
      <c r="AH39" s="522">
        <f t="shared" si="8"/>
        <v>0</v>
      </c>
      <c r="AI39" s="21">
        <v>0</v>
      </c>
      <c r="AJ39" s="248">
        <v>1</v>
      </c>
      <c r="AK39" s="216">
        <f t="shared" si="7"/>
        <v>10</v>
      </c>
      <c r="AL39" s="292">
        <v>2</v>
      </c>
      <c r="AM39"/>
    </row>
    <row r="40" spans="28:39" ht="14.4" x14ac:dyDescent="0.3">
      <c r="AB40" s="22"/>
      <c r="AC40" s="367">
        <f t="shared" si="9"/>
        <v>3679200</v>
      </c>
      <c r="AD40" s="21">
        <v>7</v>
      </c>
      <c r="AE40" s="21">
        <v>1</v>
      </c>
      <c r="AF40" s="21">
        <v>0.33</v>
      </c>
      <c r="AG40" s="21">
        <v>0</v>
      </c>
      <c r="AH40" s="522">
        <f t="shared" si="8"/>
        <v>0</v>
      </c>
      <c r="AI40" s="21">
        <v>0</v>
      </c>
      <c r="AJ40" s="248">
        <v>1</v>
      </c>
      <c r="AK40" s="216">
        <f t="shared" si="7"/>
        <v>10</v>
      </c>
      <c r="AL40" s="292">
        <v>2</v>
      </c>
      <c r="AM40"/>
    </row>
    <row r="41" spans="28:39" ht="14.4" x14ac:dyDescent="0.3">
      <c r="AB41" s="22"/>
      <c r="AC41" s="367">
        <f t="shared" si="9"/>
        <v>4204800</v>
      </c>
      <c r="AD41" s="21">
        <v>8</v>
      </c>
      <c r="AE41" s="21">
        <v>1</v>
      </c>
      <c r="AF41" s="21">
        <v>0.33</v>
      </c>
      <c r="AG41" s="21">
        <v>0</v>
      </c>
      <c r="AH41" s="522">
        <f t="shared" si="8"/>
        <v>0</v>
      </c>
      <c r="AI41" s="21">
        <v>0</v>
      </c>
      <c r="AJ41" s="248">
        <v>1</v>
      </c>
      <c r="AK41" s="216">
        <f t="shared" si="7"/>
        <v>10</v>
      </c>
      <c r="AL41" s="292">
        <v>2</v>
      </c>
      <c r="AM41"/>
    </row>
    <row r="42" spans="28:39" ht="14.4" x14ac:dyDescent="0.3">
      <c r="AB42" s="22"/>
      <c r="AC42" s="367">
        <f t="shared" si="9"/>
        <v>4730400</v>
      </c>
      <c r="AD42" s="21">
        <v>9</v>
      </c>
      <c r="AE42" s="21">
        <v>1</v>
      </c>
      <c r="AF42" s="21">
        <v>0.33</v>
      </c>
      <c r="AG42" s="21">
        <v>0</v>
      </c>
      <c r="AH42" s="522">
        <f t="shared" si="8"/>
        <v>0</v>
      </c>
      <c r="AI42" s="21">
        <v>0</v>
      </c>
      <c r="AJ42" s="248">
        <v>1</v>
      </c>
      <c r="AK42" s="216">
        <f t="shared" si="7"/>
        <v>10</v>
      </c>
      <c r="AL42" s="292">
        <v>2</v>
      </c>
      <c r="AM42"/>
    </row>
    <row r="43" spans="28:39" ht="14.4" x14ac:dyDescent="0.3">
      <c r="AC43" s="367">
        <f t="shared" si="9"/>
        <v>5256000</v>
      </c>
      <c r="AD43" s="21">
        <v>10</v>
      </c>
      <c r="AE43" s="21">
        <v>1</v>
      </c>
      <c r="AF43" s="21">
        <v>0.33</v>
      </c>
      <c r="AG43" s="21">
        <v>0</v>
      </c>
      <c r="AH43" s="522">
        <f t="shared" si="8"/>
        <v>0</v>
      </c>
      <c r="AI43" s="21">
        <v>0</v>
      </c>
      <c r="AJ43" s="248">
        <v>1</v>
      </c>
      <c r="AK43" s="216">
        <f t="shared" si="7"/>
        <v>10</v>
      </c>
      <c r="AL43" s="292">
        <v>2</v>
      </c>
      <c r="AM43"/>
    </row>
    <row r="44" spans="28:39" ht="14.4" x14ac:dyDescent="0.3">
      <c r="AC44" s="367">
        <f t="shared" si="9"/>
        <v>5781600</v>
      </c>
      <c r="AD44" s="21">
        <v>11</v>
      </c>
      <c r="AE44" s="21">
        <v>1</v>
      </c>
      <c r="AF44" s="21">
        <v>0.33</v>
      </c>
      <c r="AG44" s="21">
        <v>0</v>
      </c>
      <c r="AH44" s="522">
        <f t="shared" si="8"/>
        <v>0</v>
      </c>
      <c r="AI44" s="21">
        <v>0</v>
      </c>
      <c r="AJ44" s="248">
        <v>1</v>
      </c>
      <c r="AK44" s="216">
        <f t="shared" si="7"/>
        <v>10</v>
      </c>
      <c r="AL44" s="292">
        <v>2</v>
      </c>
      <c r="AM44"/>
    </row>
    <row r="45" spans="28:39" ht="13.8" customHeight="1" x14ac:dyDescent="0.25">
      <c r="AC45" s="367">
        <f t="shared" si="9"/>
        <v>6307200</v>
      </c>
      <c r="AD45" s="21">
        <v>12</v>
      </c>
      <c r="AE45" s="21">
        <v>1</v>
      </c>
      <c r="AF45" s="21">
        <v>0.33</v>
      </c>
      <c r="AG45" s="21">
        <v>0</v>
      </c>
      <c r="AH45" s="522">
        <f t="shared" si="8"/>
        <v>0</v>
      </c>
      <c r="AI45" s="21">
        <v>0</v>
      </c>
      <c r="AJ45" s="248">
        <v>1</v>
      </c>
      <c r="AK45" s="216">
        <f t="shared" si="7"/>
        <v>10</v>
      </c>
      <c r="AL45" s="292">
        <v>2</v>
      </c>
    </row>
    <row r="46" spans="28:39" x14ac:dyDescent="0.25">
      <c r="AC46" s="367">
        <f t="shared" si="9"/>
        <v>6832800</v>
      </c>
      <c r="AD46" s="21">
        <v>13</v>
      </c>
      <c r="AE46" s="21">
        <v>1</v>
      </c>
      <c r="AF46" s="21">
        <v>0.33</v>
      </c>
      <c r="AG46" s="21">
        <v>0</v>
      </c>
      <c r="AH46" s="522">
        <f t="shared" si="8"/>
        <v>0</v>
      </c>
      <c r="AI46" s="21">
        <v>0</v>
      </c>
      <c r="AJ46" s="248">
        <v>1</v>
      </c>
      <c r="AK46" s="216">
        <f t="shared" si="7"/>
        <v>10</v>
      </c>
      <c r="AL46" s="292">
        <v>2</v>
      </c>
    </row>
    <row r="47" spans="28:39" x14ac:dyDescent="0.25">
      <c r="AC47" s="367">
        <f t="shared" si="9"/>
        <v>7358400</v>
      </c>
      <c r="AD47" s="21">
        <v>14</v>
      </c>
      <c r="AE47" s="21">
        <v>1</v>
      </c>
      <c r="AF47" s="21">
        <v>0.33</v>
      </c>
      <c r="AG47" s="21">
        <v>0</v>
      </c>
      <c r="AH47" s="522">
        <f t="shared" si="8"/>
        <v>0</v>
      </c>
      <c r="AI47" s="21">
        <v>0</v>
      </c>
      <c r="AJ47" s="248">
        <v>1</v>
      </c>
      <c r="AK47" s="216">
        <f t="shared" si="7"/>
        <v>10</v>
      </c>
      <c r="AL47" s="292">
        <v>2</v>
      </c>
    </row>
    <row r="48" spans="28:39" x14ac:dyDescent="0.25">
      <c r="AC48" s="367">
        <f t="shared" si="9"/>
        <v>7884000</v>
      </c>
      <c r="AD48" s="21">
        <v>15</v>
      </c>
      <c r="AE48" s="21">
        <v>1</v>
      </c>
      <c r="AF48" s="21">
        <v>0.33</v>
      </c>
      <c r="AG48" s="21">
        <v>0</v>
      </c>
      <c r="AH48" s="522">
        <f t="shared" si="8"/>
        <v>0</v>
      </c>
      <c r="AI48" s="21">
        <v>0</v>
      </c>
      <c r="AJ48" s="248">
        <v>1</v>
      </c>
      <c r="AK48" s="216">
        <f t="shared" si="7"/>
        <v>10</v>
      </c>
      <c r="AL48" s="292">
        <v>2</v>
      </c>
    </row>
    <row r="49" spans="29:60" x14ac:dyDescent="0.25">
      <c r="AC49" s="367">
        <f t="shared" si="9"/>
        <v>8409600</v>
      </c>
      <c r="AD49" s="21">
        <v>16</v>
      </c>
      <c r="AE49" s="21">
        <v>1</v>
      </c>
      <c r="AF49" s="21">
        <v>0.33</v>
      </c>
      <c r="AG49" s="21">
        <v>0</v>
      </c>
      <c r="AH49" s="522">
        <f t="shared" si="8"/>
        <v>0</v>
      </c>
      <c r="AI49" s="21">
        <v>0</v>
      </c>
      <c r="AJ49" s="248">
        <v>1</v>
      </c>
      <c r="AK49" s="216">
        <f t="shared" si="7"/>
        <v>10</v>
      </c>
      <c r="AL49" s="292">
        <v>2</v>
      </c>
    </row>
    <row r="50" spans="29:60" x14ac:dyDescent="0.25">
      <c r="AC50" s="367">
        <f t="shared" si="9"/>
        <v>8935200</v>
      </c>
      <c r="AD50" s="21">
        <v>17</v>
      </c>
      <c r="AE50" s="21">
        <v>1</v>
      </c>
      <c r="AF50" s="21">
        <v>0.33</v>
      </c>
      <c r="AG50" s="21">
        <v>0</v>
      </c>
      <c r="AH50" s="522">
        <f t="shared" si="8"/>
        <v>0</v>
      </c>
      <c r="AI50" s="21">
        <v>0</v>
      </c>
      <c r="AJ50" s="248">
        <v>1</v>
      </c>
      <c r="AK50" s="216">
        <f t="shared" si="7"/>
        <v>10</v>
      </c>
      <c r="AL50" s="292">
        <v>2</v>
      </c>
    </row>
    <row r="51" spans="29:60" x14ac:dyDescent="0.25">
      <c r="AC51" s="367">
        <f t="shared" si="9"/>
        <v>9460800</v>
      </c>
      <c r="AD51" s="21">
        <v>18</v>
      </c>
      <c r="AE51" s="21">
        <v>1</v>
      </c>
      <c r="AF51" s="21">
        <v>0.33</v>
      </c>
      <c r="AG51" s="21">
        <v>0</v>
      </c>
      <c r="AH51" s="522">
        <f t="shared" si="8"/>
        <v>0</v>
      </c>
      <c r="AI51" s="21">
        <v>0</v>
      </c>
      <c r="AJ51" s="248">
        <v>1</v>
      </c>
      <c r="AK51" s="216">
        <f t="shared" si="7"/>
        <v>10</v>
      </c>
      <c r="AL51" s="292">
        <v>2</v>
      </c>
    </row>
    <row r="52" spans="29:60" ht="14.4" customHeight="1" x14ac:dyDescent="0.25">
      <c r="AC52" s="367">
        <f t="shared" si="9"/>
        <v>9986400</v>
      </c>
      <c r="AD52" s="21">
        <v>19</v>
      </c>
      <c r="AE52" s="21">
        <v>1</v>
      </c>
      <c r="AF52" s="21">
        <v>0.33</v>
      </c>
      <c r="AG52" s="21">
        <v>0</v>
      </c>
      <c r="AH52" s="522">
        <f t="shared" si="8"/>
        <v>0</v>
      </c>
      <c r="AI52" s="21">
        <v>0</v>
      </c>
      <c r="AJ52" s="248">
        <v>1</v>
      </c>
      <c r="AK52" s="216">
        <f t="shared" si="7"/>
        <v>10</v>
      </c>
      <c r="AL52" s="292">
        <v>2</v>
      </c>
    </row>
    <row r="53" spans="29:60" x14ac:dyDescent="0.25">
      <c r="AC53" s="367">
        <f t="shared" si="9"/>
        <v>10512000</v>
      </c>
      <c r="AD53" s="21">
        <v>20</v>
      </c>
      <c r="AE53" s="21">
        <v>1</v>
      </c>
      <c r="AF53" s="21">
        <v>0.33</v>
      </c>
      <c r="AG53" s="21">
        <v>0</v>
      </c>
      <c r="AH53" s="522">
        <f t="shared" si="8"/>
        <v>0</v>
      </c>
      <c r="AI53" s="21">
        <v>0</v>
      </c>
      <c r="AJ53" s="248">
        <v>1</v>
      </c>
      <c r="AK53" s="216">
        <f t="shared" si="7"/>
        <v>10</v>
      </c>
      <c r="AL53" s="292">
        <v>2</v>
      </c>
    </row>
    <row r="54" spans="29:60" x14ac:dyDescent="0.25">
      <c r="AC54" s="367">
        <f t="shared" si="9"/>
        <v>11037600</v>
      </c>
      <c r="AD54" s="21">
        <v>21</v>
      </c>
      <c r="AE54" s="21">
        <v>1</v>
      </c>
      <c r="AF54" s="21">
        <v>0.33</v>
      </c>
      <c r="AG54" s="21">
        <v>0</v>
      </c>
      <c r="AH54" s="522">
        <f t="shared" si="8"/>
        <v>0</v>
      </c>
      <c r="AI54" s="21">
        <v>0</v>
      </c>
      <c r="AJ54" s="248">
        <v>1</v>
      </c>
      <c r="AK54" s="216">
        <f t="shared" si="7"/>
        <v>10</v>
      </c>
      <c r="AL54" s="292">
        <v>2</v>
      </c>
    </row>
    <row r="55" spans="29:60" x14ac:dyDescent="0.25">
      <c r="AC55" s="367">
        <f t="shared" si="9"/>
        <v>11563200</v>
      </c>
      <c r="AD55" s="21">
        <v>22</v>
      </c>
      <c r="AE55" s="21">
        <v>1</v>
      </c>
      <c r="AF55" s="21">
        <v>0.33</v>
      </c>
      <c r="AG55" s="21">
        <v>0</v>
      </c>
      <c r="AH55" s="522">
        <f t="shared" si="8"/>
        <v>0</v>
      </c>
      <c r="AI55" s="21">
        <v>0</v>
      </c>
      <c r="AJ55" s="248">
        <v>1</v>
      </c>
      <c r="AK55" s="216">
        <f t="shared" si="7"/>
        <v>10</v>
      </c>
      <c r="AL55" s="292">
        <v>2</v>
      </c>
    </row>
    <row r="56" spans="29:60" x14ac:dyDescent="0.25">
      <c r="AC56" s="367">
        <f t="shared" si="9"/>
        <v>12088800</v>
      </c>
      <c r="AD56" s="21">
        <v>23</v>
      </c>
      <c r="AE56" s="21">
        <v>1</v>
      </c>
      <c r="AF56" s="21">
        <v>0.33</v>
      </c>
      <c r="AG56" s="21">
        <v>0</v>
      </c>
      <c r="AH56" s="522">
        <f t="shared" si="8"/>
        <v>0</v>
      </c>
      <c r="AI56" s="21">
        <v>0</v>
      </c>
      <c r="AJ56" s="248">
        <v>1</v>
      </c>
      <c r="AK56" s="216">
        <f t="shared" si="7"/>
        <v>10</v>
      </c>
      <c r="AL56" s="292">
        <v>2</v>
      </c>
    </row>
    <row r="57" spans="29:60" x14ac:dyDescent="0.25">
      <c r="AC57" s="367">
        <f t="shared" si="9"/>
        <v>12614400</v>
      </c>
      <c r="AD57" s="21">
        <v>24</v>
      </c>
      <c r="AE57" s="21">
        <v>1</v>
      </c>
      <c r="AF57" s="21">
        <v>0.33</v>
      </c>
      <c r="AG57" s="21">
        <v>0</v>
      </c>
      <c r="AH57" s="522">
        <f t="shared" si="8"/>
        <v>0</v>
      </c>
      <c r="AI57" s="21">
        <v>0</v>
      </c>
      <c r="AJ57" s="248">
        <v>1</v>
      </c>
      <c r="AK57" s="216">
        <f t="shared" si="7"/>
        <v>10</v>
      </c>
      <c r="AL57" s="292">
        <v>2</v>
      </c>
    </row>
    <row r="58" spans="29:60" ht="14.4" thickBot="1" x14ac:dyDescent="0.3">
      <c r="AC58" s="375">
        <f t="shared" si="9"/>
        <v>13140000</v>
      </c>
      <c r="AD58" s="243">
        <v>25</v>
      </c>
      <c r="AE58" s="243">
        <v>1</v>
      </c>
      <c r="AF58" s="243">
        <v>0.33</v>
      </c>
      <c r="AG58" s="243">
        <v>0</v>
      </c>
      <c r="AH58" s="523">
        <f t="shared" si="8"/>
        <v>0</v>
      </c>
      <c r="AI58" s="243">
        <v>0</v>
      </c>
      <c r="AJ58" s="521">
        <v>1</v>
      </c>
      <c r="AK58" s="245">
        <f t="shared" si="7"/>
        <v>10</v>
      </c>
      <c r="AL58" s="292">
        <v>2</v>
      </c>
    </row>
    <row r="59" spans="29:60" ht="14.4" x14ac:dyDescent="0.3">
      <c r="AC59"/>
    </row>
    <row r="60" spans="29:60" ht="14.4" x14ac:dyDescent="0.3">
      <c r="AC60"/>
    </row>
    <row r="61" spans="29:60" ht="15" thickBot="1" x14ac:dyDescent="0.35">
      <c r="AC61" s="507" t="s">
        <v>523</v>
      </c>
      <c r="AD61" s="507"/>
      <c r="AE61" s="507"/>
      <c r="AF61" s="507"/>
      <c r="AG61" s="507"/>
      <c r="AH61" s="507"/>
      <c r="AI61" s="507"/>
      <c r="AJ61" s="507"/>
      <c r="AK61" s="507"/>
      <c r="AL61" s="507"/>
      <c r="AM61"/>
      <c r="AN61" s="501" t="s">
        <v>524</v>
      </c>
      <c r="AO61" s="501"/>
      <c r="AP61" s="501"/>
      <c r="AQ61" s="501"/>
      <c r="AR61" s="501"/>
      <c r="AS61" s="501"/>
      <c r="AT61" s="501"/>
      <c r="AU61" s="501"/>
      <c r="AV61" s="501"/>
      <c r="AW61" s="501"/>
      <c r="AX61" s="501"/>
      <c r="AY61" s="501"/>
      <c r="AZ61" s="501"/>
      <c r="BA61" s="501"/>
      <c r="BB61" s="501"/>
      <c r="BC61" s="501"/>
      <c r="BD61" s="501"/>
      <c r="BE61" s="501"/>
      <c r="BF61" s="501"/>
      <c r="BG61" s="501"/>
    </row>
    <row r="62" spans="29:60" ht="14.4" x14ac:dyDescent="0.3">
      <c r="AC62" s="414" t="s">
        <v>354</v>
      </c>
      <c r="AD62" s="415" t="s">
        <v>367</v>
      </c>
      <c r="AE62" s="415" t="s">
        <v>422</v>
      </c>
      <c r="AF62" s="415" t="s">
        <v>137</v>
      </c>
      <c r="AG62" s="415" t="s">
        <v>138</v>
      </c>
      <c r="AH62" s="518" t="s">
        <v>139</v>
      </c>
      <c r="AI62" s="518" t="s">
        <v>145</v>
      </c>
      <c r="AJ62" s="518" t="s">
        <v>380</v>
      </c>
      <c r="AK62" s="518" t="s">
        <v>373</v>
      </c>
      <c r="AL62" s="512" t="s">
        <v>140</v>
      </c>
      <c r="AM62"/>
      <c r="AN62" s="225">
        <v>2024</v>
      </c>
      <c r="AO62" s="225">
        <v>2025</v>
      </c>
      <c r="AP62" s="225">
        <v>2026</v>
      </c>
      <c r="AQ62" s="225">
        <v>2027</v>
      </c>
      <c r="AR62" s="225">
        <v>2028</v>
      </c>
      <c r="AS62" s="225">
        <v>2029</v>
      </c>
      <c r="AT62" s="225">
        <v>2030</v>
      </c>
      <c r="AU62" s="225">
        <v>2031</v>
      </c>
      <c r="AV62" s="225">
        <v>2032</v>
      </c>
      <c r="AW62" s="225">
        <v>2033</v>
      </c>
      <c r="AX62" s="225">
        <v>2034</v>
      </c>
      <c r="AY62" s="225">
        <v>2035</v>
      </c>
      <c r="AZ62" s="225">
        <v>2036</v>
      </c>
      <c r="BA62" s="225">
        <v>2037</v>
      </c>
      <c r="BB62" s="225">
        <v>2038</v>
      </c>
      <c r="BC62" s="225">
        <v>2039</v>
      </c>
      <c r="BD62" s="225">
        <v>2040</v>
      </c>
      <c r="BE62" s="225">
        <v>2041</v>
      </c>
      <c r="BF62" s="225">
        <v>2042</v>
      </c>
      <c r="BG62" s="225">
        <v>2043</v>
      </c>
      <c r="BH62" s="225" t="s">
        <v>405</v>
      </c>
    </row>
    <row r="63" spans="29:60" x14ac:dyDescent="0.25">
      <c r="AC63" s="240">
        <f>AC33</f>
        <v>0</v>
      </c>
      <c r="AD63" s="21">
        <v>0</v>
      </c>
      <c r="AE63" s="21">
        <v>0</v>
      </c>
      <c r="AF63" s="21">
        <v>0</v>
      </c>
      <c r="AG63" s="21">
        <v>0</v>
      </c>
      <c r="AH63" s="21">
        <v>0</v>
      </c>
      <c r="AI63" s="21">
        <v>0</v>
      </c>
      <c r="AJ63" s="21">
        <v>0</v>
      </c>
      <c r="AK63" s="21">
        <v>0</v>
      </c>
      <c r="AL63" s="286">
        <v>0</v>
      </c>
      <c r="AN63" s="21">
        <v>0</v>
      </c>
      <c r="AO63" s="21">
        <v>0</v>
      </c>
      <c r="AP63" s="21">
        <v>0</v>
      </c>
      <c r="AQ63" s="21">
        <v>0</v>
      </c>
      <c r="AR63" s="21">
        <v>0</v>
      </c>
      <c r="AS63" s="21">
        <v>0</v>
      </c>
      <c r="AT63" s="21">
        <v>0</v>
      </c>
      <c r="AU63" s="21">
        <v>0</v>
      </c>
      <c r="AV63" s="21">
        <v>0</v>
      </c>
      <c r="AW63" s="21">
        <v>0</v>
      </c>
      <c r="AX63" s="21">
        <v>0</v>
      </c>
      <c r="AY63" s="21">
        <v>0</v>
      </c>
      <c r="AZ63" s="21">
        <v>0</v>
      </c>
      <c r="BA63" s="21">
        <v>0</v>
      </c>
      <c r="BB63" s="21">
        <v>0</v>
      </c>
      <c r="BC63" s="21">
        <v>0</v>
      </c>
      <c r="BD63" s="21">
        <v>0</v>
      </c>
      <c r="BE63" s="21">
        <v>0</v>
      </c>
      <c r="BF63" s="21">
        <v>0</v>
      </c>
      <c r="BG63" s="21">
        <v>0</v>
      </c>
      <c r="BH63" s="21">
        <v>0</v>
      </c>
    </row>
    <row r="64" spans="29:60" x14ac:dyDescent="0.25">
      <c r="AC64" s="240">
        <f>AC34</f>
        <v>525600</v>
      </c>
      <c r="AD64" s="21">
        <v>1</v>
      </c>
      <c r="AE64" s="216">
        <f t="shared" ref="AE64:AE73" si="10">AE34*$B$3</f>
        <v>4</v>
      </c>
      <c r="AF64" s="227">
        <f t="shared" ref="AF64:AF73" si="11">AF34*$B$4</f>
        <v>3.5</v>
      </c>
      <c r="AG64" s="216">
        <f t="shared" ref="AG64:AG73" si="12">AG34*$B$5</f>
        <v>10</v>
      </c>
      <c r="AH64" s="227">
        <f t="shared" ref="AH64:AH73" si="13">AH34*$B$6</f>
        <v>1</v>
      </c>
      <c r="AI64" s="227">
        <f t="shared" ref="AI64:AI73" si="14">AI34*$B$7</f>
        <v>2.5</v>
      </c>
      <c r="AJ64" s="248">
        <f t="shared" ref="AJ64:AJ72" si="15">AJ34*$B$8</f>
        <v>0.1</v>
      </c>
      <c r="AK64" s="216">
        <f>(AE64+AF64+AG64+AH64)*(AK34/100)</f>
        <v>1.85</v>
      </c>
      <c r="AL64" s="292">
        <f t="shared" ref="AL64:AL72" si="16">$B$10*AL34</f>
        <v>3.8</v>
      </c>
      <c r="AN64" s="227">
        <f t="shared" ref="AN64:AN88" si="17">(AJ64+AK64+AL64)</f>
        <v>5.75</v>
      </c>
      <c r="AO64" s="227">
        <f>$AN$64/POWER(1+($B$11/100),AO62-2024)</f>
        <v>5.5825242718446599</v>
      </c>
      <c r="AP64" s="227">
        <f>$AN$64/POWER(1+($B$11/100),AP62-2024)</f>
        <v>5.4199264775190876</v>
      </c>
      <c r="AQ64" s="227">
        <f>$AN$64/POWER(1+($B$11/100),AQ62-2024)</f>
        <v>5.2620645412806679</v>
      </c>
      <c r="AR64" s="227">
        <f>$AN$64/POWER(1+($B$11/100),AR62-2024)</f>
        <v>5.1088005255152114</v>
      </c>
      <c r="AS64" s="227">
        <f>$AN$64/POWER(1+($B$11/100),AS62-2024)</f>
        <v>4.9600005102089435</v>
      </c>
      <c r="AT64" s="227">
        <f>$AN$64/POWER(1+($B$11/100),AT62-2024)</f>
        <v>4.8155344759310132</v>
      </c>
      <c r="AU64" s="227">
        <f>$AN$64/POWER(1+($B$11/100),AU62-2024)</f>
        <v>4.6752761902242836</v>
      </c>
      <c r="AV64" s="227">
        <f>$AN$64/POWER(1+($B$11/100),AV62-2024)</f>
        <v>4.539103097305131</v>
      </c>
      <c r="AW64" s="227">
        <f>$AN$64/POWER(1+($B$11/100),AW62-2024)</f>
        <v>4.4068962109758552</v>
      </c>
      <c r="AX64" s="227">
        <f>$AN$64/POWER(1+($B$11/100),AX62-2024)</f>
        <v>4.2785400106561697</v>
      </c>
      <c r="AY64" s="227">
        <f>$AN$64/POWER(1+($B$11/100),AY62-2024)</f>
        <v>4.1539223404428833</v>
      </c>
      <c r="AZ64" s="227">
        <f>$AN$64/POWER(1+($B$11/100),AZ62-2024)</f>
        <v>4.0329343111095959</v>
      </c>
      <c r="BA64" s="227">
        <f>$AN$64/POWER(1+($B$11/100),BA62-2024)</f>
        <v>3.9154702049607728</v>
      </c>
      <c r="BB64" s="227">
        <f>$AN$64/POWER(1+($B$11/100),BB62-2024)</f>
        <v>3.8014273834570607</v>
      </c>
      <c r="BC64" s="227">
        <f>$AN$64/POWER(1+($B$11/100),BC62-2024)</f>
        <v>3.6907061975311266</v>
      </c>
      <c r="BD64" s="227">
        <f>$AN$64/POWER(1+($B$11/100),BD62-2024)</f>
        <v>3.5832099005156577</v>
      </c>
      <c r="BE64" s="227">
        <f>$AN$64/POWER(1+($B$11/100),BE62-2024)</f>
        <v>3.4788445636074345</v>
      </c>
      <c r="BF64" s="227">
        <f>$AN$64/POWER(1+($B$11/100),BF62-2024)</f>
        <v>3.3775189937936259</v>
      </c>
      <c r="BG64" s="227">
        <f>$AN$64/POWER(1+($B$11/100),BG62-2024)</f>
        <v>3.2791446541685687</v>
      </c>
      <c r="BH64" s="227">
        <f>SUM(AN64:BG64)</f>
        <v>88.111844861047757</v>
      </c>
    </row>
    <row r="65" spans="29:60" x14ac:dyDescent="0.25">
      <c r="AC65" s="240">
        <f t="shared" ref="AC65:AC88" si="18">AC35</f>
        <v>1051200</v>
      </c>
      <c r="AD65" s="21">
        <v>2</v>
      </c>
      <c r="AE65" s="216">
        <f t="shared" si="10"/>
        <v>4</v>
      </c>
      <c r="AF65" s="227">
        <f t="shared" si="11"/>
        <v>1.155</v>
      </c>
      <c r="AG65" s="216">
        <f t="shared" si="12"/>
        <v>0</v>
      </c>
      <c r="AH65" s="227">
        <f t="shared" si="13"/>
        <v>0</v>
      </c>
      <c r="AI65" s="227">
        <f t="shared" si="14"/>
        <v>0</v>
      </c>
      <c r="AJ65" s="248">
        <f t="shared" si="15"/>
        <v>0.1</v>
      </c>
      <c r="AK65" s="216">
        <f t="shared" ref="AK65:AK88" si="19">(AE65+AF65+AG65+AH65)*(AK35/100)</f>
        <v>0.51550000000000007</v>
      </c>
      <c r="AL65" s="292">
        <f t="shared" si="16"/>
        <v>0.38</v>
      </c>
      <c r="AN65" s="227">
        <f t="shared" si="17"/>
        <v>0.99550000000000005</v>
      </c>
      <c r="AO65" s="227">
        <f>$AN$65/POWER(1+($B$11/100),AO62-2024)</f>
        <v>0.96650485436893208</v>
      </c>
      <c r="AP65" s="227">
        <f>$AN$65/POWER(1+($B$11/100),AP62-2024)</f>
        <v>0.93835422754265252</v>
      </c>
      <c r="AQ65" s="227">
        <f>$AN$65/POWER(1+($B$11/100),AQ62-2024)</f>
        <v>0.91102352188607039</v>
      </c>
      <c r="AR65" s="227">
        <f>$AN$65/POWER(1+($B$11/100),AR62-2024)</f>
        <v>0.88448885620006845</v>
      </c>
      <c r="AS65" s="227">
        <f>$AN$65/POWER(1+($B$11/100),AS62-2024)</f>
        <v>0.85872704485443541</v>
      </c>
      <c r="AT65" s="227">
        <f>$AN$65/POWER(1+($B$11/100),AT62-2024)</f>
        <v>0.83371557752857806</v>
      </c>
      <c r="AU65" s="227">
        <f>$AN$65/POWER(1+($B$11/100),AU62-2024)</f>
        <v>0.80943259954230873</v>
      </c>
      <c r="AV65" s="227">
        <f>$AN$65/POWER(1+($B$11/100),AV62-2024)</f>
        <v>0.78585689275952308</v>
      </c>
      <c r="AW65" s="227">
        <f>$AN$65/POWER(1+($B$11/100),AW62-2024)</f>
        <v>0.76296785704808068</v>
      </c>
      <c r="AX65" s="227">
        <f>$AN$65/POWER(1+($B$11/100),AX62-2024)</f>
        <v>0.74074549227969</v>
      </c>
      <c r="AY65" s="227">
        <f>$AN$65/POWER(1+($B$11/100),AY62-2024)</f>
        <v>0.71917038085406793</v>
      </c>
      <c r="AZ65" s="227">
        <f>$AN$65/POWER(1+($B$11/100),AZ62-2024)</f>
        <v>0.6982236707321049</v>
      </c>
      <c r="BA65" s="227">
        <f>$AN$65/POWER(1+($B$11/100),BA62-2024)</f>
        <v>0.67788705896320867</v>
      </c>
      <c r="BB65" s="227">
        <f>$AN$65/POWER(1+($B$11/100),BB62-2024)</f>
        <v>0.65814277569243551</v>
      </c>
      <c r="BC65" s="227">
        <f>$AN$65/POWER(1+($B$11/100),BC62-2024)</f>
        <v>0.63897356863343246</v>
      </c>
      <c r="BD65" s="227">
        <f>$AN$65/POWER(1+($B$11/100),BD62-2024)</f>
        <v>0.62036268799362393</v>
      </c>
      <c r="BE65" s="227">
        <f>$AN$65/POWER(1+($B$11/100),BE62-2024)</f>
        <v>0.60229387183846983</v>
      </c>
      <c r="BF65" s="227">
        <f>$AN$65/POWER(1+($B$11/100),BF62-2024)</f>
        <v>0.58475133188200945</v>
      </c>
      <c r="BG65" s="227">
        <f>$AN$65/POWER(1+($B$11/100),BG62-2024)</f>
        <v>0.56771973969127132</v>
      </c>
      <c r="BH65" s="227">
        <f>SUM(AN65:BG65)</f>
        <v>15.254842010290965</v>
      </c>
    </row>
    <row r="66" spans="29:60" x14ac:dyDescent="0.25">
      <c r="AC66" s="240">
        <f t="shared" si="18"/>
        <v>1576800</v>
      </c>
      <c r="AD66" s="21">
        <v>3</v>
      </c>
      <c r="AE66" s="216">
        <f t="shared" si="10"/>
        <v>4</v>
      </c>
      <c r="AF66" s="227">
        <f t="shared" si="11"/>
        <v>1.155</v>
      </c>
      <c r="AG66" s="216">
        <f t="shared" si="12"/>
        <v>0</v>
      </c>
      <c r="AH66" s="227">
        <f t="shared" si="13"/>
        <v>0</v>
      </c>
      <c r="AI66" s="227">
        <f t="shared" si="14"/>
        <v>0</v>
      </c>
      <c r="AJ66" s="248">
        <f t="shared" si="15"/>
        <v>0.1</v>
      </c>
      <c r="AK66" s="216">
        <f t="shared" si="19"/>
        <v>0.51550000000000007</v>
      </c>
      <c r="AL66" s="292">
        <f t="shared" si="16"/>
        <v>0.38</v>
      </c>
      <c r="AN66" s="227">
        <f t="shared" si="17"/>
        <v>0.99550000000000005</v>
      </c>
      <c r="AO66" s="227">
        <f>$AN$66/POWER(1+($B$11/100),AO62-2024)</f>
        <v>0.96650485436893208</v>
      </c>
      <c r="AP66" s="227">
        <f>$AN$66/POWER(1+($B$11/100),AP62-2024)</f>
        <v>0.93835422754265252</v>
      </c>
      <c r="AQ66" s="227">
        <f>$AN$66/POWER(1+($B$11/100),AQ62-2024)</f>
        <v>0.91102352188607039</v>
      </c>
      <c r="AR66" s="227">
        <f>$AN$66/POWER(1+($B$11/100),AR62-2024)</f>
        <v>0.88448885620006845</v>
      </c>
      <c r="AS66" s="227">
        <f>$AN$66/POWER(1+($B$11/100),AS62-2024)</f>
        <v>0.85872704485443541</v>
      </c>
      <c r="AT66" s="227">
        <f>$AN$66/POWER(1+($B$11/100),AT62-2024)</f>
        <v>0.83371557752857806</v>
      </c>
      <c r="AU66" s="227">
        <f>$AN$66/POWER(1+($B$11/100),AU62-2024)</f>
        <v>0.80943259954230873</v>
      </c>
      <c r="AV66" s="227">
        <f>$AN$66/POWER(1+($B$11/100),AV62-2024)</f>
        <v>0.78585689275952308</v>
      </c>
      <c r="AW66" s="227">
        <f>$AN$66/POWER(1+($B$11/100),AW62-2024)</f>
        <v>0.76296785704808068</v>
      </c>
      <c r="AX66" s="227">
        <f>$AN$66/POWER(1+($B$11/100),AX62-2024)</f>
        <v>0.74074549227969</v>
      </c>
      <c r="AY66" s="227">
        <f>$AN$66/POWER(1+($B$11/100),AY62-2024)</f>
        <v>0.71917038085406793</v>
      </c>
      <c r="AZ66" s="227">
        <f>$AN$66/POWER(1+($B$11/100),AZ62-2024)</f>
        <v>0.6982236707321049</v>
      </c>
      <c r="BA66" s="227">
        <f>$AN$66/POWER(1+($B$11/100),BA62-2024)</f>
        <v>0.67788705896320867</v>
      </c>
      <c r="BB66" s="227">
        <f>$AN$66/POWER(1+($B$11/100),BB62-2024)</f>
        <v>0.65814277569243551</v>
      </c>
      <c r="BC66" s="227">
        <f>$AN$66/POWER(1+($B$11/100),BC62-2024)</f>
        <v>0.63897356863343246</v>
      </c>
      <c r="BD66" s="227">
        <f>$AN$66/POWER(1+($B$11/100),BD62-2024)</f>
        <v>0.62036268799362393</v>
      </c>
      <c r="BE66" s="227">
        <f>$AN$66/POWER(1+($B$11/100),BE62-2024)</f>
        <v>0.60229387183846983</v>
      </c>
      <c r="BF66" s="227">
        <f>$AN$66/POWER(1+($B$11/100),BF62-2024)</f>
        <v>0.58475133188200945</v>
      </c>
      <c r="BG66" s="227">
        <f>$AN$66/POWER(1+($B$11/100),BG62-2024)</f>
        <v>0.56771973969127132</v>
      </c>
      <c r="BH66" s="227">
        <f>SUM(AN66:BG66)</f>
        <v>15.254842010290965</v>
      </c>
    </row>
    <row r="67" spans="29:60" x14ac:dyDescent="0.25">
      <c r="AC67" s="240">
        <f t="shared" si="18"/>
        <v>2102400</v>
      </c>
      <c r="AD67" s="21">
        <v>4</v>
      </c>
      <c r="AE67" s="216">
        <f t="shared" si="10"/>
        <v>4</v>
      </c>
      <c r="AF67" s="227">
        <f t="shared" si="11"/>
        <v>1.155</v>
      </c>
      <c r="AG67" s="216">
        <f t="shared" si="12"/>
        <v>0</v>
      </c>
      <c r="AH67" s="227">
        <f t="shared" si="13"/>
        <v>0</v>
      </c>
      <c r="AI67" s="227">
        <f t="shared" si="14"/>
        <v>0</v>
      </c>
      <c r="AJ67" s="248">
        <f t="shared" si="15"/>
        <v>0.1</v>
      </c>
      <c r="AK67" s="216">
        <f t="shared" si="19"/>
        <v>0.51550000000000007</v>
      </c>
      <c r="AL67" s="292">
        <f t="shared" si="16"/>
        <v>0.38</v>
      </c>
      <c r="AN67" s="227">
        <f t="shared" si="17"/>
        <v>0.99550000000000005</v>
      </c>
      <c r="AO67" s="227">
        <f>$AN$67/POWER(1+($B$11/100),AO62-2024)</f>
        <v>0.96650485436893208</v>
      </c>
      <c r="AP67" s="227">
        <f>$AN$67/POWER(1+($B$11/100),AP62-2024)</f>
        <v>0.93835422754265252</v>
      </c>
      <c r="AQ67" s="227">
        <f>$AN$67/POWER(1+($B$11/100),AQ62-2024)</f>
        <v>0.91102352188607039</v>
      </c>
      <c r="AR67" s="227">
        <f>$AN$67/POWER(1+($B$11/100),AR62-2024)</f>
        <v>0.88448885620006845</v>
      </c>
      <c r="AS67" s="227">
        <f>$AN$67/POWER(1+($B$11/100),AS62-2024)</f>
        <v>0.85872704485443541</v>
      </c>
      <c r="AT67" s="227">
        <f>$AN$67/POWER(1+($B$11/100),AT62-2024)</f>
        <v>0.83371557752857806</v>
      </c>
      <c r="AU67" s="227">
        <f>$AN$67/POWER(1+($B$11/100),AU62-2024)</f>
        <v>0.80943259954230873</v>
      </c>
      <c r="AV67" s="227">
        <f>$AN$67/POWER(1+($B$11/100),AV62-2024)</f>
        <v>0.78585689275952308</v>
      </c>
      <c r="AW67" s="227">
        <f>$AN$67/POWER(1+($B$11/100),AW62-2024)</f>
        <v>0.76296785704808068</v>
      </c>
      <c r="AX67" s="227">
        <f>$AN$67/POWER(1+($B$11/100),AX62-2024)</f>
        <v>0.74074549227969</v>
      </c>
      <c r="AY67" s="227">
        <f>$AN$67/POWER(1+($B$11/100),AY62-2024)</f>
        <v>0.71917038085406793</v>
      </c>
      <c r="AZ67" s="227">
        <f>$AN$67/POWER(1+($B$11/100),AZ62-2024)</f>
        <v>0.6982236707321049</v>
      </c>
      <c r="BA67" s="227">
        <f>$AN$67/POWER(1+($B$11/100),BA62-2024)</f>
        <v>0.67788705896320867</v>
      </c>
      <c r="BB67" s="227">
        <f>$AN$67/POWER(1+($B$11/100),BB62-2024)</f>
        <v>0.65814277569243551</v>
      </c>
      <c r="BC67" s="227">
        <f>$AN$67/POWER(1+($B$11/100),BC62-2024)</f>
        <v>0.63897356863343246</v>
      </c>
      <c r="BD67" s="227">
        <f>$AN$67/POWER(1+($B$11/100),BD62-2024)</f>
        <v>0.62036268799362393</v>
      </c>
      <c r="BE67" s="227">
        <f>$AN$67/POWER(1+($B$11/100),BE62-2024)</f>
        <v>0.60229387183846983</v>
      </c>
      <c r="BF67" s="227">
        <f>$AN$67/POWER(1+($B$11/100),BF62-2024)</f>
        <v>0.58475133188200945</v>
      </c>
      <c r="BG67" s="227">
        <f>$AN$67/POWER(1+($B$11/100),BG62-2024)</f>
        <v>0.56771973969127132</v>
      </c>
      <c r="BH67" s="227">
        <f>SUM(AN67:BG67)</f>
        <v>15.254842010290965</v>
      </c>
    </row>
    <row r="68" spans="29:60" x14ac:dyDescent="0.25">
      <c r="AC68" s="240">
        <f t="shared" si="18"/>
        <v>2628000</v>
      </c>
      <c r="AD68" s="21">
        <v>5</v>
      </c>
      <c r="AE68" s="216">
        <f t="shared" si="10"/>
        <v>4</v>
      </c>
      <c r="AF68" s="227">
        <f t="shared" si="11"/>
        <v>1.155</v>
      </c>
      <c r="AG68" s="216">
        <f t="shared" si="12"/>
        <v>0</v>
      </c>
      <c r="AH68" s="227">
        <f t="shared" si="13"/>
        <v>0</v>
      </c>
      <c r="AI68" s="227">
        <f t="shared" si="14"/>
        <v>0</v>
      </c>
      <c r="AJ68" s="248">
        <f t="shared" si="15"/>
        <v>0.1</v>
      </c>
      <c r="AK68" s="216">
        <f t="shared" si="19"/>
        <v>0.51550000000000007</v>
      </c>
      <c r="AL68" s="292">
        <f t="shared" si="16"/>
        <v>0.38</v>
      </c>
      <c r="AN68" s="227">
        <f t="shared" si="17"/>
        <v>0.99550000000000005</v>
      </c>
      <c r="AO68" s="227">
        <f>$AN$68/POWER(1+($B$11/100),AO62-2024)</f>
        <v>0.96650485436893208</v>
      </c>
      <c r="AP68" s="227">
        <f>$AN$68/POWER(1+($B$11/100),AP62-2024)</f>
        <v>0.93835422754265252</v>
      </c>
      <c r="AQ68" s="227">
        <f>$AN$68/POWER(1+($B$11/100),AQ62-2024)</f>
        <v>0.91102352188607039</v>
      </c>
      <c r="AR68" s="227">
        <f>$AN$68/POWER(1+($B$11/100),AR62-2024)</f>
        <v>0.88448885620006845</v>
      </c>
      <c r="AS68" s="227">
        <f>$AN$68/POWER(1+($B$11/100),AS62-2024)</f>
        <v>0.85872704485443541</v>
      </c>
      <c r="AT68" s="227">
        <f>$AN$68/POWER(1+($B$11/100),AT62-2024)</f>
        <v>0.83371557752857806</v>
      </c>
      <c r="AU68" s="227">
        <f>$AN$68/POWER(1+($B$11/100),AU62-2024)</f>
        <v>0.80943259954230873</v>
      </c>
      <c r="AV68" s="227">
        <f>$AN$68/POWER(1+($B$11/100),AV62-2024)</f>
        <v>0.78585689275952308</v>
      </c>
      <c r="AW68" s="227">
        <f>$AN$68/POWER(1+($B$11/100),AW62-2024)</f>
        <v>0.76296785704808068</v>
      </c>
      <c r="AX68" s="227">
        <f>$AN$68/POWER(1+($B$11/100),AX62-2024)</f>
        <v>0.74074549227969</v>
      </c>
      <c r="AY68" s="227">
        <f>$AN$68/POWER(1+($B$11/100),AY62-2024)</f>
        <v>0.71917038085406793</v>
      </c>
      <c r="AZ68" s="227">
        <f>$AN$68/POWER(1+($B$11/100),AZ62-2024)</f>
        <v>0.6982236707321049</v>
      </c>
      <c r="BA68" s="227">
        <f>$AN$68/POWER(1+($B$11/100),BA62-2024)</f>
        <v>0.67788705896320867</v>
      </c>
      <c r="BB68" s="227">
        <f>$AN$68/POWER(1+($B$11/100),BB62-2024)</f>
        <v>0.65814277569243551</v>
      </c>
      <c r="BC68" s="227">
        <f>$AN$68/POWER(1+($B$11/100),BC62-2024)</f>
        <v>0.63897356863343246</v>
      </c>
      <c r="BD68" s="227">
        <f>$AN$68/POWER(1+($B$11/100),BD62-2024)</f>
        <v>0.62036268799362393</v>
      </c>
      <c r="BE68" s="227">
        <f>$AN$68/POWER(1+($B$11/100),BE62-2024)</f>
        <v>0.60229387183846983</v>
      </c>
      <c r="BF68" s="227">
        <f>$AN$68/POWER(1+($B$11/100),BF62-2024)</f>
        <v>0.58475133188200945</v>
      </c>
      <c r="BG68" s="227">
        <f>$AN$68/POWER(1+($B$11/100),BG62-2024)</f>
        <v>0.56771973969127132</v>
      </c>
      <c r="BH68" s="227">
        <f t="shared" ref="BH68:BH88" si="20">SUM(AN67:BG67)</f>
        <v>15.254842010290965</v>
      </c>
    </row>
    <row r="69" spans="29:60" x14ac:dyDescent="0.25">
      <c r="AC69" s="240">
        <f t="shared" si="18"/>
        <v>3153600</v>
      </c>
      <c r="AD69" s="21">
        <v>6</v>
      </c>
      <c r="AE69" s="216">
        <f t="shared" si="10"/>
        <v>4</v>
      </c>
      <c r="AF69" s="227">
        <f t="shared" si="11"/>
        <v>1.155</v>
      </c>
      <c r="AG69" s="216">
        <f t="shared" si="12"/>
        <v>0</v>
      </c>
      <c r="AH69" s="227">
        <f t="shared" si="13"/>
        <v>0</v>
      </c>
      <c r="AI69" s="227">
        <f t="shared" si="14"/>
        <v>0</v>
      </c>
      <c r="AJ69" s="248">
        <f t="shared" si="15"/>
        <v>0.1</v>
      </c>
      <c r="AK69" s="216">
        <f t="shared" si="19"/>
        <v>0.51550000000000007</v>
      </c>
      <c r="AL69" s="292">
        <f t="shared" si="16"/>
        <v>0.38</v>
      </c>
      <c r="AN69" s="227">
        <f t="shared" si="17"/>
        <v>0.99550000000000005</v>
      </c>
      <c r="AO69" s="227">
        <f>$AN$69/POWER(1+($B$11/100),AO62-2024)</f>
        <v>0.96650485436893208</v>
      </c>
      <c r="AP69" s="227">
        <f>$AN$69/POWER(1+($B$11/100),AP62-2024)</f>
        <v>0.93835422754265252</v>
      </c>
      <c r="AQ69" s="227">
        <f>$AN$69/POWER(1+($B$11/100),AQ62-2024)</f>
        <v>0.91102352188607039</v>
      </c>
      <c r="AR69" s="227">
        <f>$AN$69/POWER(1+($B$11/100),AR62-2024)</f>
        <v>0.88448885620006845</v>
      </c>
      <c r="AS69" s="227">
        <f>$AN$69/POWER(1+($B$11/100),AS62-2024)</f>
        <v>0.85872704485443541</v>
      </c>
      <c r="AT69" s="227">
        <f>$AN$69/POWER(1+($B$11/100),AT62-2024)</f>
        <v>0.83371557752857806</v>
      </c>
      <c r="AU69" s="227">
        <f>$AN$69/POWER(1+($B$11/100),AU62-2024)</f>
        <v>0.80943259954230873</v>
      </c>
      <c r="AV69" s="227">
        <f>$AN$69/POWER(1+($B$11/100),AV62-2024)</f>
        <v>0.78585689275952308</v>
      </c>
      <c r="AW69" s="227">
        <f>$AN$69/POWER(1+($B$11/100),AW62-2024)</f>
        <v>0.76296785704808068</v>
      </c>
      <c r="AX69" s="227">
        <f>$AN$69/POWER(1+($B$11/100),AX62-2024)</f>
        <v>0.74074549227969</v>
      </c>
      <c r="AY69" s="227">
        <f>$AN$69/POWER(1+($B$11/100),AY62-2024)</f>
        <v>0.71917038085406793</v>
      </c>
      <c r="AZ69" s="227">
        <f>$AN$69/POWER(1+($B$11/100),AZ62-2024)</f>
        <v>0.6982236707321049</v>
      </c>
      <c r="BA69" s="227">
        <f>$AN$69/POWER(1+($B$11/100),BA62-2024)</f>
        <v>0.67788705896320867</v>
      </c>
      <c r="BB69" s="227">
        <f>$AN$69/POWER(1+($B$11/100),BB62-2024)</f>
        <v>0.65814277569243551</v>
      </c>
      <c r="BC69" s="227">
        <f>$AN$69/POWER(1+($B$11/100),BC62-2024)</f>
        <v>0.63897356863343246</v>
      </c>
      <c r="BD69" s="227">
        <f>$AN$69/POWER(1+($B$11/100),BD62-2024)</f>
        <v>0.62036268799362393</v>
      </c>
      <c r="BE69" s="227">
        <f>$AN$69/POWER(1+($B$11/100),BE62-2024)</f>
        <v>0.60229387183846983</v>
      </c>
      <c r="BF69" s="227">
        <f>$AN$69/POWER(1+($B$11/100),BF62-2024)</f>
        <v>0.58475133188200945</v>
      </c>
      <c r="BG69" s="227">
        <f>$AN$69/POWER(1+($B$11/100),BG62-2024)</f>
        <v>0.56771973969127132</v>
      </c>
      <c r="BH69" s="227">
        <f t="shared" si="20"/>
        <v>15.254842010290965</v>
      </c>
    </row>
    <row r="70" spans="29:60" x14ac:dyDescent="0.25">
      <c r="AC70" s="240">
        <f t="shared" si="18"/>
        <v>3679200</v>
      </c>
      <c r="AD70" s="21">
        <v>7</v>
      </c>
      <c r="AE70" s="216">
        <f t="shared" si="10"/>
        <v>4</v>
      </c>
      <c r="AF70" s="227">
        <f t="shared" si="11"/>
        <v>1.155</v>
      </c>
      <c r="AG70" s="216">
        <f t="shared" si="12"/>
        <v>0</v>
      </c>
      <c r="AH70" s="227">
        <f t="shared" si="13"/>
        <v>0</v>
      </c>
      <c r="AI70" s="227">
        <f t="shared" si="14"/>
        <v>0</v>
      </c>
      <c r="AJ70" s="248">
        <f t="shared" si="15"/>
        <v>0.1</v>
      </c>
      <c r="AK70" s="216">
        <f t="shared" si="19"/>
        <v>0.51550000000000007</v>
      </c>
      <c r="AL70" s="292">
        <f t="shared" si="16"/>
        <v>0.38</v>
      </c>
      <c r="AN70" s="227">
        <f t="shared" si="17"/>
        <v>0.99550000000000005</v>
      </c>
      <c r="AO70" s="227">
        <f>$AN$70/POWER(1+($B$11/100),AO62-2024)</f>
        <v>0.96650485436893208</v>
      </c>
      <c r="AP70" s="227">
        <f>$AN$70/POWER(1+($B$11/100),AP62-2024)</f>
        <v>0.93835422754265252</v>
      </c>
      <c r="AQ70" s="227">
        <f>$AN$70/POWER(1+($B$11/100),AQ62-2024)</f>
        <v>0.91102352188607039</v>
      </c>
      <c r="AR70" s="227">
        <f>$AN$70/POWER(1+($B$11/100),AR62-2024)</f>
        <v>0.88448885620006845</v>
      </c>
      <c r="AS70" s="227">
        <f>$AN$70/POWER(1+($B$11/100),AS62-2024)</f>
        <v>0.85872704485443541</v>
      </c>
      <c r="AT70" s="227">
        <f>$AN$70/POWER(1+($B$11/100),AT62-2024)</f>
        <v>0.83371557752857806</v>
      </c>
      <c r="AU70" s="227">
        <f>$AN$70/POWER(1+($B$11/100),AU62-2024)</f>
        <v>0.80943259954230873</v>
      </c>
      <c r="AV70" s="227">
        <f>$AN$70/POWER(1+($B$11/100),AV62-2024)</f>
        <v>0.78585689275952308</v>
      </c>
      <c r="AW70" s="227">
        <f>$AN$70/POWER(1+($B$11/100),AW62-2024)</f>
        <v>0.76296785704808068</v>
      </c>
      <c r="AX70" s="227">
        <f>$AN$70/POWER(1+($B$11/100),AX62-2024)</f>
        <v>0.74074549227969</v>
      </c>
      <c r="AY70" s="227">
        <f>$AN$70/POWER(1+($B$11/100),AY62-2024)</f>
        <v>0.71917038085406793</v>
      </c>
      <c r="AZ70" s="227">
        <f>$AN$70/POWER(1+($B$11/100),AZ62-2024)</f>
        <v>0.6982236707321049</v>
      </c>
      <c r="BA70" s="227">
        <f>$AN$70/POWER(1+($B$11/100),BA62-2024)</f>
        <v>0.67788705896320867</v>
      </c>
      <c r="BB70" s="227">
        <f>$AN$70/POWER(1+($B$11/100),BB62-2024)</f>
        <v>0.65814277569243551</v>
      </c>
      <c r="BC70" s="227">
        <f>$AN$70/POWER(1+($B$11/100),BC62-2024)</f>
        <v>0.63897356863343246</v>
      </c>
      <c r="BD70" s="227">
        <f>$AN$70/POWER(1+($B$11/100),BD62-2024)</f>
        <v>0.62036268799362393</v>
      </c>
      <c r="BE70" s="227">
        <f>$AN$70/POWER(1+($B$11/100),BE62-2024)</f>
        <v>0.60229387183846983</v>
      </c>
      <c r="BF70" s="227">
        <f>$AN$70/POWER(1+($B$11/100),BF62-2024)</f>
        <v>0.58475133188200945</v>
      </c>
      <c r="BG70" s="227">
        <f>$AN$70/POWER(1+($B$11/100),BG62-2024)</f>
        <v>0.56771973969127132</v>
      </c>
      <c r="BH70" s="227">
        <f t="shared" si="20"/>
        <v>15.254842010290965</v>
      </c>
    </row>
    <row r="71" spans="29:60" x14ac:dyDescent="0.25">
      <c r="AC71" s="240">
        <f t="shared" si="18"/>
        <v>4204800</v>
      </c>
      <c r="AD71" s="21">
        <v>8</v>
      </c>
      <c r="AE71" s="216">
        <f t="shared" si="10"/>
        <v>4</v>
      </c>
      <c r="AF71" s="227">
        <f t="shared" si="11"/>
        <v>1.155</v>
      </c>
      <c r="AG71" s="216">
        <f t="shared" si="12"/>
        <v>0</v>
      </c>
      <c r="AH71" s="227">
        <f t="shared" si="13"/>
        <v>0</v>
      </c>
      <c r="AI71" s="227">
        <f t="shared" si="14"/>
        <v>0</v>
      </c>
      <c r="AJ71" s="248">
        <f t="shared" si="15"/>
        <v>0.1</v>
      </c>
      <c r="AK71" s="216">
        <f t="shared" si="19"/>
        <v>0.51550000000000007</v>
      </c>
      <c r="AL71" s="292">
        <f t="shared" si="16"/>
        <v>0.38</v>
      </c>
      <c r="AN71" s="227">
        <f t="shared" si="17"/>
        <v>0.99550000000000005</v>
      </c>
      <c r="AO71" s="227">
        <f>$AN$71/POWER(1+($B$11/100),AO62-2024)</f>
        <v>0.96650485436893208</v>
      </c>
      <c r="AP71" s="227">
        <f>$AN$71/POWER(1+($B$11/100),AP62-2024)</f>
        <v>0.93835422754265252</v>
      </c>
      <c r="AQ71" s="227">
        <f>$AN$71/POWER(1+($B$11/100),AQ62-2024)</f>
        <v>0.91102352188607039</v>
      </c>
      <c r="AR71" s="227">
        <f>$AN$71/POWER(1+($B$11/100),AR62-2024)</f>
        <v>0.88448885620006845</v>
      </c>
      <c r="AS71" s="227">
        <f>$AN$71/POWER(1+($B$11/100),AS62-2024)</f>
        <v>0.85872704485443541</v>
      </c>
      <c r="AT71" s="227">
        <f>$AN$71/POWER(1+($B$11/100),AT62-2024)</f>
        <v>0.83371557752857806</v>
      </c>
      <c r="AU71" s="227">
        <f>$AN$71/POWER(1+($B$11/100),AU62-2024)</f>
        <v>0.80943259954230873</v>
      </c>
      <c r="AV71" s="227">
        <f>$AN$71/POWER(1+($B$11/100),AV62-2024)</f>
        <v>0.78585689275952308</v>
      </c>
      <c r="AW71" s="227">
        <f>$AN$71/POWER(1+($B$11/100),AW62-2024)</f>
        <v>0.76296785704808068</v>
      </c>
      <c r="AX71" s="227">
        <f>$AN$71/POWER(1+($B$11/100),AX62-2024)</f>
        <v>0.74074549227969</v>
      </c>
      <c r="AY71" s="227">
        <f>$AN$71/POWER(1+($B$11/100),AY62-2024)</f>
        <v>0.71917038085406793</v>
      </c>
      <c r="AZ71" s="227">
        <f>$AN$71/POWER(1+($B$11/100),AZ62-2024)</f>
        <v>0.6982236707321049</v>
      </c>
      <c r="BA71" s="227">
        <f>$AN$71/POWER(1+($B$11/100),BA62-2024)</f>
        <v>0.67788705896320867</v>
      </c>
      <c r="BB71" s="227">
        <f>$AN$71/POWER(1+($B$11/100),BB62-2024)</f>
        <v>0.65814277569243551</v>
      </c>
      <c r="BC71" s="227">
        <f>$AN$71/POWER(1+($B$11/100),BC62-2024)</f>
        <v>0.63897356863343246</v>
      </c>
      <c r="BD71" s="227">
        <f>$AN$71/POWER(1+($B$11/100),BD62-2024)</f>
        <v>0.62036268799362393</v>
      </c>
      <c r="BE71" s="227">
        <f>$AN$71/POWER(1+($B$11/100),BE62-2024)</f>
        <v>0.60229387183846983</v>
      </c>
      <c r="BF71" s="227">
        <f>$AN$71/POWER(1+($B$11/100),BF62-2024)</f>
        <v>0.58475133188200945</v>
      </c>
      <c r="BG71" s="227">
        <f>$AN$71/POWER(1+($B$11/100),BG62-2024)</f>
        <v>0.56771973969127132</v>
      </c>
      <c r="BH71" s="227">
        <f t="shared" si="20"/>
        <v>15.254842010290965</v>
      </c>
    </row>
    <row r="72" spans="29:60" x14ac:dyDescent="0.25">
      <c r="AC72" s="240">
        <f t="shared" si="18"/>
        <v>4730400</v>
      </c>
      <c r="AD72" s="21">
        <v>9</v>
      </c>
      <c r="AE72" s="216">
        <f t="shared" si="10"/>
        <v>4</v>
      </c>
      <c r="AF72" s="227">
        <f t="shared" si="11"/>
        <v>1.155</v>
      </c>
      <c r="AG72" s="216">
        <f t="shared" si="12"/>
        <v>0</v>
      </c>
      <c r="AH72" s="227">
        <f t="shared" si="13"/>
        <v>0</v>
      </c>
      <c r="AI72" s="227">
        <f t="shared" si="14"/>
        <v>0</v>
      </c>
      <c r="AJ72" s="248">
        <f t="shared" si="15"/>
        <v>0.1</v>
      </c>
      <c r="AK72" s="216">
        <f t="shared" si="19"/>
        <v>0.51550000000000007</v>
      </c>
      <c r="AL72" s="292">
        <f t="shared" si="16"/>
        <v>0.38</v>
      </c>
      <c r="AN72" s="227">
        <f>(AJ72+AK72+AL72)</f>
        <v>0.99550000000000005</v>
      </c>
      <c r="AO72" s="227">
        <f>$AN$72/POWER(1+($B$11/100),AO62-2024)</f>
        <v>0.96650485436893208</v>
      </c>
      <c r="AP72" s="227">
        <f>$AN$72/POWER(1+($B$11/100),AP62-2024)</f>
        <v>0.93835422754265252</v>
      </c>
      <c r="AQ72" s="227">
        <f>$AN$72/POWER(1+($B$11/100),AQ62-2024)</f>
        <v>0.91102352188607039</v>
      </c>
      <c r="AR72" s="227">
        <f>$AN$72/POWER(1+($B$11/100),AR62-2024)</f>
        <v>0.88448885620006845</v>
      </c>
      <c r="AS72" s="227">
        <f>$AN$72/POWER(1+($B$11/100),AS62-2024)</f>
        <v>0.85872704485443541</v>
      </c>
      <c r="AT72" s="227">
        <f>$AN$72/POWER(1+($B$11/100),AT62-2024)</f>
        <v>0.83371557752857806</v>
      </c>
      <c r="AU72" s="227">
        <f>$AN$72/POWER(1+($B$11/100),AU62-2024)</f>
        <v>0.80943259954230873</v>
      </c>
      <c r="AV72" s="227">
        <f>$AN$72/POWER(1+($B$11/100),AV62-2024)</f>
        <v>0.78585689275952308</v>
      </c>
      <c r="AW72" s="227">
        <f>$AN$72/POWER(1+($B$11/100),AW62-2024)</f>
        <v>0.76296785704808068</v>
      </c>
      <c r="AX72" s="227">
        <f>$AN$72/POWER(1+($B$11/100),AX62-2024)</f>
        <v>0.74074549227969</v>
      </c>
      <c r="AY72" s="227">
        <f>$AN$72/POWER(1+($B$11/100),AY62-2024)</f>
        <v>0.71917038085406793</v>
      </c>
      <c r="AZ72" s="227">
        <f>$AN$72/POWER(1+($B$11/100),AZ62-2024)</f>
        <v>0.6982236707321049</v>
      </c>
      <c r="BA72" s="227">
        <f>$AN$72/POWER(1+($B$11/100),BA62-2024)</f>
        <v>0.67788705896320867</v>
      </c>
      <c r="BB72" s="227">
        <f>$AN$72/POWER(1+($B$11/100),BB62-2024)</f>
        <v>0.65814277569243551</v>
      </c>
      <c r="BC72" s="227">
        <f>$AN$72/POWER(1+($B$11/100),BC62-2024)</f>
        <v>0.63897356863343246</v>
      </c>
      <c r="BD72" s="227">
        <f>$AN$72/POWER(1+($B$11/100),BD62-2024)</f>
        <v>0.62036268799362393</v>
      </c>
      <c r="BE72" s="227">
        <f>$AN$72/POWER(1+($B$11/100),BE62-2024)</f>
        <v>0.60229387183846983</v>
      </c>
      <c r="BF72" s="227">
        <f>$AN$72/POWER(1+($B$11/100),BF62-2024)</f>
        <v>0.58475133188200945</v>
      </c>
      <c r="BG72" s="227">
        <f>$AN$72/POWER(1+($B$11/100),BG62-2024)</f>
        <v>0.56771973969127132</v>
      </c>
      <c r="BH72" s="227">
        <f t="shared" si="20"/>
        <v>15.254842010290965</v>
      </c>
    </row>
    <row r="73" spans="29:60" x14ac:dyDescent="0.25">
      <c r="AC73" s="240">
        <f t="shared" si="18"/>
        <v>5256000</v>
      </c>
      <c r="AD73" s="21">
        <v>10</v>
      </c>
      <c r="AE73" s="216">
        <f t="shared" si="10"/>
        <v>4</v>
      </c>
      <c r="AF73" s="227">
        <f t="shared" si="11"/>
        <v>1.155</v>
      </c>
      <c r="AG73" s="216">
        <f t="shared" si="12"/>
        <v>0</v>
      </c>
      <c r="AH73" s="227">
        <f t="shared" si="13"/>
        <v>0</v>
      </c>
      <c r="AI73" s="227">
        <f t="shared" si="14"/>
        <v>0</v>
      </c>
      <c r="AJ73" s="248">
        <f>AJ43*$B$8</f>
        <v>0.1</v>
      </c>
      <c r="AK73" s="216">
        <f t="shared" si="19"/>
        <v>0.51550000000000007</v>
      </c>
      <c r="AL73" s="292">
        <f t="shared" ref="AL73:AL88" si="21">$B$10*AL43</f>
        <v>0.38</v>
      </c>
      <c r="AN73" s="227">
        <f>(AJ73+AK73+AL73)</f>
        <v>0.99550000000000005</v>
      </c>
      <c r="AO73" s="227">
        <f>$AN$73/POWER(1+($B$11/100),AO62-2024)</f>
        <v>0.96650485436893208</v>
      </c>
      <c r="AP73" s="227">
        <f>$AN$73/POWER(1+($B$11/100),AP62-2024)</f>
        <v>0.93835422754265252</v>
      </c>
      <c r="AQ73" s="227">
        <f>$AN$73/POWER(1+($B$11/100),AQ62-2024)</f>
        <v>0.91102352188607039</v>
      </c>
      <c r="AR73" s="227">
        <f>$AN$73/POWER(1+($B$11/100),AR62-2024)</f>
        <v>0.88448885620006845</v>
      </c>
      <c r="AS73" s="227">
        <f>$AN$73/POWER(1+($B$11/100),AS62-2024)</f>
        <v>0.85872704485443541</v>
      </c>
      <c r="AT73" s="227">
        <f>$AN$73/POWER(1+($B$11/100),AT62-2024)</f>
        <v>0.83371557752857806</v>
      </c>
      <c r="AU73" s="227">
        <f>$AN$73/POWER(1+($B$11/100),AU62-2024)</f>
        <v>0.80943259954230873</v>
      </c>
      <c r="AV73" s="227">
        <f>$AN$73/POWER(1+($B$11/100),AV62-2024)</f>
        <v>0.78585689275952308</v>
      </c>
      <c r="AW73" s="227">
        <f>$AN$73/POWER(1+($B$11/100),AW62-2024)</f>
        <v>0.76296785704808068</v>
      </c>
      <c r="AX73" s="227">
        <f>$AN$73/POWER(1+($B$11/100),AX62-2024)</f>
        <v>0.74074549227969</v>
      </c>
      <c r="AY73" s="227">
        <f>$AN$73/POWER(1+($B$11/100),AY62-2024)</f>
        <v>0.71917038085406793</v>
      </c>
      <c r="AZ73" s="227">
        <f>$AN$73/POWER(1+($B$11/100),AZ62-2024)</f>
        <v>0.6982236707321049</v>
      </c>
      <c r="BA73" s="227">
        <f>$AN$73/POWER(1+($B$11/100),BA62-2024)</f>
        <v>0.67788705896320867</v>
      </c>
      <c r="BB73" s="227">
        <f>$AN$73/POWER(1+($B$11/100),BB62-2024)</f>
        <v>0.65814277569243551</v>
      </c>
      <c r="BC73" s="227">
        <f>$AN$73/POWER(1+($B$11/100),BC62-2024)</f>
        <v>0.63897356863343246</v>
      </c>
      <c r="BD73" s="227">
        <f>$AN$73/POWER(1+($B$11/100),BD62-2024)</f>
        <v>0.62036268799362393</v>
      </c>
      <c r="BE73" s="227">
        <f>$AN$73/POWER(1+($B$11/100),BE62-2024)</f>
        <v>0.60229387183846983</v>
      </c>
      <c r="BF73" s="227">
        <f>$AN$73/POWER(1+($B$11/100),BF62-2024)</f>
        <v>0.58475133188200945</v>
      </c>
      <c r="BG73" s="227">
        <f>$AN$73/POWER(1+($B$11/100),BG62-2024)</f>
        <v>0.56771973969127132</v>
      </c>
      <c r="BH73" s="227">
        <f t="shared" si="20"/>
        <v>15.254842010290965</v>
      </c>
    </row>
    <row r="74" spans="29:60" x14ac:dyDescent="0.25">
      <c r="AC74" s="240">
        <f t="shared" si="18"/>
        <v>5781600</v>
      </c>
      <c r="AD74" s="21">
        <v>11</v>
      </c>
      <c r="AE74" s="216">
        <f t="shared" ref="AE74:AE88" si="22">AE44*$B$3</f>
        <v>4</v>
      </c>
      <c r="AF74" s="227">
        <f t="shared" ref="AF74:AF88" si="23">AF44*$B$4</f>
        <v>1.155</v>
      </c>
      <c r="AG74" s="216">
        <f t="shared" ref="AG74:AG88" si="24">AG44*$B$5</f>
        <v>0</v>
      </c>
      <c r="AH74" s="227">
        <f t="shared" ref="AH74:AH88" si="25">AH44*$B$6</f>
        <v>0</v>
      </c>
      <c r="AI74" s="227">
        <f t="shared" ref="AI74:AI88" si="26">AI44*$B$7</f>
        <v>0</v>
      </c>
      <c r="AJ74" s="248">
        <f>AJ44*$B$8</f>
        <v>0.1</v>
      </c>
      <c r="AK74" s="216">
        <f t="shared" si="19"/>
        <v>0.51550000000000007</v>
      </c>
      <c r="AL74" s="292">
        <f t="shared" si="21"/>
        <v>0.38</v>
      </c>
      <c r="AN74" s="227">
        <f>(AJ74+AK74+AL74)</f>
        <v>0.99550000000000005</v>
      </c>
      <c r="AO74" s="227">
        <f>$AN$74/POWER(1+($B$11/100),AO62-2024)</f>
        <v>0.96650485436893208</v>
      </c>
      <c r="AP74" s="227">
        <f>$AN$74/POWER(1+($B$11/100),AP62-2024)</f>
        <v>0.93835422754265252</v>
      </c>
      <c r="AQ74" s="227">
        <f>$AN$74/POWER(1+($B$11/100),AQ62-2024)</f>
        <v>0.91102352188607039</v>
      </c>
      <c r="AR74" s="227">
        <f>$AN$74/POWER(1+($B$11/100),AR62-2024)</f>
        <v>0.88448885620006845</v>
      </c>
      <c r="AS74" s="227">
        <f>$AN$74/POWER(1+($B$11/100),AS62-2024)</f>
        <v>0.85872704485443541</v>
      </c>
      <c r="AT74" s="227">
        <f>$AN$74/POWER(1+($B$11/100),AT62-2024)</f>
        <v>0.83371557752857806</v>
      </c>
      <c r="AU74" s="227">
        <f>$AN$74/POWER(1+($B$11/100),AU62-2024)</f>
        <v>0.80943259954230873</v>
      </c>
      <c r="AV74" s="227">
        <f>$AN$74/POWER(1+($B$11/100),AV62-2024)</f>
        <v>0.78585689275952308</v>
      </c>
      <c r="AW74" s="227">
        <f>$AN$74/POWER(1+($B$11/100),AW62-2024)</f>
        <v>0.76296785704808068</v>
      </c>
      <c r="AX74" s="227">
        <f>$AN$74/POWER(1+($B$11/100),AX62-2024)</f>
        <v>0.74074549227969</v>
      </c>
      <c r="AY74" s="227">
        <f>$AN$74/POWER(1+($B$11/100),AY62-2024)</f>
        <v>0.71917038085406793</v>
      </c>
      <c r="AZ74" s="227">
        <f>$AN$74/POWER(1+($B$11/100),AZ62-2024)</f>
        <v>0.6982236707321049</v>
      </c>
      <c r="BA74" s="227">
        <f>$AN$74/POWER(1+($B$11/100),BA62-2024)</f>
        <v>0.67788705896320867</v>
      </c>
      <c r="BB74" s="227">
        <f>$AN$74/POWER(1+($B$11/100),BB62-2024)</f>
        <v>0.65814277569243551</v>
      </c>
      <c r="BC74" s="227">
        <f>$AN$74/POWER(1+($B$11/100),BC62-2024)</f>
        <v>0.63897356863343246</v>
      </c>
      <c r="BD74" s="227">
        <f>$AN$74/POWER(1+($B$11/100),BD62-2024)</f>
        <v>0.62036268799362393</v>
      </c>
      <c r="BE74" s="227">
        <f>$AN$74/POWER(1+($B$11/100),BE62-2024)</f>
        <v>0.60229387183846983</v>
      </c>
      <c r="BF74" s="227">
        <f>$AN$74/POWER(1+($B$11/100),BF62-2024)</f>
        <v>0.58475133188200945</v>
      </c>
      <c r="BG74" s="227">
        <f>$AN$74/POWER(1+($B$11/100),BG62-2024)</f>
        <v>0.56771973969127132</v>
      </c>
      <c r="BH74" s="227">
        <f t="shared" si="20"/>
        <v>15.254842010290965</v>
      </c>
    </row>
    <row r="75" spans="29:60" x14ac:dyDescent="0.25">
      <c r="AC75" s="240">
        <f t="shared" si="18"/>
        <v>6307200</v>
      </c>
      <c r="AD75" s="21">
        <v>12</v>
      </c>
      <c r="AE75" s="216">
        <f t="shared" si="22"/>
        <v>4</v>
      </c>
      <c r="AF75" s="227">
        <f t="shared" si="23"/>
        <v>1.155</v>
      </c>
      <c r="AG75" s="216">
        <f t="shared" si="24"/>
        <v>0</v>
      </c>
      <c r="AH75" s="227">
        <f t="shared" si="25"/>
        <v>0</v>
      </c>
      <c r="AI75" s="227">
        <f t="shared" si="26"/>
        <v>0</v>
      </c>
      <c r="AJ75" s="248">
        <f>AJ45*$B$8</f>
        <v>0.1</v>
      </c>
      <c r="AK75" s="216">
        <f t="shared" si="19"/>
        <v>0.51550000000000007</v>
      </c>
      <c r="AL75" s="292">
        <f t="shared" si="21"/>
        <v>0.38</v>
      </c>
      <c r="AN75" s="227">
        <f>(AJ75+AK75+AL75)</f>
        <v>0.99550000000000005</v>
      </c>
      <c r="AO75" s="227">
        <f>$AN$75/POWER(1+($B$11/100),AO62-2024)</f>
        <v>0.96650485436893208</v>
      </c>
      <c r="AP75" s="227">
        <f>$AN$75/POWER(1+($B$11/100),AP62-2024)</f>
        <v>0.93835422754265252</v>
      </c>
      <c r="AQ75" s="227">
        <f>$AN$75/POWER(1+($B$11/100),AQ62-2024)</f>
        <v>0.91102352188607039</v>
      </c>
      <c r="AR75" s="227">
        <f>$AN$75/POWER(1+($B$11/100),AR62-2024)</f>
        <v>0.88448885620006845</v>
      </c>
      <c r="AS75" s="227">
        <f>$AN$75/POWER(1+($B$11/100),AS62-2024)</f>
        <v>0.85872704485443541</v>
      </c>
      <c r="AT75" s="227">
        <f>$AN$75/POWER(1+($B$11/100),AT62-2024)</f>
        <v>0.83371557752857806</v>
      </c>
      <c r="AU75" s="227">
        <f>$AN$75/POWER(1+($B$11/100),AU62-2024)</f>
        <v>0.80943259954230873</v>
      </c>
      <c r="AV75" s="227">
        <f>$AN$75/POWER(1+($B$11/100),AV62-2024)</f>
        <v>0.78585689275952308</v>
      </c>
      <c r="AW75" s="227">
        <f>$AN$75/POWER(1+($B$11/100),AW62-2024)</f>
        <v>0.76296785704808068</v>
      </c>
      <c r="AX75" s="227">
        <f>$AN$75/POWER(1+($B$11/100),AX62-2024)</f>
        <v>0.74074549227969</v>
      </c>
      <c r="AY75" s="227">
        <f>$AN$75/POWER(1+($B$11/100),AY62-2024)</f>
        <v>0.71917038085406793</v>
      </c>
      <c r="AZ75" s="227">
        <f>$AN$75/POWER(1+($B$11/100),AZ62-2024)</f>
        <v>0.6982236707321049</v>
      </c>
      <c r="BA75" s="227">
        <f>$AN$75/POWER(1+($B$11/100),BA62-2024)</f>
        <v>0.67788705896320867</v>
      </c>
      <c r="BB75" s="227">
        <f>$AN$75/POWER(1+($B$11/100),BB62-2024)</f>
        <v>0.65814277569243551</v>
      </c>
      <c r="BC75" s="227">
        <f>$AN$75/POWER(1+($B$11/100),BC62-2024)</f>
        <v>0.63897356863343246</v>
      </c>
      <c r="BD75" s="227">
        <f>$AN$75/POWER(1+($B$11/100),BD62-2024)</f>
        <v>0.62036268799362393</v>
      </c>
      <c r="BE75" s="227">
        <f>$AN$75/POWER(1+($B$11/100),BE62-2024)</f>
        <v>0.60229387183846983</v>
      </c>
      <c r="BF75" s="227">
        <f>$AN$75/POWER(1+($B$11/100),BF62-2024)</f>
        <v>0.58475133188200945</v>
      </c>
      <c r="BG75" s="227">
        <f>$AN$75/POWER(1+($B$11/100),BG62-2024)</f>
        <v>0.56771973969127132</v>
      </c>
      <c r="BH75" s="227">
        <f t="shared" si="20"/>
        <v>15.254842010290965</v>
      </c>
    </row>
    <row r="76" spans="29:60" x14ac:dyDescent="0.25">
      <c r="AC76" s="240">
        <f t="shared" si="18"/>
        <v>6832800</v>
      </c>
      <c r="AD76" s="21">
        <v>13</v>
      </c>
      <c r="AE76" s="216">
        <f t="shared" si="22"/>
        <v>4</v>
      </c>
      <c r="AF76" s="227">
        <f t="shared" si="23"/>
        <v>1.155</v>
      </c>
      <c r="AG76" s="216">
        <f t="shared" si="24"/>
        <v>0</v>
      </c>
      <c r="AH76" s="227">
        <f t="shared" si="25"/>
        <v>0</v>
      </c>
      <c r="AI76" s="227">
        <f t="shared" si="26"/>
        <v>0</v>
      </c>
      <c r="AJ76" s="248">
        <f>AJ46*$B$8</f>
        <v>0.1</v>
      </c>
      <c r="AK76" s="216">
        <f t="shared" si="19"/>
        <v>0.51550000000000007</v>
      </c>
      <c r="AL76" s="292">
        <f t="shared" si="21"/>
        <v>0.38</v>
      </c>
      <c r="AN76" s="227">
        <f t="shared" si="17"/>
        <v>0.99550000000000005</v>
      </c>
      <c r="AO76" s="227">
        <f>$AN$76/POWER(1+($B$11/100),AO62-2024)</f>
        <v>0.96650485436893208</v>
      </c>
      <c r="AP76" s="227">
        <f>$AN$76/POWER(1+($B$11/100),AP62-2024)</f>
        <v>0.93835422754265252</v>
      </c>
      <c r="AQ76" s="227">
        <f>$AN$76/POWER(1+($B$11/100),AQ62-2024)</f>
        <v>0.91102352188607039</v>
      </c>
      <c r="AR76" s="227">
        <f>$AN$76/POWER(1+($B$11/100),AR62-2024)</f>
        <v>0.88448885620006845</v>
      </c>
      <c r="AS76" s="227">
        <f>$AN$76/POWER(1+($B$11/100),AS62-2024)</f>
        <v>0.85872704485443541</v>
      </c>
      <c r="AT76" s="227">
        <f>$AN$76/POWER(1+($B$11/100),AT62-2024)</f>
        <v>0.83371557752857806</v>
      </c>
      <c r="AU76" s="227">
        <f>$AN$76/POWER(1+($B$11/100),AU62-2024)</f>
        <v>0.80943259954230873</v>
      </c>
      <c r="AV76" s="227">
        <f>$AN$76/POWER(1+($B$11/100),AV62-2024)</f>
        <v>0.78585689275952308</v>
      </c>
      <c r="AW76" s="227">
        <f>$AN$76/POWER(1+($B$11/100),AW62-2024)</f>
        <v>0.76296785704808068</v>
      </c>
      <c r="AX76" s="227">
        <f>$AN$76/POWER(1+($B$11/100),AX62-2024)</f>
        <v>0.74074549227969</v>
      </c>
      <c r="AY76" s="227">
        <f>$AN$76/POWER(1+($B$11/100),AY62-2024)</f>
        <v>0.71917038085406793</v>
      </c>
      <c r="AZ76" s="227">
        <f>$AN$76/POWER(1+($B$11/100),AZ62-2024)</f>
        <v>0.6982236707321049</v>
      </c>
      <c r="BA76" s="227">
        <f>$AN$76/POWER(1+($B$11/100),BA62-2024)</f>
        <v>0.67788705896320867</v>
      </c>
      <c r="BB76" s="227">
        <f>$AN$76/POWER(1+($B$11/100),BB62-2024)</f>
        <v>0.65814277569243551</v>
      </c>
      <c r="BC76" s="227">
        <f>$AN$76/POWER(1+($B$11/100),BC62-2024)</f>
        <v>0.63897356863343246</v>
      </c>
      <c r="BD76" s="227">
        <f>$AN$76/POWER(1+($B$11/100),BD62-2024)</f>
        <v>0.62036268799362393</v>
      </c>
      <c r="BE76" s="227">
        <f>$AN$76/POWER(1+($B$11/100),BE62-2024)</f>
        <v>0.60229387183846983</v>
      </c>
      <c r="BF76" s="227">
        <f>$AN$76/POWER(1+($B$11/100),BF62-2024)</f>
        <v>0.58475133188200945</v>
      </c>
      <c r="BG76" s="227">
        <f>$AN$76/POWER(1+($B$11/100),BG62-2024)</f>
        <v>0.56771973969127132</v>
      </c>
      <c r="BH76" s="227">
        <f t="shared" si="20"/>
        <v>15.254842010290965</v>
      </c>
    </row>
    <row r="77" spans="29:60" x14ac:dyDescent="0.25">
      <c r="AC77" s="240">
        <f t="shared" si="18"/>
        <v>7358400</v>
      </c>
      <c r="AD77" s="21">
        <v>14</v>
      </c>
      <c r="AE77" s="216">
        <f t="shared" si="22"/>
        <v>4</v>
      </c>
      <c r="AF77" s="227">
        <f t="shared" si="23"/>
        <v>1.155</v>
      </c>
      <c r="AG77" s="216">
        <f t="shared" si="24"/>
        <v>0</v>
      </c>
      <c r="AH77" s="227">
        <f t="shared" si="25"/>
        <v>0</v>
      </c>
      <c r="AI77" s="227">
        <f t="shared" si="26"/>
        <v>0</v>
      </c>
      <c r="AJ77" s="248">
        <f>AJ47*$B$8</f>
        <v>0.1</v>
      </c>
      <c r="AK77" s="216">
        <f t="shared" si="19"/>
        <v>0.51550000000000007</v>
      </c>
      <c r="AL77" s="292">
        <f t="shared" si="21"/>
        <v>0.38</v>
      </c>
      <c r="AN77" s="227">
        <f t="shared" si="17"/>
        <v>0.99550000000000005</v>
      </c>
      <c r="AO77" s="227">
        <f>$AN$77/POWER(1+($B$11/100),AO62-2024)</f>
        <v>0.96650485436893208</v>
      </c>
      <c r="AP77" s="227">
        <f>$AN$77/POWER(1+($B$11/100),AP62-2024)</f>
        <v>0.93835422754265252</v>
      </c>
      <c r="AQ77" s="227">
        <f>$AN$77/POWER(1+($B$11/100),AQ62-2024)</f>
        <v>0.91102352188607039</v>
      </c>
      <c r="AR77" s="227">
        <f>$AN$77/POWER(1+($B$11/100),AR62-2024)</f>
        <v>0.88448885620006845</v>
      </c>
      <c r="AS77" s="227">
        <f>$AN$77/POWER(1+($B$11/100),AS62-2024)</f>
        <v>0.85872704485443541</v>
      </c>
      <c r="AT77" s="227">
        <f>$AN$77/POWER(1+($B$11/100),AT62-2024)</f>
        <v>0.83371557752857806</v>
      </c>
      <c r="AU77" s="227">
        <f>$AN$77/POWER(1+($B$11/100),AU62-2024)</f>
        <v>0.80943259954230873</v>
      </c>
      <c r="AV77" s="227">
        <f>$AN$77/POWER(1+($B$11/100),AV62-2024)</f>
        <v>0.78585689275952308</v>
      </c>
      <c r="AW77" s="227">
        <f>$AN$77/POWER(1+($B$11/100),AW62-2024)</f>
        <v>0.76296785704808068</v>
      </c>
      <c r="AX77" s="227">
        <f>$AN$77/POWER(1+($B$11/100),AX62-2024)</f>
        <v>0.74074549227969</v>
      </c>
      <c r="AY77" s="227">
        <f>$AN$77/POWER(1+($B$11/100),AY62-2024)</f>
        <v>0.71917038085406793</v>
      </c>
      <c r="AZ77" s="227">
        <f>$AN$77/POWER(1+($B$11/100),AZ62-2024)</f>
        <v>0.6982236707321049</v>
      </c>
      <c r="BA77" s="227">
        <f>$AN$77/POWER(1+($B$11/100),BA62-2024)</f>
        <v>0.67788705896320867</v>
      </c>
      <c r="BB77" s="227">
        <f>$AN$77/POWER(1+($B$11/100),BB62-2024)</f>
        <v>0.65814277569243551</v>
      </c>
      <c r="BC77" s="227">
        <f>$AN$77/POWER(1+($B$11/100),BC62-2024)</f>
        <v>0.63897356863343246</v>
      </c>
      <c r="BD77" s="227">
        <f>$AN$77/POWER(1+($B$11/100),BD62-2024)</f>
        <v>0.62036268799362393</v>
      </c>
      <c r="BE77" s="227">
        <f>$AN$77/POWER(1+($B$11/100),BE62-2024)</f>
        <v>0.60229387183846983</v>
      </c>
      <c r="BF77" s="227">
        <f>$AN$77/POWER(1+($B$11/100),BF62-2024)</f>
        <v>0.58475133188200945</v>
      </c>
      <c r="BG77" s="227">
        <f>$AN$77/POWER(1+($B$11/100),BG62-2024)</f>
        <v>0.56771973969127132</v>
      </c>
      <c r="BH77" s="227">
        <f t="shared" si="20"/>
        <v>15.254842010290965</v>
      </c>
    </row>
    <row r="78" spans="29:60" x14ac:dyDescent="0.25">
      <c r="AC78" s="240">
        <f t="shared" si="18"/>
        <v>7884000</v>
      </c>
      <c r="AD78" s="21">
        <v>15</v>
      </c>
      <c r="AE78" s="216">
        <f t="shared" si="22"/>
        <v>4</v>
      </c>
      <c r="AF78" s="227">
        <f t="shared" si="23"/>
        <v>1.155</v>
      </c>
      <c r="AG78" s="216">
        <f t="shared" si="24"/>
        <v>0</v>
      </c>
      <c r="AH78" s="227">
        <f t="shared" si="25"/>
        <v>0</v>
      </c>
      <c r="AI78" s="227">
        <f t="shared" si="26"/>
        <v>0</v>
      </c>
      <c r="AJ78" s="248">
        <f>AJ48*$B$8</f>
        <v>0.1</v>
      </c>
      <c r="AK78" s="216">
        <f t="shared" si="19"/>
        <v>0.51550000000000007</v>
      </c>
      <c r="AL78" s="292">
        <f t="shared" si="21"/>
        <v>0.38</v>
      </c>
      <c r="AN78" s="227">
        <f t="shared" si="17"/>
        <v>0.99550000000000005</v>
      </c>
      <c r="AO78" s="227">
        <f>$AN$78/POWER(1+($B$11/100),AO62-2024)</f>
        <v>0.96650485436893208</v>
      </c>
      <c r="AP78" s="227">
        <f>$AN$78/POWER(1+($B$11/100),AP62-2024)</f>
        <v>0.93835422754265252</v>
      </c>
      <c r="AQ78" s="227">
        <f>$AN$78/POWER(1+($B$11/100),AQ62-2024)</f>
        <v>0.91102352188607039</v>
      </c>
      <c r="AR78" s="227">
        <f>$AN$78/POWER(1+($B$11/100),AR62-2024)</f>
        <v>0.88448885620006845</v>
      </c>
      <c r="AS78" s="227">
        <f>$AN$78/POWER(1+($B$11/100),AS62-2024)</f>
        <v>0.85872704485443541</v>
      </c>
      <c r="AT78" s="227">
        <f>$AN$78/POWER(1+($B$11/100),AT62-2024)</f>
        <v>0.83371557752857806</v>
      </c>
      <c r="AU78" s="227">
        <f>$AN$78/POWER(1+($B$11/100),AU62-2024)</f>
        <v>0.80943259954230873</v>
      </c>
      <c r="AV78" s="227">
        <f>$AN$78/POWER(1+($B$11/100),AV62-2024)</f>
        <v>0.78585689275952308</v>
      </c>
      <c r="AW78" s="227">
        <f>$AN$78/POWER(1+($B$11/100),AW62-2024)</f>
        <v>0.76296785704808068</v>
      </c>
      <c r="AX78" s="227">
        <f>$AN$78/POWER(1+($B$11/100),AX62-2024)</f>
        <v>0.74074549227969</v>
      </c>
      <c r="AY78" s="227">
        <f>$AN$78/POWER(1+($B$11/100),AY62-2024)</f>
        <v>0.71917038085406793</v>
      </c>
      <c r="AZ78" s="227">
        <f>$AN$78/POWER(1+($B$11/100),AZ62-2024)</f>
        <v>0.6982236707321049</v>
      </c>
      <c r="BA78" s="227">
        <f>$AN$78/POWER(1+($B$11/100),BA62-2024)</f>
        <v>0.67788705896320867</v>
      </c>
      <c r="BB78" s="227">
        <f>$AN$78/POWER(1+($B$11/100),BB62-2024)</f>
        <v>0.65814277569243551</v>
      </c>
      <c r="BC78" s="227">
        <f>$AN$78/POWER(1+($B$11/100),BC62-2024)</f>
        <v>0.63897356863343246</v>
      </c>
      <c r="BD78" s="227">
        <f>$AN$78/POWER(1+($B$11/100),BD62-2024)</f>
        <v>0.62036268799362393</v>
      </c>
      <c r="BE78" s="227">
        <f>$AN$78/POWER(1+($B$11/100),BE62-2024)</f>
        <v>0.60229387183846983</v>
      </c>
      <c r="BF78" s="227">
        <f>$AN$78/POWER(1+($B$11/100),BF62-2024)</f>
        <v>0.58475133188200945</v>
      </c>
      <c r="BG78" s="227">
        <f>$AN$78/POWER(1+($B$11/100),BG62-2024)</f>
        <v>0.56771973969127132</v>
      </c>
      <c r="BH78" s="227">
        <f t="shared" si="20"/>
        <v>15.254842010290965</v>
      </c>
    </row>
    <row r="79" spans="29:60" x14ac:dyDescent="0.25">
      <c r="AC79" s="240">
        <f t="shared" si="18"/>
        <v>8409600</v>
      </c>
      <c r="AD79" s="21">
        <v>16</v>
      </c>
      <c r="AE79" s="216">
        <f t="shared" si="22"/>
        <v>4</v>
      </c>
      <c r="AF79" s="227">
        <f t="shared" si="23"/>
        <v>1.155</v>
      </c>
      <c r="AG79" s="216">
        <f t="shared" si="24"/>
        <v>0</v>
      </c>
      <c r="AH79" s="227">
        <f t="shared" si="25"/>
        <v>0</v>
      </c>
      <c r="AI79" s="227">
        <f t="shared" si="26"/>
        <v>0</v>
      </c>
      <c r="AJ79" s="248">
        <f>AJ49*$B$8</f>
        <v>0.1</v>
      </c>
      <c r="AK79" s="216">
        <f t="shared" si="19"/>
        <v>0.51550000000000007</v>
      </c>
      <c r="AL79" s="292">
        <f t="shared" si="21"/>
        <v>0.38</v>
      </c>
      <c r="AN79" s="227">
        <f t="shared" si="17"/>
        <v>0.99550000000000005</v>
      </c>
      <c r="AO79" s="227">
        <f>$AN$79/POWER(1+($B$11/100),AO62-2024)</f>
        <v>0.96650485436893208</v>
      </c>
      <c r="AP79" s="227">
        <f>$AN$79/POWER(1+($B$11/100),AP62-2024)</f>
        <v>0.93835422754265252</v>
      </c>
      <c r="AQ79" s="227">
        <f>$AN$79/POWER(1+($B$11/100),AQ62-2024)</f>
        <v>0.91102352188607039</v>
      </c>
      <c r="AR79" s="227">
        <f>$AN$79/POWER(1+($B$11/100),AR62-2024)</f>
        <v>0.88448885620006845</v>
      </c>
      <c r="AS79" s="227">
        <f>$AN$79/POWER(1+($B$11/100),AS62-2024)</f>
        <v>0.85872704485443541</v>
      </c>
      <c r="AT79" s="227">
        <f>$AN$79/POWER(1+($B$11/100),AT62-2024)</f>
        <v>0.83371557752857806</v>
      </c>
      <c r="AU79" s="227">
        <f>$AN$79/POWER(1+($B$11/100),AU62-2024)</f>
        <v>0.80943259954230873</v>
      </c>
      <c r="AV79" s="227">
        <f>$AN$79/POWER(1+($B$11/100),AV62-2024)</f>
        <v>0.78585689275952308</v>
      </c>
      <c r="AW79" s="227">
        <f>$AN$79/POWER(1+($B$11/100),AW62-2024)</f>
        <v>0.76296785704808068</v>
      </c>
      <c r="AX79" s="227">
        <f>$AN$79/POWER(1+($B$11/100),AX62-2024)</f>
        <v>0.74074549227969</v>
      </c>
      <c r="AY79" s="227">
        <f>$AN$79/POWER(1+($B$11/100),AY62-2024)</f>
        <v>0.71917038085406793</v>
      </c>
      <c r="AZ79" s="227">
        <f>$AN$79/POWER(1+($B$11/100),AZ62-2024)</f>
        <v>0.6982236707321049</v>
      </c>
      <c r="BA79" s="227">
        <f>$AN$79/POWER(1+($B$11/100),BA62-2024)</f>
        <v>0.67788705896320867</v>
      </c>
      <c r="BB79" s="227">
        <f>$AN$79/POWER(1+($B$11/100),BB62-2024)</f>
        <v>0.65814277569243551</v>
      </c>
      <c r="BC79" s="227">
        <f>$AN$79/POWER(1+($B$11/100),BC62-2024)</f>
        <v>0.63897356863343246</v>
      </c>
      <c r="BD79" s="227">
        <f>$AN$79/POWER(1+($B$11/100),BD62-2024)</f>
        <v>0.62036268799362393</v>
      </c>
      <c r="BE79" s="227">
        <f>$AN$79/POWER(1+($B$11/100),BE62-2024)</f>
        <v>0.60229387183846983</v>
      </c>
      <c r="BF79" s="227">
        <f>$AN$79/POWER(1+($B$11/100),BF62-2024)</f>
        <v>0.58475133188200945</v>
      </c>
      <c r="BG79" s="227">
        <f>$AN$79/POWER(1+($B$11/100),BG62-2024)</f>
        <v>0.56771973969127132</v>
      </c>
      <c r="BH79" s="227">
        <f t="shared" si="20"/>
        <v>15.254842010290965</v>
      </c>
    </row>
    <row r="80" spans="29:60" x14ac:dyDescent="0.25">
      <c r="AC80" s="240">
        <f t="shared" si="18"/>
        <v>8935200</v>
      </c>
      <c r="AD80" s="21">
        <v>17</v>
      </c>
      <c r="AE80" s="216">
        <f t="shared" si="22"/>
        <v>4</v>
      </c>
      <c r="AF80" s="227">
        <f t="shared" si="23"/>
        <v>1.155</v>
      </c>
      <c r="AG80" s="216">
        <f t="shared" si="24"/>
        <v>0</v>
      </c>
      <c r="AH80" s="227">
        <f t="shared" si="25"/>
        <v>0</v>
      </c>
      <c r="AI80" s="227">
        <f t="shared" si="26"/>
        <v>0</v>
      </c>
      <c r="AJ80" s="248">
        <f>AJ50*$B$8</f>
        <v>0.1</v>
      </c>
      <c r="AK80" s="216">
        <f t="shared" si="19"/>
        <v>0.51550000000000007</v>
      </c>
      <c r="AL80" s="292">
        <f t="shared" si="21"/>
        <v>0.38</v>
      </c>
      <c r="AN80" s="227">
        <f t="shared" si="17"/>
        <v>0.99550000000000005</v>
      </c>
      <c r="AO80" s="227">
        <f>$AN$80/POWER(1+($B$11/100),AO62-2024)</f>
        <v>0.96650485436893208</v>
      </c>
      <c r="AP80" s="227">
        <f>$AN$80/POWER(1+($B$11/100),AP62-2024)</f>
        <v>0.93835422754265252</v>
      </c>
      <c r="AQ80" s="227">
        <f>$AN$80/POWER(1+($B$11/100),AQ62-2024)</f>
        <v>0.91102352188607039</v>
      </c>
      <c r="AR80" s="227">
        <f>$AN$80/POWER(1+($B$11/100),AR62-2024)</f>
        <v>0.88448885620006845</v>
      </c>
      <c r="AS80" s="227">
        <f>$AN$80/POWER(1+($B$11/100),AS62-2024)</f>
        <v>0.85872704485443541</v>
      </c>
      <c r="AT80" s="227">
        <f>$AN$80/POWER(1+($B$11/100),AT62-2024)</f>
        <v>0.83371557752857806</v>
      </c>
      <c r="AU80" s="227">
        <f>$AN$80/POWER(1+($B$11/100),AU62-2024)</f>
        <v>0.80943259954230873</v>
      </c>
      <c r="AV80" s="227">
        <f>$AN$80/POWER(1+($B$11/100),AV62-2024)</f>
        <v>0.78585689275952308</v>
      </c>
      <c r="AW80" s="227">
        <f>$AN$80/POWER(1+($B$11/100),AW62-2024)</f>
        <v>0.76296785704808068</v>
      </c>
      <c r="AX80" s="227">
        <f>$AN$80/POWER(1+($B$11/100),AX62-2024)</f>
        <v>0.74074549227969</v>
      </c>
      <c r="AY80" s="227">
        <f>$AN$80/POWER(1+($B$11/100),AY62-2024)</f>
        <v>0.71917038085406793</v>
      </c>
      <c r="AZ80" s="227">
        <f>$AN$80/POWER(1+($B$11/100),AZ62-2024)</f>
        <v>0.6982236707321049</v>
      </c>
      <c r="BA80" s="227">
        <f>$AN$80/POWER(1+($B$11/100),BA62-2024)</f>
        <v>0.67788705896320867</v>
      </c>
      <c r="BB80" s="227">
        <f>$AN$80/POWER(1+($B$11/100),BB62-2024)</f>
        <v>0.65814277569243551</v>
      </c>
      <c r="BC80" s="227">
        <f>$AN$80/POWER(1+($B$11/100),BC62-2024)</f>
        <v>0.63897356863343246</v>
      </c>
      <c r="BD80" s="227">
        <f>$AN$80/POWER(1+($B$11/100),BD62-2024)</f>
        <v>0.62036268799362393</v>
      </c>
      <c r="BE80" s="227">
        <f>$AN$80/POWER(1+($B$11/100),BE62-2024)</f>
        <v>0.60229387183846983</v>
      </c>
      <c r="BF80" s="227">
        <f>$AN$80/POWER(1+($B$11/100),BF62-2024)</f>
        <v>0.58475133188200945</v>
      </c>
      <c r="BG80" s="227">
        <f>$AN$80/POWER(1+($B$11/100),BG62-2024)</f>
        <v>0.56771973969127132</v>
      </c>
      <c r="BH80" s="227">
        <f t="shared" si="20"/>
        <v>15.254842010290965</v>
      </c>
    </row>
    <row r="81" spans="29:60" x14ac:dyDescent="0.25">
      <c r="AC81" s="240">
        <f t="shared" si="18"/>
        <v>9460800</v>
      </c>
      <c r="AD81" s="21">
        <v>18</v>
      </c>
      <c r="AE81" s="216">
        <f t="shared" si="22"/>
        <v>4</v>
      </c>
      <c r="AF81" s="227">
        <f t="shared" si="23"/>
        <v>1.155</v>
      </c>
      <c r="AG81" s="216">
        <f t="shared" si="24"/>
        <v>0</v>
      </c>
      <c r="AH81" s="227">
        <f t="shared" si="25"/>
        <v>0</v>
      </c>
      <c r="AI81" s="227">
        <f t="shared" si="26"/>
        <v>0</v>
      </c>
      <c r="AJ81" s="248">
        <f>AJ51*$B$8</f>
        <v>0.1</v>
      </c>
      <c r="AK81" s="216">
        <f t="shared" si="19"/>
        <v>0.51550000000000007</v>
      </c>
      <c r="AL81" s="292">
        <f t="shared" si="21"/>
        <v>0.38</v>
      </c>
      <c r="AN81" s="227">
        <f t="shared" si="17"/>
        <v>0.99550000000000005</v>
      </c>
      <c r="AO81" s="227">
        <f>$AN$81/POWER(1+($B$11/100),AO62-2024)</f>
        <v>0.96650485436893208</v>
      </c>
      <c r="AP81" s="227">
        <f>$AN$81/POWER(1+($B$11/100),AP62-2024)</f>
        <v>0.93835422754265252</v>
      </c>
      <c r="AQ81" s="227">
        <f>$AN$81/POWER(1+($B$11/100),AQ62-2024)</f>
        <v>0.91102352188607039</v>
      </c>
      <c r="AR81" s="227">
        <f>$AN$81/POWER(1+($B$11/100),AR62-2024)</f>
        <v>0.88448885620006845</v>
      </c>
      <c r="AS81" s="227">
        <f>$AN$81/POWER(1+($B$11/100),AS62-2024)</f>
        <v>0.85872704485443541</v>
      </c>
      <c r="AT81" s="227">
        <f>$AN$81/POWER(1+($B$11/100),AT62-2024)</f>
        <v>0.83371557752857806</v>
      </c>
      <c r="AU81" s="227">
        <f>$AN$81/POWER(1+($B$11/100),AU62-2024)</f>
        <v>0.80943259954230873</v>
      </c>
      <c r="AV81" s="227">
        <f>$AN$81/POWER(1+($B$11/100),AV62-2024)</f>
        <v>0.78585689275952308</v>
      </c>
      <c r="AW81" s="227">
        <f>$AN$81/POWER(1+($B$11/100),AW62-2024)</f>
        <v>0.76296785704808068</v>
      </c>
      <c r="AX81" s="227">
        <f>$AN$81/POWER(1+($B$11/100),AX62-2024)</f>
        <v>0.74074549227969</v>
      </c>
      <c r="AY81" s="227">
        <f>$AN$81/POWER(1+($B$11/100),AY62-2024)</f>
        <v>0.71917038085406793</v>
      </c>
      <c r="AZ81" s="227">
        <f>$AN$81/POWER(1+($B$11/100),AZ62-2024)</f>
        <v>0.6982236707321049</v>
      </c>
      <c r="BA81" s="227">
        <f>$AN$81/POWER(1+($B$11/100),BA62-2024)</f>
        <v>0.67788705896320867</v>
      </c>
      <c r="BB81" s="227">
        <f>$AN$81/POWER(1+($B$11/100),BB62-2024)</f>
        <v>0.65814277569243551</v>
      </c>
      <c r="BC81" s="227">
        <f>$AN$81/POWER(1+($B$11/100),BC62-2024)</f>
        <v>0.63897356863343246</v>
      </c>
      <c r="BD81" s="227">
        <f>$AN$81/POWER(1+($B$11/100),BD62-2024)</f>
        <v>0.62036268799362393</v>
      </c>
      <c r="BE81" s="227">
        <f>$AN$81/POWER(1+($B$11/100),BE62-2024)</f>
        <v>0.60229387183846983</v>
      </c>
      <c r="BF81" s="227">
        <f>$AN$81/POWER(1+($B$11/100),BF62-2024)</f>
        <v>0.58475133188200945</v>
      </c>
      <c r="BG81" s="227">
        <f>$AN$81/POWER(1+($B$11/100),BG62-2024)</f>
        <v>0.56771973969127132</v>
      </c>
      <c r="BH81" s="227">
        <f t="shared" si="20"/>
        <v>15.254842010290965</v>
      </c>
    </row>
    <row r="82" spans="29:60" x14ac:dyDescent="0.25">
      <c r="AC82" s="240">
        <f t="shared" si="18"/>
        <v>9986400</v>
      </c>
      <c r="AD82" s="21">
        <v>19</v>
      </c>
      <c r="AE82" s="216">
        <f t="shared" si="22"/>
        <v>4</v>
      </c>
      <c r="AF82" s="227">
        <f t="shared" si="23"/>
        <v>1.155</v>
      </c>
      <c r="AG82" s="216">
        <f t="shared" si="24"/>
        <v>0</v>
      </c>
      <c r="AH82" s="227">
        <f t="shared" si="25"/>
        <v>0</v>
      </c>
      <c r="AI82" s="227">
        <f t="shared" si="26"/>
        <v>0</v>
      </c>
      <c r="AJ82" s="248">
        <f>AJ52*$B$8</f>
        <v>0.1</v>
      </c>
      <c r="AK82" s="216">
        <f t="shared" si="19"/>
        <v>0.51550000000000007</v>
      </c>
      <c r="AL82" s="292">
        <f t="shared" si="21"/>
        <v>0.38</v>
      </c>
      <c r="AN82" s="227">
        <f t="shared" si="17"/>
        <v>0.99550000000000005</v>
      </c>
      <c r="AO82" s="227">
        <f>$AN$82/POWER(1+($B$11/100),AO62-2024)</f>
        <v>0.96650485436893208</v>
      </c>
      <c r="AP82" s="227">
        <f>$AN$82/POWER(1+($B$11/100),AP62-2024)</f>
        <v>0.93835422754265252</v>
      </c>
      <c r="AQ82" s="227">
        <f>$AN$82/POWER(1+($B$11/100),AQ62-2024)</f>
        <v>0.91102352188607039</v>
      </c>
      <c r="AR82" s="227">
        <f>$AN$82/POWER(1+($B$11/100),AR62-2024)</f>
        <v>0.88448885620006845</v>
      </c>
      <c r="AS82" s="227">
        <f>$AN$82/POWER(1+($B$11/100),AS62-2024)</f>
        <v>0.85872704485443541</v>
      </c>
      <c r="AT82" s="227">
        <f>$AN$82/POWER(1+($B$11/100),AT62-2024)</f>
        <v>0.83371557752857806</v>
      </c>
      <c r="AU82" s="227">
        <f>$AN$82/POWER(1+($B$11/100),AU62-2024)</f>
        <v>0.80943259954230873</v>
      </c>
      <c r="AV82" s="227">
        <f>$AN$82/POWER(1+($B$11/100),AV62-2024)</f>
        <v>0.78585689275952308</v>
      </c>
      <c r="AW82" s="227">
        <f>$AN$82/POWER(1+($B$11/100),AW62-2024)</f>
        <v>0.76296785704808068</v>
      </c>
      <c r="AX82" s="227">
        <f>$AN$82/POWER(1+($B$11/100),AX62-2024)</f>
        <v>0.74074549227969</v>
      </c>
      <c r="AY82" s="227">
        <f>$AN$82/POWER(1+($B$11/100),AY62-2024)</f>
        <v>0.71917038085406793</v>
      </c>
      <c r="AZ82" s="227">
        <f>$AN$82/POWER(1+($B$11/100),AZ62-2024)</f>
        <v>0.6982236707321049</v>
      </c>
      <c r="BA82" s="227">
        <f>$AN$82/POWER(1+($B$11/100),BA62-2024)</f>
        <v>0.67788705896320867</v>
      </c>
      <c r="BB82" s="227">
        <f>$AN$82/POWER(1+($B$11/100),BB62-2024)</f>
        <v>0.65814277569243551</v>
      </c>
      <c r="BC82" s="227">
        <f>$AN$82/POWER(1+($B$11/100),BC62-2024)</f>
        <v>0.63897356863343246</v>
      </c>
      <c r="BD82" s="227">
        <f>$AN$82/POWER(1+($B$11/100),BD62-2024)</f>
        <v>0.62036268799362393</v>
      </c>
      <c r="BE82" s="227">
        <f>$AN$82/POWER(1+($B$11/100),BE62-2024)</f>
        <v>0.60229387183846983</v>
      </c>
      <c r="BF82" s="227">
        <f>$AN$82/POWER(1+($B$11/100),BF62-2024)</f>
        <v>0.58475133188200945</v>
      </c>
      <c r="BG82" s="227">
        <f>$AN$82/POWER(1+($B$11/100),BG62-2024)</f>
        <v>0.56771973969127132</v>
      </c>
      <c r="BH82" s="227">
        <f t="shared" si="20"/>
        <v>15.254842010290965</v>
      </c>
    </row>
    <row r="83" spans="29:60" x14ac:dyDescent="0.25">
      <c r="AC83" s="240">
        <f t="shared" si="18"/>
        <v>10512000</v>
      </c>
      <c r="AD83" s="21">
        <v>20</v>
      </c>
      <c r="AE83" s="216">
        <f t="shared" si="22"/>
        <v>4</v>
      </c>
      <c r="AF83" s="227">
        <f t="shared" si="23"/>
        <v>1.155</v>
      </c>
      <c r="AG83" s="216">
        <f t="shared" si="24"/>
        <v>0</v>
      </c>
      <c r="AH83" s="227">
        <f t="shared" si="25"/>
        <v>0</v>
      </c>
      <c r="AI83" s="227">
        <f t="shared" si="26"/>
        <v>0</v>
      </c>
      <c r="AJ83" s="248">
        <f>AJ53*$B$8</f>
        <v>0.1</v>
      </c>
      <c r="AK83" s="216">
        <f t="shared" si="19"/>
        <v>0.51550000000000007</v>
      </c>
      <c r="AL83" s="292">
        <f t="shared" si="21"/>
        <v>0.38</v>
      </c>
      <c r="AN83" s="227">
        <f>(AJ83+AK83+AL83)</f>
        <v>0.99550000000000005</v>
      </c>
      <c r="AO83" s="227">
        <f>$AN$83/POWER(1+($B$11/100),AO62-2024)</f>
        <v>0.96650485436893208</v>
      </c>
      <c r="AP83" s="227">
        <f>$AN$83/POWER(1+($B$11/100),AP62-2024)</f>
        <v>0.93835422754265252</v>
      </c>
      <c r="AQ83" s="227">
        <f>$AN$83/POWER(1+($B$11/100),AQ62-2024)</f>
        <v>0.91102352188607039</v>
      </c>
      <c r="AR83" s="227">
        <f>$AN$83/POWER(1+($B$11/100),AR62-2024)</f>
        <v>0.88448885620006845</v>
      </c>
      <c r="AS83" s="227">
        <f>$AN$83/POWER(1+($B$11/100),AS62-2024)</f>
        <v>0.85872704485443541</v>
      </c>
      <c r="AT83" s="227">
        <f>$AN$83/POWER(1+($B$11/100),AT62-2024)</f>
        <v>0.83371557752857806</v>
      </c>
      <c r="AU83" s="227">
        <f>$AN$83/POWER(1+($B$11/100),AU62-2024)</f>
        <v>0.80943259954230873</v>
      </c>
      <c r="AV83" s="227">
        <f>$AN$83/POWER(1+($B$11/100),AV62-2024)</f>
        <v>0.78585689275952308</v>
      </c>
      <c r="AW83" s="227">
        <f>$AN$83/POWER(1+($B$11/100),AW62-2024)</f>
        <v>0.76296785704808068</v>
      </c>
      <c r="AX83" s="227">
        <f>$AN$83/POWER(1+($B$11/100),AX62-2024)</f>
        <v>0.74074549227969</v>
      </c>
      <c r="AY83" s="227">
        <f>$AN$83/POWER(1+($B$11/100),AY62-2024)</f>
        <v>0.71917038085406793</v>
      </c>
      <c r="AZ83" s="227">
        <f>$AN$83/POWER(1+($B$11/100),AZ62-2024)</f>
        <v>0.6982236707321049</v>
      </c>
      <c r="BA83" s="227">
        <f>$AN$83/POWER(1+($B$11/100),BA62-2024)</f>
        <v>0.67788705896320867</v>
      </c>
      <c r="BB83" s="227">
        <f>$AN$83/POWER(1+($B$11/100),BB62-2024)</f>
        <v>0.65814277569243551</v>
      </c>
      <c r="BC83" s="227">
        <f>$AN$83/POWER(1+($B$11/100),BC62-2024)</f>
        <v>0.63897356863343246</v>
      </c>
      <c r="BD83" s="227">
        <f>$AN$83/POWER(1+($B$11/100),BD62-2024)</f>
        <v>0.62036268799362393</v>
      </c>
      <c r="BE83" s="227">
        <f>$AN$83/POWER(1+($B$11/100),BE62-2024)</f>
        <v>0.60229387183846983</v>
      </c>
      <c r="BF83" s="227">
        <f>$AN$83/POWER(1+($B$11/100),BF62-2024)</f>
        <v>0.58475133188200945</v>
      </c>
      <c r="BG83" s="227">
        <f>$AN$83/POWER(1+($B$11/100),BG62-2024)</f>
        <v>0.56771973969127132</v>
      </c>
      <c r="BH83" s="227">
        <f t="shared" si="20"/>
        <v>15.254842010290965</v>
      </c>
    </row>
    <row r="84" spans="29:60" x14ac:dyDescent="0.25">
      <c r="AC84" s="240">
        <f t="shared" si="18"/>
        <v>11037600</v>
      </c>
      <c r="AD84" s="21">
        <v>21</v>
      </c>
      <c r="AE84" s="216">
        <f t="shared" si="22"/>
        <v>4</v>
      </c>
      <c r="AF84" s="227">
        <f t="shared" si="23"/>
        <v>1.155</v>
      </c>
      <c r="AG84" s="216">
        <f t="shared" si="24"/>
        <v>0</v>
      </c>
      <c r="AH84" s="227">
        <f t="shared" si="25"/>
        <v>0</v>
      </c>
      <c r="AI84" s="227">
        <f t="shared" si="26"/>
        <v>0</v>
      </c>
      <c r="AJ84" s="248">
        <f>AJ54*$B$8</f>
        <v>0.1</v>
      </c>
      <c r="AK84" s="216">
        <f t="shared" si="19"/>
        <v>0.51550000000000007</v>
      </c>
      <c r="AL84" s="292">
        <f t="shared" si="21"/>
        <v>0.38</v>
      </c>
      <c r="AN84" s="227">
        <f t="shared" si="17"/>
        <v>0.99550000000000005</v>
      </c>
      <c r="AO84" s="227">
        <f>$AN$84/POWER(1+($B$11/100),AO62-2024)</f>
        <v>0.96650485436893208</v>
      </c>
      <c r="AP84" s="227">
        <f>$AN$84/POWER(1+($B$11/100),AP62-2024)</f>
        <v>0.93835422754265252</v>
      </c>
      <c r="AQ84" s="227">
        <f>$AN$84/POWER(1+($B$11/100),AQ62-2024)</f>
        <v>0.91102352188607039</v>
      </c>
      <c r="AR84" s="227">
        <f>$AN$84/POWER(1+($B$11/100),AR62-2024)</f>
        <v>0.88448885620006845</v>
      </c>
      <c r="AS84" s="227">
        <f>$AN$84/POWER(1+($B$11/100),AS62-2024)</f>
        <v>0.85872704485443541</v>
      </c>
      <c r="AT84" s="227">
        <f>$AN$84/POWER(1+($B$11/100),AT62-2024)</f>
        <v>0.83371557752857806</v>
      </c>
      <c r="AU84" s="227">
        <f>$AN$84/POWER(1+($B$11/100),AU62-2024)</f>
        <v>0.80943259954230873</v>
      </c>
      <c r="AV84" s="227">
        <f>$AN$84/POWER(1+($B$11/100),AV62-2024)</f>
        <v>0.78585689275952308</v>
      </c>
      <c r="AW84" s="227">
        <f>$AN$84/POWER(1+($B$11/100),AW62-2024)</f>
        <v>0.76296785704808068</v>
      </c>
      <c r="AX84" s="227">
        <f>$AN$84/POWER(1+($B$11/100),AX62-2024)</f>
        <v>0.74074549227969</v>
      </c>
      <c r="AY84" s="227">
        <f>$AN$84/POWER(1+($B$11/100),AY62-2024)</f>
        <v>0.71917038085406793</v>
      </c>
      <c r="AZ84" s="227">
        <f>$AN$84/POWER(1+($B$11/100),AZ62-2024)</f>
        <v>0.6982236707321049</v>
      </c>
      <c r="BA84" s="227">
        <f>$AN$84/POWER(1+($B$11/100),BA62-2024)</f>
        <v>0.67788705896320867</v>
      </c>
      <c r="BB84" s="227">
        <f>$AN$84/POWER(1+($B$11/100),BB62-2024)</f>
        <v>0.65814277569243551</v>
      </c>
      <c r="BC84" s="227">
        <f>$AN$84/POWER(1+($B$11/100),BC62-2024)</f>
        <v>0.63897356863343246</v>
      </c>
      <c r="BD84" s="227">
        <f>$AN$84/POWER(1+($B$11/100),BD62-2024)</f>
        <v>0.62036268799362393</v>
      </c>
      <c r="BE84" s="227">
        <f>$AN$84/POWER(1+($B$11/100),BE62-2024)</f>
        <v>0.60229387183846983</v>
      </c>
      <c r="BF84" s="227">
        <f>$AN$84/POWER(1+($B$11/100),BF62-2024)</f>
        <v>0.58475133188200945</v>
      </c>
      <c r="BG84" s="227">
        <f>$AN$84/POWER(1+($B$11/100),BG62-2024)</f>
        <v>0.56771973969127132</v>
      </c>
      <c r="BH84" s="227">
        <f t="shared" si="20"/>
        <v>15.254842010290965</v>
      </c>
    </row>
    <row r="85" spans="29:60" x14ac:dyDescent="0.25">
      <c r="AC85" s="240">
        <f t="shared" si="18"/>
        <v>11563200</v>
      </c>
      <c r="AD85" s="21">
        <v>22</v>
      </c>
      <c r="AE85" s="216">
        <f t="shared" si="22"/>
        <v>4</v>
      </c>
      <c r="AF85" s="227">
        <f t="shared" si="23"/>
        <v>1.155</v>
      </c>
      <c r="AG85" s="216">
        <f t="shared" si="24"/>
        <v>0</v>
      </c>
      <c r="AH85" s="227">
        <f t="shared" si="25"/>
        <v>0</v>
      </c>
      <c r="AI85" s="227">
        <f t="shared" si="26"/>
        <v>0</v>
      </c>
      <c r="AJ85" s="248">
        <f>AJ55*$B$8</f>
        <v>0.1</v>
      </c>
      <c r="AK85" s="216">
        <f t="shared" si="19"/>
        <v>0.51550000000000007</v>
      </c>
      <c r="AL85" s="292">
        <f t="shared" si="21"/>
        <v>0.38</v>
      </c>
      <c r="AN85" s="227">
        <f t="shared" si="17"/>
        <v>0.99550000000000005</v>
      </c>
      <c r="AO85" s="227">
        <f>$AN$85/POWER(1+($B$11/100),AO62-2024)</f>
        <v>0.96650485436893208</v>
      </c>
      <c r="AP85" s="227">
        <f>$AN$85/POWER(1+($B$11/100),AP62-2024)</f>
        <v>0.93835422754265252</v>
      </c>
      <c r="AQ85" s="227">
        <f>$AN$85/POWER(1+($B$11/100),AQ62-2024)</f>
        <v>0.91102352188607039</v>
      </c>
      <c r="AR85" s="227">
        <f>$AN$85/POWER(1+($B$11/100),AR62-2024)</f>
        <v>0.88448885620006845</v>
      </c>
      <c r="AS85" s="227">
        <f>$AN$85/POWER(1+($B$11/100),AS62-2024)</f>
        <v>0.85872704485443541</v>
      </c>
      <c r="AT85" s="227">
        <f>$AN$85/POWER(1+($B$11/100),AT62-2024)</f>
        <v>0.83371557752857806</v>
      </c>
      <c r="AU85" s="227">
        <f>$AN$85/POWER(1+($B$11/100),AU62-2024)</f>
        <v>0.80943259954230873</v>
      </c>
      <c r="AV85" s="227">
        <f>$AN$85/POWER(1+($B$11/100),AV62-2024)</f>
        <v>0.78585689275952308</v>
      </c>
      <c r="AW85" s="227">
        <f>$AN$85/POWER(1+($B$11/100),AW62-2024)</f>
        <v>0.76296785704808068</v>
      </c>
      <c r="AX85" s="227">
        <f>$AN$85/POWER(1+($B$11/100),AX62-2024)</f>
        <v>0.74074549227969</v>
      </c>
      <c r="AY85" s="227">
        <f>$AN$85/POWER(1+($B$11/100),AY62-2024)</f>
        <v>0.71917038085406793</v>
      </c>
      <c r="AZ85" s="227">
        <f>$AN$85/POWER(1+($B$11/100),AZ62-2024)</f>
        <v>0.6982236707321049</v>
      </c>
      <c r="BA85" s="227">
        <f>$AN$85/POWER(1+($B$11/100),BA62-2024)</f>
        <v>0.67788705896320867</v>
      </c>
      <c r="BB85" s="227">
        <f>$AN$85/POWER(1+($B$11/100),BB62-2024)</f>
        <v>0.65814277569243551</v>
      </c>
      <c r="BC85" s="227">
        <f>$AN$85/POWER(1+($B$11/100),BC62-2024)</f>
        <v>0.63897356863343246</v>
      </c>
      <c r="BD85" s="227">
        <f>$AN$85/POWER(1+($B$11/100),BD62-2024)</f>
        <v>0.62036268799362393</v>
      </c>
      <c r="BE85" s="227">
        <f>$AN$85/POWER(1+($B$11/100),BE62-2024)</f>
        <v>0.60229387183846983</v>
      </c>
      <c r="BF85" s="227">
        <f>$AN$85/POWER(1+($B$11/100),BF62-2024)</f>
        <v>0.58475133188200945</v>
      </c>
      <c r="BG85" s="227">
        <f>$AN$85/POWER(1+($B$11/100),BG62-2024)</f>
        <v>0.56771973969127132</v>
      </c>
      <c r="BH85" s="227">
        <f t="shared" si="20"/>
        <v>15.254842010290965</v>
      </c>
    </row>
    <row r="86" spans="29:60" x14ac:dyDescent="0.25">
      <c r="AC86" s="240">
        <f t="shared" si="18"/>
        <v>12088800</v>
      </c>
      <c r="AD86" s="21">
        <v>23</v>
      </c>
      <c r="AE86" s="216">
        <f t="shared" si="22"/>
        <v>4</v>
      </c>
      <c r="AF86" s="227">
        <f t="shared" si="23"/>
        <v>1.155</v>
      </c>
      <c r="AG86" s="216">
        <f t="shared" si="24"/>
        <v>0</v>
      </c>
      <c r="AH86" s="227">
        <f t="shared" si="25"/>
        <v>0</v>
      </c>
      <c r="AI86" s="227">
        <f t="shared" si="26"/>
        <v>0</v>
      </c>
      <c r="AJ86" s="248">
        <f>AJ56*$B$8</f>
        <v>0.1</v>
      </c>
      <c r="AK86" s="216">
        <f t="shared" si="19"/>
        <v>0.51550000000000007</v>
      </c>
      <c r="AL86" s="292">
        <f t="shared" si="21"/>
        <v>0.38</v>
      </c>
      <c r="AN86" s="227">
        <f t="shared" si="17"/>
        <v>0.99550000000000005</v>
      </c>
      <c r="AO86" s="227">
        <f>$AN$86/POWER(1+($B$11/100),AO62-2024)</f>
        <v>0.96650485436893208</v>
      </c>
      <c r="AP86" s="227">
        <f>$AN$86/POWER(1+($B$11/100),AP62-2024)</f>
        <v>0.93835422754265252</v>
      </c>
      <c r="AQ86" s="227">
        <f>$AN$86/POWER(1+($B$11/100),AQ62-2024)</f>
        <v>0.91102352188607039</v>
      </c>
      <c r="AR86" s="227">
        <f>$AN$86/POWER(1+($B$11/100),AR62-2024)</f>
        <v>0.88448885620006845</v>
      </c>
      <c r="AS86" s="227">
        <f>$AN$86/POWER(1+($B$11/100),AS62-2024)</f>
        <v>0.85872704485443541</v>
      </c>
      <c r="AT86" s="227">
        <f>$AN$86/POWER(1+($B$11/100),AT62-2024)</f>
        <v>0.83371557752857806</v>
      </c>
      <c r="AU86" s="227">
        <f>$AN$86/POWER(1+($B$11/100),AU62-2024)</f>
        <v>0.80943259954230873</v>
      </c>
      <c r="AV86" s="227">
        <f>$AN$86/POWER(1+($B$11/100),AV62-2024)</f>
        <v>0.78585689275952308</v>
      </c>
      <c r="AW86" s="227">
        <f>$AN$86/POWER(1+($B$11/100),AW62-2024)</f>
        <v>0.76296785704808068</v>
      </c>
      <c r="AX86" s="227">
        <f>$AN$86/POWER(1+($B$11/100),AX62-2024)</f>
        <v>0.74074549227969</v>
      </c>
      <c r="AY86" s="227">
        <f>$AN$86/POWER(1+($B$11/100),AY62-2024)</f>
        <v>0.71917038085406793</v>
      </c>
      <c r="AZ86" s="227">
        <f>$AN$86/POWER(1+($B$11/100),AZ62-2024)</f>
        <v>0.6982236707321049</v>
      </c>
      <c r="BA86" s="227">
        <f>$AN$86/POWER(1+($B$11/100),BA62-2024)</f>
        <v>0.67788705896320867</v>
      </c>
      <c r="BB86" s="227">
        <f>$AN$86/POWER(1+($B$11/100),BB62-2024)</f>
        <v>0.65814277569243551</v>
      </c>
      <c r="BC86" s="227">
        <f>$AN$86/POWER(1+($B$11/100),BC62-2024)</f>
        <v>0.63897356863343246</v>
      </c>
      <c r="BD86" s="227">
        <f>$AN$86/POWER(1+($B$11/100),BD62-2024)</f>
        <v>0.62036268799362393</v>
      </c>
      <c r="BE86" s="227">
        <f>$AN$86/POWER(1+($B$11/100),BE62-2024)</f>
        <v>0.60229387183846983</v>
      </c>
      <c r="BF86" s="227">
        <f>$AN$86/POWER(1+($B$11/100),BF62-2024)</f>
        <v>0.58475133188200945</v>
      </c>
      <c r="BG86" s="227">
        <f>$AN$86/POWER(1+($B$11/100),BG62-2024)</f>
        <v>0.56771973969127132</v>
      </c>
      <c r="BH86" s="227">
        <f t="shared" si="20"/>
        <v>15.254842010290965</v>
      </c>
    </row>
    <row r="87" spans="29:60" x14ac:dyDescent="0.25">
      <c r="AC87" s="240">
        <f t="shared" si="18"/>
        <v>12614400</v>
      </c>
      <c r="AD87" s="21">
        <v>24</v>
      </c>
      <c r="AE87" s="216">
        <f t="shared" si="22"/>
        <v>4</v>
      </c>
      <c r="AF87" s="227">
        <f t="shared" si="23"/>
        <v>1.155</v>
      </c>
      <c r="AG87" s="216">
        <f t="shared" si="24"/>
        <v>0</v>
      </c>
      <c r="AH87" s="227">
        <f t="shared" si="25"/>
        <v>0</v>
      </c>
      <c r="AI87" s="227">
        <f t="shared" si="26"/>
        <v>0</v>
      </c>
      <c r="AJ87" s="248">
        <f>AJ57*$B$8</f>
        <v>0.1</v>
      </c>
      <c r="AK87" s="216">
        <f t="shared" si="19"/>
        <v>0.51550000000000007</v>
      </c>
      <c r="AL87" s="292">
        <f t="shared" si="21"/>
        <v>0.38</v>
      </c>
      <c r="AN87" s="227">
        <f t="shared" si="17"/>
        <v>0.99550000000000005</v>
      </c>
      <c r="AO87" s="227">
        <f>$AN$87/POWER(1+($B$11/100),AO62-2024)</f>
        <v>0.96650485436893208</v>
      </c>
      <c r="AP87" s="227">
        <f>$AN$87/POWER(1+($B$11/100),AP62-2024)</f>
        <v>0.93835422754265252</v>
      </c>
      <c r="AQ87" s="227">
        <f>$AN$87/POWER(1+($B$11/100),AQ62-2024)</f>
        <v>0.91102352188607039</v>
      </c>
      <c r="AR87" s="227">
        <f>$AN$87/POWER(1+($B$11/100),AR62-2024)</f>
        <v>0.88448885620006845</v>
      </c>
      <c r="AS87" s="227">
        <f>$AN$87/POWER(1+($B$11/100),AS62-2024)</f>
        <v>0.85872704485443541</v>
      </c>
      <c r="AT87" s="227">
        <f>$AN$87/POWER(1+($B$11/100),AT62-2024)</f>
        <v>0.83371557752857806</v>
      </c>
      <c r="AU87" s="227">
        <f>$AN$87/POWER(1+($B$11/100),AU62-2024)</f>
        <v>0.80943259954230873</v>
      </c>
      <c r="AV87" s="227">
        <f>$AN$87/POWER(1+($B$11/100),AV62-2024)</f>
        <v>0.78585689275952308</v>
      </c>
      <c r="AW87" s="227">
        <f>$AN$87/POWER(1+($B$11/100),AW62-2024)</f>
        <v>0.76296785704808068</v>
      </c>
      <c r="AX87" s="227">
        <f>$AN$87/POWER(1+($B$11/100),AX62-2024)</f>
        <v>0.74074549227969</v>
      </c>
      <c r="AY87" s="227">
        <f>$AN$87/POWER(1+($B$11/100),AY62-2024)</f>
        <v>0.71917038085406793</v>
      </c>
      <c r="AZ87" s="227">
        <f>$AN$87/POWER(1+($B$11/100),AZ62-2024)</f>
        <v>0.6982236707321049</v>
      </c>
      <c r="BA87" s="227">
        <f>$AN$87/POWER(1+($B$11/100),BA62-2024)</f>
        <v>0.67788705896320867</v>
      </c>
      <c r="BB87" s="227">
        <f>$AN$87/POWER(1+($B$11/100),BB62-2024)</f>
        <v>0.65814277569243551</v>
      </c>
      <c r="BC87" s="227">
        <f>$AN$87/POWER(1+($B$11/100),BC62-2024)</f>
        <v>0.63897356863343246</v>
      </c>
      <c r="BD87" s="227">
        <f>$AN$87/POWER(1+($B$11/100),BD62-2024)</f>
        <v>0.62036268799362393</v>
      </c>
      <c r="BE87" s="227">
        <f>$AN$87/POWER(1+($B$11/100),BE62-2024)</f>
        <v>0.60229387183846983</v>
      </c>
      <c r="BF87" s="227">
        <f>$AN$87/POWER(1+($B$11/100),BF62-2024)</f>
        <v>0.58475133188200945</v>
      </c>
      <c r="BG87" s="227">
        <f>$AN$87/POWER(1+($B$11/100),BG62-2024)</f>
        <v>0.56771973969127132</v>
      </c>
      <c r="BH87" s="227">
        <f t="shared" si="20"/>
        <v>15.254842010290965</v>
      </c>
    </row>
    <row r="88" spans="29:60" ht="14.4" thickBot="1" x14ac:dyDescent="0.3">
      <c r="AC88" s="250">
        <f t="shared" si="18"/>
        <v>13140000</v>
      </c>
      <c r="AD88" s="243">
        <v>25</v>
      </c>
      <c r="AE88" s="245">
        <f t="shared" si="22"/>
        <v>4</v>
      </c>
      <c r="AF88" s="525">
        <f t="shared" si="23"/>
        <v>1.155</v>
      </c>
      <c r="AG88" s="245">
        <f t="shared" si="24"/>
        <v>0</v>
      </c>
      <c r="AH88" s="525">
        <f t="shared" si="25"/>
        <v>0</v>
      </c>
      <c r="AI88" s="525">
        <f t="shared" si="26"/>
        <v>0</v>
      </c>
      <c r="AJ88" s="521">
        <f>AJ58*$B$8</f>
        <v>0.1</v>
      </c>
      <c r="AK88" s="245">
        <f t="shared" si="19"/>
        <v>0.51550000000000007</v>
      </c>
      <c r="AL88" s="293">
        <f t="shared" si="21"/>
        <v>0.38</v>
      </c>
      <c r="AN88" s="227">
        <f t="shared" si="17"/>
        <v>0.99550000000000005</v>
      </c>
      <c r="AO88" s="227">
        <f>$AN$88/POWER(1+($B$11/100),AO62-2024)</f>
        <v>0.96650485436893208</v>
      </c>
      <c r="AP88" s="227">
        <f>$AN$88/POWER(1+($B$11/100),AP62-2024)</f>
        <v>0.93835422754265252</v>
      </c>
      <c r="AQ88" s="227">
        <f>$AN$88/POWER(1+($B$11/100),AQ62-2024)</f>
        <v>0.91102352188607039</v>
      </c>
      <c r="AR88" s="227">
        <f>$AN$88/POWER(1+($B$11/100),AR62-2024)</f>
        <v>0.88448885620006845</v>
      </c>
      <c r="AS88" s="227">
        <f>$AN$88/POWER(1+($B$11/100),AS62-2024)</f>
        <v>0.85872704485443541</v>
      </c>
      <c r="AT88" s="227">
        <f>$AN$88/POWER(1+($B$11/100),AT62-2024)</f>
        <v>0.83371557752857806</v>
      </c>
      <c r="AU88" s="227">
        <f>$AN$88/POWER(1+($B$11/100),AU62-2024)</f>
        <v>0.80943259954230873</v>
      </c>
      <c r="AV88" s="227">
        <f>$AN$88/POWER(1+($B$11/100),AV62-2024)</f>
        <v>0.78585689275952308</v>
      </c>
      <c r="AW88" s="227">
        <f>$AN$88/POWER(1+($B$11/100),AW62-2024)</f>
        <v>0.76296785704808068</v>
      </c>
      <c r="AX88" s="227">
        <f>$AN$88/POWER(1+($B$11/100),AX62-2024)</f>
        <v>0.74074549227969</v>
      </c>
      <c r="AY88" s="227">
        <f>$AN$88/POWER(1+($B$11/100),AY62-2024)</f>
        <v>0.71917038085406793</v>
      </c>
      <c r="AZ88" s="227">
        <f>$AN$88/POWER(1+($B$11/100),AZ62-2024)</f>
        <v>0.6982236707321049</v>
      </c>
      <c r="BA88" s="227">
        <f>$AN$88/POWER(1+($B$11/100),BA62-2024)</f>
        <v>0.67788705896320867</v>
      </c>
      <c r="BB88" s="227">
        <f>$AN$88/POWER(1+($B$11/100),BB62-2024)</f>
        <v>0.65814277569243551</v>
      </c>
      <c r="BC88" s="227">
        <f>$AN$88/POWER(1+($B$11/100),BC62-2024)</f>
        <v>0.63897356863343246</v>
      </c>
      <c r="BD88" s="227">
        <f>$AN$88/POWER(1+($B$11/100),BD62-2024)</f>
        <v>0.62036268799362393</v>
      </c>
      <c r="BE88" s="227">
        <f>$AN$88/POWER(1+($B$11/100),BE62-2024)</f>
        <v>0.60229387183846983</v>
      </c>
      <c r="BF88" s="227">
        <f>$AN$88/POWER(1+($B$11/100),BF62-2024)</f>
        <v>0.58475133188200945</v>
      </c>
      <c r="BG88" s="227">
        <f>$AN$88/POWER(1+($B$11/100),BG62-2024)</f>
        <v>0.56771973969127132</v>
      </c>
      <c r="BH88" s="227">
        <f t="shared" si="20"/>
        <v>15.254842010290965</v>
      </c>
    </row>
    <row r="89" spans="29:60" ht="14.4" x14ac:dyDescent="0.3">
      <c r="AC89"/>
    </row>
    <row r="90" spans="29:60" ht="14.4" x14ac:dyDescent="0.3">
      <c r="AC90"/>
    </row>
    <row r="91" spans="29:60" ht="14.4" x14ac:dyDescent="0.3">
      <c r="AC91"/>
    </row>
    <row r="92" spans="29:60" ht="14.4" x14ac:dyDescent="0.3">
      <c r="AC92"/>
    </row>
    <row r="93" spans="29:60" ht="14.4" x14ac:dyDescent="0.3">
      <c r="AC93"/>
    </row>
    <row r="94" spans="29:60" ht="14.4" x14ac:dyDescent="0.3">
      <c r="AC94"/>
    </row>
    <row r="95" spans="29:60" ht="14.4" x14ac:dyDescent="0.3">
      <c r="AC95"/>
    </row>
    <row r="96" spans="29:60" ht="14.4" x14ac:dyDescent="0.3">
      <c r="AC96"/>
    </row>
  </sheetData>
  <mergeCells count="5">
    <mergeCell ref="AN61:BG61"/>
    <mergeCell ref="AC1:AK1"/>
    <mergeCell ref="AC31:AL31"/>
    <mergeCell ref="AC61:AL61"/>
    <mergeCell ref="A1:D1"/>
  </mergeCells>
  <conditionalFormatting sqref="AE3:AE28">
    <cfRule type="dataBar" priority="7">
      <dataBar>
        <cfvo type="min"/>
        <cfvo type="max"/>
        <color rgb="FFFF555A"/>
      </dataBar>
      <extLst>
        <ext xmlns:x14="http://schemas.microsoft.com/office/spreadsheetml/2009/9/main" uri="{B025F937-C7B1-47D3-B67F-A62EFF666E3E}">
          <x14:id>{1CDA621D-9BB6-4015-BAFE-341410D133E6}</x14:id>
        </ext>
      </extLst>
    </cfRule>
  </conditionalFormatting>
  <conditionalFormatting sqref="AF4:AF28">
    <cfRule type="dataBar" priority="6">
      <dataBar>
        <cfvo type="min"/>
        <cfvo type="max"/>
        <color rgb="FF63C384"/>
      </dataBar>
      <extLst>
        <ext xmlns:x14="http://schemas.microsoft.com/office/spreadsheetml/2009/9/main" uri="{B025F937-C7B1-47D3-B67F-A62EFF666E3E}">
          <x14:id>{20CDD3B1-B2ED-4B6B-BB3B-FF6D4F2054FD}</x14:id>
        </ext>
      </extLst>
    </cfRule>
  </conditionalFormatting>
  <conditionalFormatting sqref="AG4:AG28">
    <cfRule type="dataBar" priority="5">
      <dataBar>
        <cfvo type="min"/>
        <cfvo type="max"/>
        <color rgb="FF638EC6"/>
      </dataBar>
      <extLst>
        <ext xmlns:x14="http://schemas.microsoft.com/office/spreadsheetml/2009/9/main" uri="{B025F937-C7B1-47D3-B67F-A62EFF666E3E}">
          <x14:id>{5284CD11-5C7E-4A82-9C1B-DBDAE4A8B95E}</x14:id>
        </ext>
      </extLst>
    </cfRule>
  </conditionalFormatting>
  <conditionalFormatting sqref="AH4:AH28">
    <cfRule type="dataBar" priority="3">
      <dataBar>
        <cfvo type="min"/>
        <cfvo type="max"/>
        <color rgb="FFFF555A"/>
      </dataBar>
      <extLst>
        <ext xmlns:x14="http://schemas.microsoft.com/office/spreadsheetml/2009/9/main" uri="{B025F937-C7B1-47D3-B67F-A62EFF666E3E}">
          <x14:id>{539B7A47-4377-4E7D-BC1F-4D4BC1E22DE9}</x14:id>
        </ext>
      </extLst>
    </cfRule>
  </conditionalFormatting>
  <conditionalFormatting sqref="AI4:AI28">
    <cfRule type="dataBar" priority="2">
      <dataBar>
        <cfvo type="min"/>
        <cfvo type="max"/>
        <color rgb="FF63C384"/>
      </dataBar>
      <extLst>
        <ext xmlns:x14="http://schemas.microsoft.com/office/spreadsheetml/2009/9/main" uri="{B025F937-C7B1-47D3-B67F-A62EFF666E3E}">
          <x14:id>{2EDF5727-57EF-49D1-AFC7-F336117AEF52}</x14:id>
        </ext>
      </extLst>
    </cfRule>
  </conditionalFormatting>
  <conditionalFormatting sqref="AH3:AI3 AJ3:AJ28">
    <cfRule type="dataBar" priority="1">
      <dataBar>
        <cfvo type="min"/>
        <cfvo type="max"/>
        <color rgb="FF638EC6"/>
      </dataBar>
      <extLst>
        <ext xmlns:x14="http://schemas.microsoft.com/office/spreadsheetml/2009/9/main" uri="{B025F937-C7B1-47D3-B67F-A62EFF666E3E}">
          <x14:id>{D6A7AA4C-A9E1-4310-B78C-13689C78BDD5}</x14:id>
        </ext>
      </extLst>
    </cfRule>
  </conditionalFormatting>
  <conditionalFormatting sqref="AK3">
    <cfRule type="dataBar" priority="4">
      <dataBar>
        <cfvo type="min"/>
        <cfvo type="max"/>
        <color rgb="FFFF555A"/>
      </dataBar>
      <extLst>
        <ext xmlns:x14="http://schemas.microsoft.com/office/spreadsheetml/2009/9/main" uri="{B025F937-C7B1-47D3-B67F-A62EFF666E3E}">
          <x14:id>{053865A9-EAC8-462B-987F-49719B5CA14E}</x14:id>
        </ext>
      </extLst>
    </cfRule>
  </conditionalFormatting>
  <conditionalFormatting sqref="AM74:AM79">
    <cfRule type="dataBar" priority="25">
      <dataBar>
        <cfvo type="min"/>
        <cfvo type="max"/>
        <color rgb="FF638EC6"/>
      </dataBar>
      <extLst>
        <ext xmlns:x14="http://schemas.microsoft.com/office/spreadsheetml/2009/9/main" uri="{B025F937-C7B1-47D3-B67F-A62EFF666E3E}">
          <x14:id>{05B1F124-ABA7-4655-BA5D-B9BFA48F788D}</x14:id>
        </ext>
      </extLst>
    </cfRule>
  </conditionalFormatting>
  <conditionalFormatting sqref="AJ29:AJ30">
    <cfRule type="dataBar" priority="26">
      <dataBar>
        <cfvo type="min"/>
        <cfvo type="max"/>
        <color rgb="FF638EC6"/>
      </dataBar>
      <extLst>
        <ext xmlns:x14="http://schemas.microsoft.com/office/spreadsheetml/2009/9/main" uri="{B025F937-C7B1-47D3-B67F-A62EFF666E3E}">
          <x14:id>{E502A40A-31EF-457B-93E0-0F5D547078DD}</x14:id>
        </ext>
      </extLst>
    </cfRule>
  </conditionalFormatting>
  <conditionalFormatting sqref="AI29:AI30">
    <cfRule type="dataBar" priority="27">
      <dataBar>
        <cfvo type="min"/>
        <cfvo type="max"/>
        <color rgb="FF63C384"/>
      </dataBar>
      <extLst>
        <ext xmlns:x14="http://schemas.microsoft.com/office/spreadsheetml/2009/9/main" uri="{B025F937-C7B1-47D3-B67F-A62EFF666E3E}">
          <x14:id>{55F8F0C9-9780-41C8-AD72-A3BFB5A00A73}</x14:id>
        </ext>
      </extLst>
    </cfRule>
  </conditionalFormatting>
  <conditionalFormatting sqref="AH29:AH30">
    <cfRule type="dataBar" priority="28">
      <dataBar>
        <cfvo type="min"/>
        <cfvo type="max"/>
        <color rgb="FFFF555A"/>
      </dataBar>
      <extLst>
        <ext xmlns:x14="http://schemas.microsoft.com/office/spreadsheetml/2009/9/main" uri="{B025F937-C7B1-47D3-B67F-A62EFF666E3E}">
          <x14:id>{1B4121BF-2E7C-4436-9290-E897A3892EEB}</x14:id>
        </ext>
      </extLst>
    </cfRule>
  </conditionalFormatting>
  <conditionalFormatting sqref="AK29:AK30">
    <cfRule type="dataBar" priority="29">
      <dataBar>
        <cfvo type="min"/>
        <cfvo type="max"/>
        <color rgb="FFFF555A"/>
      </dataBar>
      <extLst>
        <ext xmlns:x14="http://schemas.microsoft.com/office/spreadsheetml/2009/9/main" uri="{B025F937-C7B1-47D3-B67F-A62EFF666E3E}">
          <x14:id>{5C34773F-AEB7-4FDF-87FE-0CD64F2B2EF9}</x14:id>
        </ext>
      </extLst>
    </cfRule>
  </conditionalFormatting>
  <conditionalFormatting sqref="AL29:AL30">
    <cfRule type="dataBar" priority="30">
      <dataBar>
        <cfvo type="min"/>
        <cfvo type="max"/>
        <color rgb="FF63C384"/>
      </dataBar>
      <extLst>
        <ext xmlns:x14="http://schemas.microsoft.com/office/spreadsheetml/2009/9/main" uri="{B025F937-C7B1-47D3-B67F-A62EFF666E3E}">
          <x14:id>{0E8C104D-2950-4589-A151-145B3D5DF0E0}</x14:id>
        </ext>
      </extLst>
    </cfRule>
  </conditionalFormatting>
  <conditionalFormatting sqref="AM29:AM30">
    <cfRule type="dataBar" priority="31">
      <dataBar>
        <cfvo type="min"/>
        <cfvo type="max"/>
        <color rgb="FF638EC6"/>
      </dataBar>
      <extLst>
        <ext xmlns:x14="http://schemas.microsoft.com/office/spreadsheetml/2009/9/main" uri="{B025F937-C7B1-47D3-B67F-A62EFF666E3E}">
          <x14:id>{639C6E6B-2352-4EF5-8D4B-87AA7DDCA1C7}</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1CDA621D-9BB6-4015-BAFE-341410D133E6}">
            <x14:dataBar minLength="0" maxLength="100" border="1" negativeBarBorderColorSameAsPositive="0">
              <x14:cfvo type="autoMin"/>
              <x14:cfvo type="autoMax"/>
              <x14:borderColor rgb="FFFF555A"/>
              <x14:negativeFillColor rgb="FFFF0000"/>
              <x14:negativeBorderColor rgb="FFFF0000"/>
              <x14:axisColor rgb="FF000000"/>
            </x14:dataBar>
          </x14:cfRule>
          <xm:sqref>AE3:AE28</xm:sqref>
        </x14:conditionalFormatting>
        <x14:conditionalFormatting xmlns:xm="http://schemas.microsoft.com/office/excel/2006/main">
          <x14:cfRule type="dataBar" id="{20CDD3B1-B2ED-4B6B-BB3B-FF6D4F2054FD}">
            <x14:dataBar minLength="0" maxLength="100" border="1" negativeBarBorderColorSameAsPositive="0">
              <x14:cfvo type="autoMin"/>
              <x14:cfvo type="autoMax"/>
              <x14:borderColor rgb="FF63C384"/>
              <x14:negativeFillColor rgb="FFFF0000"/>
              <x14:negativeBorderColor rgb="FFFF0000"/>
              <x14:axisColor rgb="FF000000"/>
            </x14:dataBar>
          </x14:cfRule>
          <xm:sqref>AF4:AF28</xm:sqref>
        </x14:conditionalFormatting>
        <x14:conditionalFormatting xmlns:xm="http://schemas.microsoft.com/office/excel/2006/main">
          <x14:cfRule type="dataBar" id="{5284CD11-5C7E-4A82-9C1B-DBDAE4A8B95E}">
            <x14:dataBar minLength="0" maxLength="100" border="1" negativeBarBorderColorSameAsPositive="0">
              <x14:cfvo type="autoMin"/>
              <x14:cfvo type="autoMax"/>
              <x14:borderColor rgb="FF638EC6"/>
              <x14:negativeFillColor rgb="FFFF0000"/>
              <x14:negativeBorderColor rgb="FFFF0000"/>
              <x14:axisColor rgb="FF000000"/>
            </x14:dataBar>
          </x14:cfRule>
          <xm:sqref>AG4:AG28</xm:sqref>
        </x14:conditionalFormatting>
        <x14:conditionalFormatting xmlns:xm="http://schemas.microsoft.com/office/excel/2006/main">
          <x14:cfRule type="dataBar" id="{539B7A47-4377-4E7D-BC1F-4D4BC1E22DE9}">
            <x14:dataBar minLength="0" maxLength="100" border="1" negativeBarBorderColorSameAsPositive="0">
              <x14:cfvo type="autoMin"/>
              <x14:cfvo type="autoMax"/>
              <x14:borderColor rgb="FFFF555A"/>
              <x14:negativeFillColor rgb="FFFF0000"/>
              <x14:negativeBorderColor rgb="FFFF0000"/>
              <x14:axisColor rgb="FF000000"/>
            </x14:dataBar>
          </x14:cfRule>
          <xm:sqref>AH4:AH28</xm:sqref>
        </x14:conditionalFormatting>
        <x14:conditionalFormatting xmlns:xm="http://schemas.microsoft.com/office/excel/2006/main">
          <x14:cfRule type="dataBar" id="{2EDF5727-57EF-49D1-AFC7-F336117AEF52}">
            <x14:dataBar minLength="0" maxLength="100" border="1" negativeBarBorderColorSameAsPositive="0">
              <x14:cfvo type="autoMin"/>
              <x14:cfvo type="autoMax"/>
              <x14:borderColor rgb="FF63C384"/>
              <x14:negativeFillColor rgb="FFFF0000"/>
              <x14:negativeBorderColor rgb="FFFF0000"/>
              <x14:axisColor rgb="FF000000"/>
            </x14:dataBar>
          </x14:cfRule>
          <xm:sqref>AI4:AI28</xm:sqref>
        </x14:conditionalFormatting>
        <x14:conditionalFormatting xmlns:xm="http://schemas.microsoft.com/office/excel/2006/main">
          <x14:cfRule type="dataBar" id="{D6A7AA4C-A9E1-4310-B78C-13689C78BDD5}">
            <x14:dataBar minLength="0" maxLength="100" border="1" negativeBarBorderColorSameAsPositive="0">
              <x14:cfvo type="autoMin"/>
              <x14:cfvo type="autoMax"/>
              <x14:borderColor rgb="FF638EC6"/>
              <x14:negativeFillColor rgb="FFFF0000"/>
              <x14:negativeBorderColor rgb="FFFF0000"/>
              <x14:axisColor rgb="FF000000"/>
            </x14:dataBar>
          </x14:cfRule>
          <xm:sqref>AH3:AI3 AJ3:AJ28</xm:sqref>
        </x14:conditionalFormatting>
        <x14:conditionalFormatting xmlns:xm="http://schemas.microsoft.com/office/excel/2006/main">
          <x14:cfRule type="dataBar" id="{053865A9-EAC8-462B-987F-49719B5CA14E}">
            <x14:dataBar minLength="0" maxLength="100" border="1" negativeBarBorderColorSameAsPositive="0">
              <x14:cfvo type="autoMin"/>
              <x14:cfvo type="autoMax"/>
              <x14:borderColor rgb="FFFF555A"/>
              <x14:negativeFillColor rgb="FFFF0000"/>
              <x14:negativeBorderColor rgb="FFFF0000"/>
              <x14:axisColor rgb="FF000000"/>
            </x14:dataBar>
          </x14:cfRule>
          <xm:sqref>AK3</xm:sqref>
        </x14:conditionalFormatting>
        <x14:conditionalFormatting xmlns:xm="http://schemas.microsoft.com/office/excel/2006/main">
          <x14:cfRule type="dataBar" id="{05B1F124-ABA7-4655-BA5D-B9BFA48F788D}">
            <x14:dataBar minLength="0" maxLength="100" border="1" negativeBarBorderColorSameAsPositive="0">
              <x14:cfvo type="autoMin"/>
              <x14:cfvo type="autoMax"/>
              <x14:borderColor rgb="FF638EC6"/>
              <x14:negativeFillColor rgb="FFFF0000"/>
              <x14:negativeBorderColor rgb="FFFF0000"/>
              <x14:axisColor rgb="FF000000"/>
            </x14:dataBar>
          </x14:cfRule>
          <xm:sqref>AM74:AM79</xm:sqref>
        </x14:conditionalFormatting>
        <x14:conditionalFormatting xmlns:xm="http://schemas.microsoft.com/office/excel/2006/main">
          <x14:cfRule type="dataBar" id="{E502A40A-31EF-457B-93E0-0F5D547078DD}">
            <x14:dataBar minLength="0" maxLength="100" border="1" negativeBarBorderColorSameAsPositive="0">
              <x14:cfvo type="autoMin"/>
              <x14:cfvo type="autoMax"/>
              <x14:borderColor rgb="FF638EC6"/>
              <x14:negativeFillColor rgb="FFFF0000"/>
              <x14:negativeBorderColor rgb="FFFF0000"/>
              <x14:axisColor rgb="FF000000"/>
            </x14:dataBar>
          </x14:cfRule>
          <xm:sqref>AJ29:AJ30</xm:sqref>
        </x14:conditionalFormatting>
        <x14:conditionalFormatting xmlns:xm="http://schemas.microsoft.com/office/excel/2006/main">
          <x14:cfRule type="dataBar" id="{55F8F0C9-9780-41C8-AD72-A3BFB5A00A73}">
            <x14:dataBar minLength="0" maxLength="100" border="1" negativeBarBorderColorSameAsPositive="0">
              <x14:cfvo type="autoMin"/>
              <x14:cfvo type="autoMax"/>
              <x14:borderColor rgb="FF63C384"/>
              <x14:negativeFillColor rgb="FFFF0000"/>
              <x14:negativeBorderColor rgb="FFFF0000"/>
              <x14:axisColor rgb="FF000000"/>
            </x14:dataBar>
          </x14:cfRule>
          <xm:sqref>AI29:AI30</xm:sqref>
        </x14:conditionalFormatting>
        <x14:conditionalFormatting xmlns:xm="http://schemas.microsoft.com/office/excel/2006/main">
          <x14:cfRule type="dataBar" id="{1B4121BF-2E7C-4436-9290-E897A3892EEB}">
            <x14:dataBar minLength="0" maxLength="100" border="1" negativeBarBorderColorSameAsPositive="0">
              <x14:cfvo type="autoMin"/>
              <x14:cfvo type="autoMax"/>
              <x14:borderColor rgb="FFFF555A"/>
              <x14:negativeFillColor rgb="FFFF0000"/>
              <x14:negativeBorderColor rgb="FFFF0000"/>
              <x14:axisColor rgb="FF000000"/>
            </x14:dataBar>
          </x14:cfRule>
          <xm:sqref>AH29:AH30</xm:sqref>
        </x14:conditionalFormatting>
        <x14:conditionalFormatting xmlns:xm="http://schemas.microsoft.com/office/excel/2006/main">
          <x14:cfRule type="dataBar" id="{5C34773F-AEB7-4FDF-87FE-0CD64F2B2EF9}">
            <x14:dataBar minLength="0" maxLength="100" border="1" negativeBarBorderColorSameAsPositive="0">
              <x14:cfvo type="autoMin"/>
              <x14:cfvo type="autoMax"/>
              <x14:borderColor rgb="FFFF555A"/>
              <x14:negativeFillColor rgb="FFFF0000"/>
              <x14:negativeBorderColor rgb="FFFF0000"/>
              <x14:axisColor rgb="FF000000"/>
            </x14:dataBar>
          </x14:cfRule>
          <xm:sqref>AK29:AK30</xm:sqref>
        </x14:conditionalFormatting>
        <x14:conditionalFormatting xmlns:xm="http://schemas.microsoft.com/office/excel/2006/main">
          <x14:cfRule type="dataBar" id="{0E8C104D-2950-4589-A151-145B3D5DF0E0}">
            <x14:dataBar minLength="0" maxLength="100" border="1" negativeBarBorderColorSameAsPositive="0">
              <x14:cfvo type="autoMin"/>
              <x14:cfvo type="autoMax"/>
              <x14:borderColor rgb="FF63C384"/>
              <x14:negativeFillColor rgb="FFFF0000"/>
              <x14:negativeBorderColor rgb="FFFF0000"/>
              <x14:axisColor rgb="FF000000"/>
            </x14:dataBar>
          </x14:cfRule>
          <xm:sqref>AL29:AL30</xm:sqref>
        </x14:conditionalFormatting>
        <x14:conditionalFormatting xmlns:xm="http://schemas.microsoft.com/office/excel/2006/main">
          <x14:cfRule type="dataBar" id="{639C6E6B-2352-4EF5-8D4B-87AA7DDCA1C7}">
            <x14:dataBar minLength="0" maxLength="100" border="1" negativeBarBorderColorSameAsPositive="0">
              <x14:cfvo type="autoMin"/>
              <x14:cfvo type="autoMax"/>
              <x14:borderColor rgb="FF638EC6"/>
              <x14:negativeFillColor rgb="FFFF0000"/>
              <x14:negativeBorderColor rgb="FFFF0000"/>
              <x14:axisColor rgb="FF000000"/>
            </x14:dataBar>
          </x14:cfRule>
          <xm:sqref>AM29:AM30</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C47E6-129B-469A-A25B-459EFADAE50F}">
  <sheetPr>
    <tabColor rgb="FFFFC000"/>
  </sheetPr>
  <dimension ref="A1:CA561"/>
  <sheetViews>
    <sheetView topLeftCell="X173" zoomScale="70" zoomScaleNormal="70" workbookViewId="0">
      <selection activeCell="AK186" sqref="AE186:AK186"/>
    </sheetView>
  </sheetViews>
  <sheetFormatPr defaultRowHeight="14.4" x14ac:dyDescent="0.3"/>
  <cols>
    <col min="1" max="1" width="38.88671875" style="104" customWidth="1"/>
    <col min="2" max="2" width="16.88671875" style="2" bestFit="1" customWidth="1"/>
    <col min="3" max="3" width="15.33203125" style="2" bestFit="1" customWidth="1"/>
    <col min="4" max="4" width="16.44140625" style="2" bestFit="1" customWidth="1"/>
    <col min="5" max="6" width="8" style="2" bestFit="1" customWidth="1"/>
    <col min="7" max="7" width="10.88671875" style="2" bestFit="1" customWidth="1"/>
    <col min="8" max="30" width="8.88671875" style="2"/>
    <col min="31" max="31" width="18.88671875" style="19" bestFit="1" customWidth="1"/>
    <col min="32" max="32" width="29" style="2" bestFit="1" customWidth="1"/>
    <col min="33" max="33" width="13.44140625" style="2" bestFit="1" customWidth="1"/>
    <col min="34" max="34" width="7.21875" style="2" bestFit="1" customWidth="1"/>
    <col min="35" max="35" width="25.5546875" style="2" bestFit="1" customWidth="1"/>
    <col min="36" max="36" width="18.88671875" style="2" bestFit="1" customWidth="1"/>
    <col min="37" max="37" width="25.33203125" style="2" bestFit="1" customWidth="1"/>
    <col min="38" max="38" width="31" style="428" bestFit="1" customWidth="1"/>
    <col min="39" max="39" width="34.88671875" style="2" bestFit="1" customWidth="1"/>
    <col min="40" max="40" width="38.44140625" style="2" bestFit="1" customWidth="1"/>
    <col min="41" max="41" width="25.33203125" style="19" bestFit="1" customWidth="1"/>
    <col min="42" max="42" width="9.77734375" style="2" customWidth="1"/>
    <col min="43" max="46" width="8" style="2" bestFit="1" customWidth="1"/>
    <col min="47" max="48" width="7.5546875" style="2" bestFit="1" customWidth="1"/>
    <col min="49" max="49" width="8" style="2" bestFit="1" customWidth="1"/>
    <col min="50" max="50" width="7.5546875" style="103" bestFit="1" customWidth="1"/>
    <col min="51" max="54" width="8" style="103" bestFit="1" customWidth="1"/>
    <col min="55" max="55" width="7.5546875" style="2" bestFit="1" customWidth="1"/>
    <col min="56" max="58" width="8" style="2" bestFit="1" customWidth="1"/>
    <col min="59" max="59" width="7.5546875" style="2" bestFit="1" customWidth="1"/>
    <col min="60" max="62" width="8" style="2" bestFit="1" customWidth="1"/>
    <col min="63" max="63" width="12.88671875" style="2" bestFit="1" customWidth="1"/>
    <col min="64" max="65" width="8" bestFit="1" customWidth="1"/>
    <col min="66" max="66" width="8" style="2" bestFit="1" customWidth="1"/>
    <col min="67" max="67" width="7.5546875" style="2" bestFit="1" customWidth="1"/>
    <col min="68" max="70" width="8" style="2" bestFit="1" customWidth="1"/>
    <col min="71" max="71" width="7.5546875" style="2" bestFit="1" customWidth="1"/>
    <col min="72" max="74" width="8" style="2" bestFit="1" customWidth="1"/>
    <col min="75" max="75" width="10.88671875" style="2" bestFit="1" customWidth="1"/>
    <col min="76" max="16384" width="8.88671875" style="2"/>
  </cols>
  <sheetData>
    <row r="1" spans="1:65" ht="15" customHeight="1" thickBot="1" x14ac:dyDescent="0.3">
      <c r="A1" s="506" t="s">
        <v>530</v>
      </c>
      <c r="B1" s="506"/>
      <c r="C1" s="506"/>
      <c r="D1" s="506"/>
      <c r="AE1" s="502" t="s">
        <v>521</v>
      </c>
      <c r="AF1" s="502"/>
      <c r="AG1" s="502"/>
      <c r="AH1" s="502"/>
      <c r="AI1" s="502"/>
      <c r="AJ1" s="502"/>
      <c r="AK1" s="502"/>
      <c r="AL1" s="502"/>
      <c r="AM1" s="502"/>
      <c r="AN1" s="502"/>
      <c r="AO1" s="502"/>
      <c r="BL1" s="2"/>
      <c r="BM1" s="2"/>
    </row>
    <row r="2" spans="1:65" ht="13.8" x14ac:dyDescent="0.25">
      <c r="A2" s="214" t="s">
        <v>365</v>
      </c>
      <c r="B2" s="352" t="s">
        <v>9</v>
      </c>
      <c r="C2" s="352" t="s">
        <v>8</v>
      </c>
      <c r="D2" s="212" t="s">
        <v>366</v>
      </c>
      <c r="AE2" s="429" t="s">
        <v>354</v>
      </c>
      <c r="AF2" s="407" t="s">
        <v>513</v>
      </c>
      <c r="AG2" s="407" t="s">
        <v>367</v>
      </c>
      <c r="AH2" s="407" t="s">
        <v>328</v>
      </c>
      <c r="AI2" s="407" t="s">
        <v>525</v>
      </c>
      <c r="AJ2" s="407" t="s">
        <v>526</v>
      </c>
      <c r="AK2" s="407" t="s">
        <v>527</v>
      </c>
      <c r="AL2" s="432" t="s">
        <v>416</v>
      </c>
      <c r="AM2" s="407" t="s">
        <v>462</v>
      </c>
      <c r="AN2" s="407" t="s">
        <v>463</v>
      </c>
      <c r="AO2" s="408" t="s">
        <v>528</v>
      </c>
      <c r="BL2" s="2"/>
      <c r="BM2" s="2"/>
    </row>
    <row r="3" spans="1:65" ht="13.8" x14ac:dyDescent="0.25">
      <c r="A3" s="354" t="s">
        <v>374</v>
      </c>
      <c r="B3" s="88">
        <v>0.3</v>
      </c>
      <c r="C3" s="88" t="s">
        <v>375</v>
      </c>
      <c r="D3" s="187" t="s">
        <v>142</v>
      </c>
      <c r="AE3" s="367">
        <v>0</v>
      </c>
      <c r="AF3" s="41">
        <v>0</v>
      </c>
      <c r="AG3" s="41">
        <v>0</v>
      </c>
      <c r="AH3" s="41" t="s">
        <v>376</v>
      </c>
      <c r="AI3" s="382">
        <v>0</v>
      </c>
      <c r="AJ3" s="382">
        <v>0</v>
      </c>
      <c r="AK3" s="382">
        <v>0</v>
      </c>
      <c r="AL3" s="433">
        <v>0</v>
      </c>
      <c r="AM3" s="382">
        <v>0</v>
      </c>
      <c r="AN3" s="382">
        <v>0</v>
      </c>
      <c r="AO3" s="383">
        <v>0</v>
      </c>
      <c r="BL3" s="2"/>
      <c r="BM3" s="2"/>
    </row>
    <row r="4" spans="1:65" ht="13.8" x14ac:dyDescent="0.25">
      <c r="A4" s="354" t="s">
        <v>377</v>
      </c>
      <c r="B4" s="88">
        <v>0.27</v>
      </c>
      <c r="C4" s="88" t="s">
        <v>375</v>
      </c>
      <c r="D4" s="187" t="s">
        <v>142</v>
      </c>
      <c r="AE4" s="367">
        <f>($AE$6/$AG$6)*AG4</f>
        <v>21000000</v>
      </c>
      <c r="AF4" s="158">
        <f t="shared" ref="AF4:AF35" si="0">AF186</f>
        <v>25</v>
      </c>
      <c r="AG4" s="41">
        <v>1</v>
      </c>
      <c r="AH4" s="41" t="s">
        <v>376</v>
      </c>
      <c r="AI4" s="158">
        <f>SUM(AJ4, AK4)</f>
        <v>657.44476798848643</v>
      </c>
      <c r="AJ4" s="158">
        <f t="shared" ref="AJ4:AJ35" si="1">SUM($AI$368:$AL$368,$BK$368)</f>
        <v>657.44476798848643</v>
      </c>
      <c r="AK4" s="362">
        <v>0</v>
      </c>
      <c r="AL4" s="433">
        <f>SUM(AM4:AN4)</f>
        <v>31.306893713737452</v>
      </c>
      <c r="AM4" s="382">
        <f>IFERROR(AJ4/AE4,0)*1000000</f>
        <v>31.306893713737452</v>
      </c>
      <c r="AN4" s="382">
        <f t="shared" ref="AN4:AN23" si="2">IFERROR(AK4/AE4,0)*1000000</f>
        <v>0</v>
      </c>
      <c r="AO4" s="384">
        <f t="shared" ref="AO4:AO23" si="3">IFERROR((AI4-AI3)/(AE4-AE3),0)*1000000</f>
        <v>31.306893713737452</v>
      </c>
      <c r="BL4" s="2"/>
      <c r="BM4" s="2"/>
    </row>
    <row r="5" spans="1:65" ht="13.8" x14ac:dyDescent="0.25">
      <c r="A5" s="354" t="s">
        <v>362</v>
      </c>
      <c r="B5" s="88">
        <v>0.5</v>
      </c>
      <c r="C5" s="88" t="s">
        <v>375</v>
      </c>
      <c r="D5" s="187" t="s">
        <v>142</v>
      </c>
      <c r="AE5" s="367">
        <f>($AE$6/$AG$6)*AG5</f>
        <v>42000000</v>
      </c>
      <c r="AF5" s="158">
        <f t="shared" si="0"/>
        <v>50</v>
      </c>
      <c r="AG5" s="41">
        <v>2</v>
      </c>
      <c r="AH5" s="41" t="s">
        <v>376</v>
      </c>
      <c r="AI5" s="158">
        <f>SUM(AJ5, AK5)</f>
        <v>750.68456811833596</v>
      </c>
      <c r="AJ5" s="158">
        <f t="shared" si="1"/>
        <v>657.44476798848643</v>
      </c>
      <c r="AK5" s="362">
        <f t="shared" ref="AK5:AK36" si="4">AK4+SUM(AI369:AJ369,BK369)</f>
        <v>93.239800129849542</v>
      </c>
      <c r="AL5" s="433">
        <f t="shared" ref="AL5:AL23" si="5">SUM(AM5:AN5)</f>
        <v>17.873442098055619</v>
      </c>
      <c r="AM5" s="382">
        <f t="shared" ref="AM5:AM23" si="6">IFERROR(AJ5/AE5,0)*1000000</f>
        <v>15.653446856868726</v>
      </c>
      <c r="AN5" s="382">
        <f t="shared" si="2"/>
        <v>2.219995241186894</v>
      </c>
      <c r="AO5" s="384">
        <f t="shared" si="3"/>
        <v>4.439990482373787</v>
      </c>
      <c r="BL5" s="2"/>
      <c r="BM5" s="2"/>
    </row>
    <row r="6" spans="1:65" ht="13.8" x14ac:dyDescent="0.25">
      <c r="A6" s="354" t="s">
        <v>378</v>
      </c>
      <c r="B6" s="88">
        <v>0.02</v>
      </c>
      <c r="C6" s="88" t="s">
        <v>379</v>
      </c>
      <c r="D6" s="187" t="s">
        <v>142</v>
      </c>
      <c r="AE6" s="367">
        <v>63000000</v>
      </c>
      <c r="AF6" s="158">
        <f t="shared" si="0"/>
        <v>75</v>
      </c>
      <c r="AG6" s="41">
        <v>3</v>
      </c>
      <c r="AH6" s="41" t="s">
        <v>376</v>
      </c>
      <c r="AI6" s="158">
        <f t="shared" ref="AI6:AI23" si="7">SUM(AJ6, AK6)</f>
        <v>843.92436824818549</v>
      </c>
      <c r="AJ6" s="158">
        <f t="shared" si="1"/>
        <v>657.44476798848643</v>
      </c>
      <c r="AK6" s="362">
        <f t="shared" si="4"/>
        <v>186.47960025969908</v>
      </c>
      <c r="AL6" s="433">
        <f t="shared" si="5"/>
        <v>13.395624892828341</v>
      </c>
      <c r="AM6" s="382">
        <f t="shared" si="6"/>
        <v>10.435631237912483</v>
      </c>
      <c r="AN6" s="382">
        <f t="shared" si="2"/>
        <v>2.9599936549158583</v>
      </c>
      <c r="AO6" s="384">
        <f t="shared" si="3"/>
        <v>4.439990482373787</v>
      </c>
      <c r="BL6" s="2"/>
      <c r="BM6" s="2"/>
    </row>
    <row r="7" spans="1:65" ht="13.8" x14ac:dyDescent="0.25">
      <c r="A7" s="354" t="s">
        <v>380</v>
      </c>
      <c r="B7" s="88">
        <v>1.2E-2</v>
      </c>
      <c r="C7" s="88" t="s">
        <v>381</v>
      </c>
      <c r="D7" s="187" t="s">
        <v>143</v>
      </c>
      <c r="AE7" s="367">
        <f>AE6+$AE$4</f>
        <v>84000000</v>
      </c>
      <c r="AF7" s="158">
        <f t="shared" si="0"/>
        <v>100</v>
      </c>
      <c r="AG7" s="41">
        <v>4</v>
      </c>
      <c r="AH7" s="41" t="s">
        <v>376</v>
      </c>
      <c r="AI7" s="158">
        <f t="shared" si="7"/>
        <v>937.16416837803513</v>
      </c>
      <c r="AJ7" s="158">
        <f t="shared" si="1"/>
        <v>657.44476798848643</v>
      </c>
      <c r="AK7" s="362">
        <f t="shared" si="4"/>
        <v>279.71940038954864</v>
      </c>
      <c r="AL7" s="433">
        <f t="shared" si="5"/>
        <v>11.156716290214703</v>
      </c>
      <c r="AM7" s="382">
        <f t="shared" si="6"/>
        <v>7.826723428434363</v>
      </c>
      <c r="AN7" s="382">
        <f t="shared" si="2"/>
        <v>3.3299928617803412</v>
      </c>
      <c r="AO7" s="384">
        <f t="shared" si="3"/>
        <v>4.4399904823737923</v>
      </c>
      <c r="BL7" s="2"/>
      <c r="BM7" s="2"/>
    </row>
    <row r="8" spans="1:65" ht="13.8" x14ac:dyDescent="0.25">
      <c r="A8" s="354" t="s">
        <v>382</v>
      </c>
      <c r="B8" s="88">
        <v>10</v>
      </c>
      <c r="C8" s="88" t="s">
        <v>383</v>
      </c>
      <c r="D8" s="187" t="s">
        <v>143</v>
      </c>
      <c r="AE8" s="367">
        <f>AE7+$AE$4</f>
        <v>105000000</v>
      </c>
      <c r="AF8" s="158">
        <f t="shared" si="0"/>
        <v>125</v>
      </c>
      <c r="AG8" s="41">
        <v>5</v>
      </c>
      <c r="AH8" s="41" t="s">
        <v>376</v>
      </c>
      <c r="AI8" s="158">
        <f t="shared" si="7"/>
        <v>1030.4039685078847</v>
      </c>
      <c r="AJ8" s="158">
        <f t="shared" si="1"/>
        <v>657.44476798848643</v>
      </c>
      <c r="AK8" s="362">
        <f t="shared" si="4"/>
        <v>372.95920051939817</v>
      </c>
      <c r="AL8" s="433">
        <f t="shared" si="5"/>
        <v>9.8133711286465193</v>
      </c>
      <c r="AM8" s="382">
        <f t="shared" si="6"/>
        <v>6.2613787427474898</v>
      </c>
      <c r="AN8" s="382">
        <f t="shared" si="2"/>
        <v>3.5519923858990299</v>
      </c>
      <c r="AO8" s="384">
        <f t="shared" si="3"/>
        <v>4.439990482373787</v>
      </c>
      <c r="BL8" s="2"/>
      <c r="BM8" s="2"/>
    </row>
    <row r="9" spans="1:65" ht="13.8" x14ac:dyDescent="0.25">
      <c r="A9" s="354" t="s">
        <v>363</v>
      </c>
      <c r="B9" s="88">
        <v>0.19</v>
      </c>
      <c r="C9" s="88" t="s">
        <v>384</v>
      </c>
      <c r="D9" s="187" t="s">
        <v>143</v>
      </c>
      <c r="AE9" s="367">
        <f>AE8+$AE$4</f>
        <v>126000000</v>
      </c>
      <c r="AF9" s="158">
        <f t="shared" si="0"/>
        <v>150</v>
      </c>
      <c r="AG9" s="41">
        <v>6</v>
      </c>
      <c r="AH9" s="41" t="s">
        <v>376</v>
      </c>
      <c r="AI9" s="158">
        <f t="shared" si="7"/>
        <v>1123.6437686377342</v>
      </c>
      <c r="AJ9" s="158">
        <f t="shared" si="1"/>
        <v>657.44476798848643</v>
      </c>
      <c r="AK9" s="362">
        <f t="shared" si="4"/>
        <v>466.19900064924769</v>
      </c>
      <c r="AL9" s="433">
        <f t="shared" si="5"/>
        <v>8.9178076876010657</v>
      </c>
      <c r="AM9" s="382">
        <f t="shared" si="6"/>
        <v>5.2178156189562417</v>
      </c>
      <c r="AN9" s="382">
        <f t="shared" si="2"/>
        <v>3.6999920686448231</v>
      </c>
      <c r="AO9" s="384">
        <f t="shared" si="3"/>
        <v>4.439990482373787</v>
      </c>
      <c r="BL9" s="2"/>
      <c r="BM9" s="2"/>
    </row>
    <row r="10" spans="1:65" thickBot="1" x14ac:dyDescent="0.3">
      <c r="A10" s="218" t="s">
        <v>141</v>
      </c>
      <c r="B10" s="219">
        <v>3</v>
      </c>
      <c r="C10" s="220" t="s">
        <v>385</v>
      </c>
      <c r="D10" s="221" t="s">
        <v>10</v>
      </c>
      <c r="AE10" s="367">
        <f t="shared" ref="AE10:AE71" si="8">AE9+$AE$4</f>
        <v>147000000</v>
      </c>
      <c r="AF10" s="158">
        <f t="shared" si="0"/>
        <v>175</v>
      </c>
      <c r="AG10" s="41">
        <v>7</v>
      </c>
      <c r="AH10" s="41" t="s">
        <v>376</v>
      </c>
      <c r="AI10" s="158">
        <f t="shared" si="7"/>
        <v>1216.8835687675837</v>
      </c>
      <c r="AJ10" s="158">
        <f t="shared" si="1"/>
        <v>657.44476798848643</v>
      </c>
      <c r="AK10" s="362">
        <f t="shared" si="4"/>
        <v>559.43880077909728</v>
      </c>
      <c r="AL10" s="433">
        <f t="shared" si="5"/>
        <v>8.2781195154257396</v>
      </c>
      <c r="AM10" s="382">
        <f t="shared" si="6"/>
        <v>4.4724133876767782</v>
      </c>
      <c r="AN10" s="382">
        <f t="shared" si="2"/>
        <v>3.805706127748961</v>
      </c>
      <c r="AO10" s="384">
        <f t="shared" si="3"/>
        <v>4.439990482373787</v>
      </c>
      <c r="BL10" s="2"/>
      <c r="BM10" s="2"/>
    </row>
    <row r="11" spans="1:65" ht="13.8" x14ac:dyDescent="0.25">
      <c r="AE11" s="367">
        <f t="shared" si="8"/>
        <v>168000000</v>
      </c>
      <c r="AF11" s="158">
        <f t="shared" si="0"/>
        <v>200</v>
      </c>
      <c r="AG11" s="41">
        <v>8</v>
      </c>
      <c r="AH11" s="41" t="s">
        <v>376</v>
      </c>
      <c r="AI11" s="158">
        <f t="shared" si="7"/>
        <v>1310.1233688974332</v>
      </c>
      <c r="AJ11" s="158">
        <f t="shared" si="1"/>
        <v>657.44476798848643</v>
      </c>
      <c r="AK11" s="362">
        <f t="shared" si="4"/>
        <v>652.67860090894681</v>
      </c>
      <c r="AL11" s="433">
        <f t="shared" si="5"/>
        <v>7.7983533862942451</v>
      </c>
      <c r="AM11" s="382">
        <f t="shared" si="6"/>
        <v>3.9133617142171815</v>
      </c>
      <c r="AN11" s="382">
        <f t="shared" si="2"/>
        <v>3.8849916720770641</v>
      </c>
      <c r="AO11" s="384">
        <f t="shared" si="3"/>
        <v>4.439990482373787</v>
      </c>
      <c r="BL11" s="2"/>
      <c r="BM11" s="2"/>
    </row>
    <row r="12" spans="1:65" ht="13.8" x14ac:dyDescent="0.25">
      <c r="AE12" s="367">
        <f t="shared" si="8"/>
        <v>189000000</v>
      </c>
      <c r="AF12" s="158">
        <f t="shared" si="0"/>
        <v>225</v>
      </c>
      <c r="AG12" s="41">
        <v>9</v>
      </c>
      <c r="AH12" s="41" t="s">
        <v>376</v>
      </c>
      <c r="AI12" s="158">
        <f t="shared" si="7"/>
        <v>1403.3631690272828</v>
      </c>
      <c r="AJ12" s="158">
        <f t="shared" si="1"/>
        <v>657.44476798848643</v>
      </c>
      <c r="AK12" s="362">
        <f t="shared" si="4"/>
        <v>745.91840103879633</v>
      </c>
      <c r="AL12" s="433">
        <f t="shared" si="5"/>
        <v>7.4252019525253061</v>
      </c>
      <c r="AM12" s="382">
        <f t="shared" si="6"/>
        <v>3.4785437459708275</v>
      </c>
      <c r="AN12" s="382">
        <f t="shared" si="2"/>
        <v>3.9466582065544782</v>
      </c>
      <c r="AO12" s="384">
        <f t="shared" si="3"/>
        <v>4.439990482373787</v>
      </c>
      <c r="BL12" s="2"/>
      <c r="BM12" s="2"/>
    </row>
    <row r="13" spans="1:65" ht="13.8" x14ac:dyDescent="0.25">
      <c r="A13" s="104" t="s">
        <v>4</v>
      </c>
      <c r="AE13" s="367">
        <f t="shared" si="8"/>
        <v>210000000</v>
      </c>
      <c r="AF13" s="158">
        <f t="shared" si="0"/>
        <v>250</v>
      </c>
      <c r="AG13" s="41">
        <v>10</v>
      </c>
      <c r="AH13" s="41" t="s">
        <v>376</v>
      </c>
      <c r="AI13" s="158">
        <f t="shared" si="7"/>
        <v>1496.6029691571323</v>
      </c>
      <c r="AJ13" s="158">
        <f t="shared" si="1"/>
        <v>657.44476798848643</v>
      </c>
      <c r="AK13" s="362">
        <f t="shared" si="4"/>
        <v>839.15820116864586</v>
      </c>
      <c r="AL13" s="433">
        <f t="shared" si="5"/>
        <v>7.126680805510154</v>
      </c>
      <c r="AM13" s="382">
        <f t="shared" si="6"/>
        <v>3.1306893713737449</v>
      </c>
      <c r="AN13" s="382">
        <f t="shared" si="2"/>
        <v>3.9959914341364091</v>
      </c>
      <c r="AO13" s="384">
        <f t="shared" si="3"/>
        <v>4.439990482373787</v>
      </c>
      <c r="BL13" s="2"/>
      <c r="BM13" s="2"/>
    </row>
    <row r="14" spans="1:65" ht="13.8" x14ac:dyDescent="0.25">
      <c r="A14" s="2" t="s">
        <v>386</v>
      </c>
      <c r="AE14" s="367">
        <f t="shared" si="8"/>
        <v>231000000</v>
      </c>
      <c r="AF14" s="158">
        <f t="shared" si="0"/>
        <v>275</v>
      </c>
      <c r="AG14" s="41">
        <v>11</v>
      </c>
      <c r="AH14" s="41" t="s">
        <v>376</v>
      </c>
      <c r="AI14" s="158">
        <f t="shared" si="7"/>
        <v>1589.8427692869818</v>
      </c>
      <c r="AJ14" s="158">
        <f t="shared" si="1"/>
        <v>657.44476798848643</v>
      </c>
      <c r="AK14" s="362">
        <f t="shared" si="4"/>
        <v>932.39800129849539</v>
      </c>
      <c r="AL14" s="433">
        <f t="shared" si="5"/>
        <v>6.8824362306795752</v>
      </c>
      <c r="AM14" s="382">
        <f t="shared" si="6"/>
        <v>2.8460812467034047</v>
      </c>
      <c r="AN14" s="382">
        <f t="shared" si="2"/>
        <v>4.036354983976171</v>
      </c>
      <c r="AO14" s="384">
        <f t="shared" si="3"/>
        <v>4.439990482373787</v>
      </c>
      <c r="BL14" s="2"/>
      <c r="BM14" s="2"/>
    </row>
    <row r="15" spans="1:65" ht="13.8" x14ac:dyDescent="0.25">
      <c r="A15" s="2" t="s">
        <v>387</v>
      </c>
      <c r="AE15" s="367">
        <f t="shared" si="8"/>
        <v>252000000</v>
      </c>
      <c r="AF15" s="158">
        <f t="shared" si="0"/>
        <v>300</v>
      </c>
      <c r="AG15" s="41">
        <v>12</v>
      </c>
      <c r="AH15" s="41" t="s">
        <v>376</v>
      </c>
      <c r="AI15" s="158">
        <f>SUM(AJ15, AK15)</f>
        <v>1683.0825694168316</v>
      </c>
      <c r="AJ15" s="158">
        <f t="shared" si="1"/>
        <v>657.44476798848643</v>
      </c>
      <c r="AK15" s="362">
        <f t="shared" si="4"/>
        <v>1025.637801428345</v>
      </c>
      <c r="AL15" s="433">
        <f t="shared" si="5"/>
        <v>6.6788990849874263</v>
      </c>
      <c r="AM15" s="382">
        <f t="shared" si="6"/>
        <v>2.6089078094781208</v>
      </c>
      <c r="AN15" s="382">
        <f t="shared" si="2"/>
        <v>4.0699912755093051</v>
      </c>
      <c r="AO15" s="384">
        <f t="shared" si="3"/>
        <v>4.4399904823737977</v>
      </c>
      <c r="BL15" s="2"/>
      <c r="BM15" s="2"/>
    </row>
    <row r="16" spans="1:65" ht="13.8" x14ac:dyDescent="0.25">
      <c r="A16" s="2" t="s">
        <v>388</v>
      </c>
      <c r="AE16" s="367">
        <f t="shared" si="8"/>
        <v>273000000</v>
      </c>
      <c r="AF16" s="158">
        <f t="shared" si="0"/>
        <v>325</v>
      </c>
      <c r="AG16" s="41">
        <v>13</v>
      </c>
      <c r="AH16" s="41" t="s">
        <v>376</v>
      </c>
      <c r="AI16" s="158">
        <f t="shared" si="7"/>
        <v>1776.3223695466809</v>
      </c>
      <c r="AJ16" s="158">
        <f t="shared" si="1"/>
        <v>657.44476798848643</v>
      </c>
      <c r="AK16" s="362">
        <f t="shared" si="4"/>
        <v>1118.8776015581946</v>
      </c>
      <c r="AL16" s="433">
        <f t="shared" si="5"/>
        <v>6.5066753463248386</v>
      </c>
      <c r="AM16" s="382">
        <f t="shared" si="6"/>
        <v>2.4082225933644192</v>
      </c>
      <c r="AN16" s="382">
        <f t="shared" si="2"/>
        <v>4.0984527529604193</v>
      </c>
      <c r="AO16" s="384">
        <f t="shared" si="3"/>
        <v>4.4399904823737764</v>
      </c>
      <c r="BL16" s="2"/>
      <c r="BM16" s="2"/>
    </row>
    <row r="17" spans="1:65" ht="13.8" x14ac:dyDescent="0.25">
      <c r="A17" s="2" t="s">
        <v>389</v>
      </c>
      <c r="AE17" s="367">
        <f t="shared" si="8"/>
        <v>294000000</v>
      </c>
      <c r="AF17" s="158">
        <f t="shared" si="0"/>
        <v>350</v>
      </c>
      <c r="AG17" s="41">
        <v>14</v>
      </c>
      <c r="AH17" s="41" t="s">
        <v>376</v>
      </c>
      <c r="AI17" s="158">
        <f t="shared" si="7"/>
        <v>1869.5621696765306</v>
      </c>
      <c r="AJ17" s="158">
        <f t="shared" si="1"/>
        <v>657.44476798848643</v>
      </c>
      <c r="AK17" s="362">
        <f t="shared" si="4"/>
        <v>1212.1174016880441</v>
      </c>
      <c r="AL17" s="433">
        <f t="shared" si="5"/>
        <v>6.3590549988997633</v>
      </c>
      <c r="AM17" s="382">
        <f t="shared" si="6"/>
        <v>2.2362066938383891</v>
      </c>
      <c r="AN17" s="382">
        <f t="shared" si="2"/>
        <v>4.1228483050613747</v>
      </c>
      <c r="AO17" s="384">
        <f t="shared" si="3"/>
        <v>4.4399904823737977</v>
      </c>
      <c r="BL17" s="2"/>
      <c r="BM17" s="2"/>
    </row>
    <row r="18" spans="1:65" ht="13.8" x14ac:dyDescent="0.25">
      <c r="A18" s="2" t="s">
        <v>461</v>
      </c>
      <c r="AE18" s="367">
        <f t="shared" si="8"/>
        <v>315000000</v>
      </c>
      <c r="AF18" s="158">
        <f t="shared" si="0"/>
        <v>375</v>
      </c>
      <c r="AG18" s="41">
        <v>15</v>
      </c>
      <c r="AH18" s="41" t="s">
        <v>376</v>
      </c>
      <c r="AI18" s="158">
        <f t="shared" si="7"/>
        <v>1962.8019698063799</v>
      </c>
      <c r="AJ18" s="158">
        <f t="shared" si="1"/>
        <v>657.44476798848643</v>
      </c>
      <c r="AK18" s="362">
        <f t="shared" si="4"/>
        <v>1305.3572018178936</v>
      </c>
      <c r="AL18" s="433">
        <f t="shared" si="5"/>
        <v>6.2311173644646978</v>
      </c>
      <c r="AM18" s="382">
        <f t="shared" si="6"/>
        <v>2.0871262475824963</v>
      </c>
      <c r="AN18" s="382">
        <f t="shared" si="2"/>
        <v>4.1439911168822015</v>
      </c>
      <c r="AO18" s="384">
        <f t="shared" si="3"/>
        <v>4.4399904823737764</v>
      </c>
      <c r="BL18" s="2"/>
      <c r="BM18" s="2"/>
    </row>
    <row r="19" spans="1:65" ht="13.8" x14ac:dyDescent="0.25">
      <c r="A19" s="2" t="s">
        <v>390</v>
      </c>
      <c r="AE19" s="367">
        <f t="shared" si="8"/>
        <v>336000000</v>
      </c>
      <c r="AF19" s="158">
        <f t="shared" si="0"/>
        <v>400</v>
      </c>
      <c r="AG19" s="41">
        <v>16</v>
      </c>
      <c r="AH19" s="41" t="s">
        <v>376</v>
      </c>
      <c r="AI19" s="158">
        <f t="shared" si="7"/>
        <v>2056.0417699362297</v>
      </c>
      <c r="AJ19" s="158">
        <f t="shared" si="1"/>
        <v>657.44476798848643</v>
      </c>
      <c r="AK19" s="362">
        <f t="shared" si="4"/>
        <v>1398.5970019477431</v>
      </c>
      <c r="AL19" s="433">
        <f t="shared" si="5"/>
        <v>6.119171934334017</v>
      </c>
      <c r="AM19" s="382">
        <f t="shared" si="6"/>
        <v>1.9566808571085907</v>
      </c>
      <c r="AN19" s="382">
        <f t="shared" si="2"/>
        <v>4.1624910772254262</v>
      </c>
      <c r="AO19" s="384">
        <f t="shared" si="3"/>
        <v>4.4399904823737977</v>
      </c>
      <c r="BL19" s="2"/>
      <c r="BM19" s="2"/>
    </row>
    <row r="20" spans="1:65" ht="13.8" x14ac:dyDescent="0.25">
      <c r="A20" s="2" t="s">
        <v>391</v>
      </c>
      <c r="AE20" s="367">
        <f t="shared" si="8"/>
        <v>357000000</v>
      </c>
      <c r="AF20" s="158">
        <f t="shared" si="0"/>
        <v>425</v>
      </c>
      <c r="AG20" s="41">
        <v>17</v>
      </c>
      <c r="AH20" s="41" t="s">
        <v>376</v>
      </c>
      <c r="AI20" s="158">
        <f t="shared" si="7"/>
        <v>2149.281570066079</v>
      </c>
      <c r="AJ20" s="158">
        <f t="shared" si="1"/>
        <v>657.44476798848643</v>
      </c>
      <c r="AK20" s="362">
        <f t="shared" si="4"/>
        <v>1491.8368020775927</v>
      </c>
      <c r="AL20" s="433">
        <f t="shared" si="5"/>
        <v>6.0203965548069451</v>
      </c>
      <c r="AM20" s="382">
        <f t="shared" si="6"/>
        <v>1.8415819831610265</v>
      </c>
      <c r="AN20" s="382">
        <f t="shared" si="2"/>
        <v>4.1788145716459182</v>
      </c>
      <c r="AO20" s="384">
        <f t="shared" si="3"/>
        <v>4.4399904823737764</v>
      </c>
      <c r="BL20" s="2"/>
      <c r="BM20" s="2"/>
    </row>
    <row r="21" spans="1:65" ht="13.8" x14ac:dyDescent="0.25">
      <c r="A21" s="2" t="s">
        <v>466</v>
      </c>
      <c r="AE21" s="367">
        <f t="shared" si="8"/>
        <v>378000000</v>
      </c>
      <c r="AF21" s="158">
        <f t="shared" si="0"/>
        <v>450</v>
      </c>
      <c r="AG21" s="41">
        <v>18</v>
      </c>
      <c r="AH21" s="41" t="s">
        <v>376</v>
      </c>
      <c r="AI21" s="158">
        <f t="shared" si="7"/>
        <v>2242.5213701959287</v>
      </c>
      <c r="AJ21" s="158">
        <f t="shared" si="1"/>
        <v>657.44476798848643</v>
      </c>
      <c r="AK21" s="362">
        <f t="shared" si="4"/>
        <v>1585.0766022074422</v>
      </c>
      <c r="AL21" s="433">
        <f t="shared" si="5"/>
        <v>5.9325962174495466</v>
      </c>
      <c r="AM21" s="382">
        <f t="shared" si="6"/>
        <v>1.7392718729854137</v>
      </c>
      <c r="AN21" s="382">
        <f t="shared" si="2"/>
        <v>4.1933243444641333</v>
      </c>
      <c r="AO21" s="384">
        <f t="shared" si="3"/>
        <v>4.4399904823737977</v>
      </c>
      <c r="BL21" s="2"/>
      <c r="BM21" s="2"/>
    </row>
    <row r="22" spans="1:65" ht="13.8" x14ac:dyDescent="0.25">
      <c r="AE22" s="367">
        <f t="shared" si="8"/>
        <v>399000000</v>
      </c>
      <c r="AF22" s="158">
        <f t="shared" si="0"/>
        <v>475</v>
      </c>
      <c r="AG22" s="41">
        <v>19</v>
      </c>
      <c r="AH22" s="41" t="s">
        <v>376</v>
      </c>
      <c r="AI22" s="158">
        <f t="shared" si="7"/>
        <v>2335.761170325778</v>
      </c>
      <c r="AJ22" s="158">
        <f t="shared" si="1"/>
        <v>657.44476798848643</v>
      </c>
      <c r="AK22" s="362">
        <f t="shared" si="4"/>
        <v>1678.3164023372917</v>
      </c>
      <c r="AL22" s="433">
        <f t="shared" si="5"/>
        <v>5.8540380208666125</v>
      </c>
      <c r="AM22" s="382">
        <f t="shared" si="6"/>
        <v>1.6477312480914446</v>
      </c>
      <c r="AN22" s="382">
        <f t="shared" si="2"/>
        <v>4.206306772775168</v>
      </c>
      <c r="AO22" s="384">
        <f t="shared" si="3"/>
        <v>4.4399904823737764</v>
      </c>
      <c r="BL22" s="2"/>
      <c r="BM22" s="2"/>
    </row>
    <row r="23" spans="1:65" thickBot="1" x14ac:dyDescent="0.3">
      <c r="A23" s="506" t="s">
        <v>531</v>
      </c>
      <c r="B23" s="506"/>
      <c r="C23" s="506"/>
      <c r="D23" s="506"/>
      <c r="AE23" s="367">
        <f t="shared" si="8"/>
        <v>420000000</v>
      </c>
      <c r="AF23" s="158">
        <f t="shared" si="0"/>
        <v>500</v>
      </c>
      <c r="AG23" s="41">
        <v>20</v>
      </c>
      <c r="AH23" s="41" t="s">
        <v>376</v>
      </c>
      <c r="AI23" s="158">
        <f t="shared" si="7"/>
        <v>2429.0009704556278</v>
      </c>
      <c r="AJ23" s="158">
        <f t="shared" si="1"/>
        <v>657.44476798848643</v>
      </c>
      <c r="AK23" s="362">
        <f t="shared" si="4"/>
        <v>1771.5562024671412</v>
      </c>
      <c r="AL23" s="433">
        <f t="shared" si="5"/>
        <v>5.7833356439419701</v>
      </c>
      <c r="AM23" s="382">
        <f t="shared" si="6"/>
        <v>1.5653446856868725</v>
      </c>
      <c r="AN23" s="382">
        <f t="shared" si="2"/>
        <v>4.2179909582550978</v>
      </c>
      <c r="AO23" s="384">
        <f t="shared" si="3"/>
        <v>4.4399904823737977</v>
      </c>
      <c r="BL23" s="2"/>
      <c r="BM23" s="2"/>
    </row>
    <row r="24" spans="1:65" ht="14.4" customHeight="1" x14ac:dyDescent="0.25">
      <c r="A24" s="349" t="s">
        <v>393</v>
      </c>
      <c r="B24" s="350" t="s">
        <v>394</v>
      </c>
      <c r="C24" s="350" t="s">
        <v>364</v>
      </c>
      <c r="D24" s="351" t="s">
        <v>395</v>
      </c>
      <c r="AE24" s="367">
        <f t="shared" si="8"/>
        <v>441000000</v>
      </c>
      <c r="AF24" s="158">
        <f t="shared" si="0"/>
        <v>525</v>
      </c>
      <c r="AG24" s="41">
        <v>21</v>
      </c>
      <c r="AH24" s="41" t="s">
        <v>376</v>
      </c>
      <c r="AI24" s="158">
        <f t="shared" ref="AI24:AI57" si="9">SUM(AJ24, AK24)</f>
        <v>2522.2407705854771</v>
      </c>
      <c r="AJ24" s="158">
        <f t="shared" si="1"/>
        <v>657.44476798848643</v>
      </c>
      <c r="AK24" s="362">
        <f t="shared" si="4"/>
        <v>1864.7960025969908</v>
      </c>
      <c r="AL24" s="433">
        <f t="shared" ref="AL24:AL57" si="10">SUM(AM24:AN24)</f>
        <v>5.7193668267244382</v>
      </c>
      <c r="AM24" s="382">
        <f t="shared" ref="AM24:AM57" si="11">IFERROR(AJ24/AE24,0)*1000000</f>
        <v>1.4908044625589263</v>
      </c>
      <c r="AN24" s="382">
        <f t="shared" ref="AN24:AN57" si="12">IFERROR(AK24/AE24,0)*1000000</f>
        <v>4.2285623641655121</v>
      </c>
      <c r="AO24" s="384">
        <f t="shared" ref="AO24:AO57" si="13">IFERROR((AI24-AI23)/(AE24-AE23),0)*1000000</f>
        <v>4.4399904823737764</v>
      </c>
      <c r="AP24" s="222"/>
      <c r="BL24" s="2"/>
      <c r="BM24" s="2"/>
    </row>
    <row r="25" spans="1:65" ht="13.8" x14ac:dyDescent="0.25">
      <c r="A25" s="223" t="s">
        <v>396</v>
      </c>
      <c r="B25" s="41">
        <v>12</v>
      </c>
      <c r="C25" s="41">
        <v>3236</v>
      </c>
      <c r="D25" s="380">
        <f>B25/C25</f>
        <v>3.708281829419036E-3</v>
      </c>
      <c r="AE25" s="367">
        <f t="shared" si="8"/>
        <v>462000000</v>
      </c>
      <c r="AF25" s="158">
        <f t="shared" si="0"/>
        <v>550</v>
      </c>
      <c r="AG25" s="41">
        <v>22</v>
      </c>
      <c r="AH25" s="41" t="s">
        <v>376</v>
      </c>
      <c r="AI25" s="158">
        <f t="shared" si="9"/>
        <v>2615.4805707153268</v>
      </c>
      <c r="AJ25" s="158">
        <f t="shared" si="1"/>
        <v>657.44476798848643</v>
      </c>
      <c r="AK25" s="362">
        <f t="shared" si="4"/>
        <v>1958.0358027268403</v>
      </c>
      <c r="AL25" s="433">
        <f t="shared" si="10"/>
        <v>5.6612133565266811</v>
      </c>
      <c r="AM25" s="382">
        <f t="shared" si="11"/>
        <v>1.4230406233517023</v>
      </c>
      <c r="AN25" s="382">
        <f t="shared" si="12"/>
        <v>4.238172733174979</v>
      </c>
      <c r="AO25" s="384">
        <f t="shared" si="13"/>
        <v>4.4399904823737977</v>
      </c>
      <c r="BL25" s="2"/>
      <c r="BM25" s="2"/>
    </row>
    <row r="26" spans="1:65" ht="13.8" x14ac:dyDescent="0.25">
      <c r="A26" s="223" t="s">
        <v>397</v>
      </c>
      <c r="B26" s="41">
        <v>44</v>
      </c>
      <c r="C26" s="41">
        <v>630</v>
      </c>
      <c r="D26" s="380">
        <f>B26/C26</f>
        <v>6.9841269841269843E-2</v>
      </c>
      <c r="AE26" s="367">
        <f t="shared" si="8"/>
        <v>483000000</v>
      </c>
      <c r="AF26" s="158">
        <f t="shared" si="0"/>
        <v>575</v>
      </c>
      <c r="AG26" s="41">
        <v>23</v>
      </c>
      <c r="AH26" s="41" t="s">
        <v>376</v>
      </c>
      <c r="AI26" s="158">
        <f t="shared" si="9"/>
        <v>2708.7203708451766</v>
      </c>
      <c r="AJ26" s="158">
        <f t="shared" si="1"/>
        <v>657.44476798848643</v>
      </c>
      <c r="AK26" s="362">
        <f t="shared" si="4"/>
        <v>2051.2756028566901</v>
      </c>
      <c r="AL26" s="433">
        <f t="shared" si="10"/>
        <v>5.6081167098243823</v>
      </c>
      <c r="AM26" s="382">
        <f t="shared" si="11"/>
        <v>1.3611692919016283</v>
      </c>
      <c r="AN26" s="382">
        <f t="shared" si="12"/>
        <v>4.2469474179227538</v>
      </c>
      <c r="AO26" s="384">
        <f t="shared" si="13"/>
        <v>4.4399904823737977</v>
      </c>
      <c r="BL26" s="2"/>
      <c r="BM26" s="2"/>
    </row>
    <row r="27" spans="1:65" ht="13.8" x14ac:dyDescent="0.25">
      <c r="A27" s="223" t="s">
        <v>406</v>
      </c>
      <c r="B27" s="41">
        <v>150</v>
      </c>
      <c r="C27" s="41">
        <v>4425</v>
      </c>
      <c r="D27" s="380">
        <f>B27/C27</f>
        <v>3.3898305084745763E-2</v>
      </c>
      <c r="AE27" s="367">
        <f t="shared" si="8"/>
        <v>504000000</v>
      </c>
      <c r="AF27" s="158">
        <f t="shared" si="0"/>
        <v>600</v>
      </c>
      <c r="AG27" s="41">
        <v>24</v>
      </c>
      <c r="AH27" s="41" t="s">
        <v>376</v>
      </c>
      <c r="AI27" s="158">
        <f t="shared" si="9"/>
        <v>2801.9601709750264</v>
      </c>
      <c r="AJ27" s="158">
        <f t="shared" si="1"/>
        <v>657.44476798848643</v>
      </c>
      <c r="AK27" s="362">
        <f t="shared" si="4"/>
        <v>2144.5154029865398</v>
      </c>
      <c r="AL27" s="433">
        <f t="shared" si="10"/>
        <v>5.5594447836806076</v>
      </c>
      <c r="AM27" s="382">
        <f t="shared" si="11"/>
        <v>1.3044539047390604</v>
      </c>
      <c r="AN27" s="382">
        <f t="shared" si="12"/>
        <v>4.2549908789415474</v>
      </c>
      <c r="AO27" s="384">
        <f t="shared" si="13"/>
        <v>4.4399904823737977</v>
      </c>
      <c r="AQ27" s="222"/>
      <c r="BL27" s="2"/>
      <c r="BM27" s="2"/>
    </row>
    <row r="28" spans="1:65" thickBot="1" x14ac:dyDescent="0.3">
      <c r="A28" s="228" t="s">
        <v>407</v>
      </c>
      <c r="B28" s="229">
        <v>20</v>
      </c>
      <c r="C28" s="229">
        <v>44</v>
      </c>
      <c r="D28" s="381">
        <f>B28/C28</f>
        <v>0.45454545454545453</v>
      </c>
      <c r="AE28" s="367">
        <f t="shared" si="8"/>
        <v>525000000</v>
      </c>
      <c r="AF28" s="158">
        <f t="shared" si="0"/>
        <v>625</v>
      </c>
      <c r="AG28" s="41">
        <v>25</v>
      </c>
      <c r="AH28" s="41" t="s">
        <v>376</v>
      </c>
      <c r="AI28" s="158">
        <f t="shared" si="9"/>
        <v>2895.1999711048761</v>
      </c>
      <c r="AJ28" s="158">
        <f t="shared" si="1"/>
        <v>657.44476798848643</v>
      </c>
      <c r="AK28" s="362">
        <f t="shared" si="4"/>
        <v>2237.7552031163896</v>
      </c>
      <c r="AL28" s="433">
        <f t="shared" si="10"/>
        <v>5.5146666116283356</v>
      </c>
      <c r="AM28" s="382">
        <f t="shared" si="11"/>
        <v>1.252275748549498</v>
      </c>
      <c r="AN28" s="382">
        <f t="shared" si="12"/>
        <v>4.2623908630788376</v>
      </c>
      <c r="AO28" s="384">
        <f t="shared" si="13"/>
        <v>4.4399904823737977</v>
      </c>
      <c r="BL28" s="2"/>
      <c r="BM28" s="2"/>
    </row>
    <row r="29" spans="1:65" ht="13.8" x14ac:dyDescent="0.25">
      <c r="A29" s="103"/>
      <c r="B29" s="103"/>
      <c r="C29" s="103"/>
      <c r="D29" s="103"/>
      <c r="AE29" s="367">
        <f t="shared" si="8"/>
        <v>546000000</v>
      </c>
      <c r="AF29" s="158">
        <f t="shared" si="0"/>
        <v>650</v>
      </c>
      <c r="AG29" s="41">
        <v>26</v>
      </c>
      <c r="AH29" s="41" t="s">
        <v>376</v>
      </c>
      <c r="AI29" s="158">
        <f t="shared" si="9"/>
        <v>2988.4397712347259</v>
      </c>
      <c r="AJ29" s="158">
        <f t="shared" si="1"/>
        <v>657.44476798848643</v>
      </c>
      <c r="AK29" s="362">
        <f t="shared" si="4"/>
        <v>2330.9950032462393</v>
      </c>
      <c r="AL29" s="433">
        <f t="shared" si="10"/>
        <v>5.4733329143493146</v>
      </c>
      <c r="AM29" s="382">
        <f t="shared" si="11"/>
        <v>1.2041112966822096</v>
      </c>
      <c r="AN29" s="382">
        <f t="shared" si="12"/>
        <v>4.269221617667105</v>
      </c>
      <c r="AO29" s="384">
        <f t="shared" si="13"/>
        <v>4.4399904823737977</v>
      </c>
      <c r="BL29" s="2"/>
      <c r="BM29" s="2"/>
    </row>
    <row r="30" spans="1:65" ht="13.8" x14ac:dyDescent="0.25">
      <c r="A30" s="103"/>
      <c r="B30" s="103"/>
      <c r="C30" s="356" t="s">
        <v>408</v>
      </c>
      <c r="D30" s="231">
        <f>SUM(D25:D27)/3</f>
        <v>3.5815952251811549E-2</v>
      </c>
      <c r="AE30" s="367">
        <f t="shared" si="8"/>
        <v>567000000</v>
      </c>
      <c r="AF30" s="158">
        <f t="shared" si="0"/>
        <v>675</v>
      </c>
      <c r="AG30" s="41">
        <v>27</v>
      </c>
      <c r="AH30" s="41" t="s">
        <v>376</v>
      </c>
      <c r="AI30" s="158">
        <f t="shared" si="9"/>
        <v>3081.6795713645756</v>
      </c>
      <c r="AJ30" s="158">
        <f t="shared" si="1"/>
        <v>657.44476798848643</v>
      </c>
      <c r="AK30" s="362">
        <f t="shared" si="4"/>
        <v>2424.2348033760891</v>
      </c>
      <c r="AL30" s="433">
        <f t="shared" si="10"/>
        <v>5.4350609724242958</v>
      </c>
      <c r="AM30" s="382">
        <f t="shared" si="11"/>
        <v>1.1595145819902759</v>
      </c>
      <c r="AN30" s="382">
        <f t="shared" si="12"/>
        <v>4.2755463904340196</v>
      </c>
      <c r="AO30" s="384">
        <f t="shared" si="13"/>
        <v>4.4399904823737977</v>
      </c>
      <c r="BL30" s="2"/>
      <c r="BM30" s="2"/>
    </row>
    <row r="31" spans="1:65" ht="13.8" x14ac:dyDescent="0.25">
      <c r="A31" s="103"/>
      <c r="B31" s="103"/>
      <c r="C31" s="356" t="s">
        <v>409</v>
      </c>
      <c r="D31" s="231">
        <f>D28</f>
        <v>0.45454545454545453</v>
      </c>
      <c r="AE31" s="367">
        <f t="shared" si="8"/>
        <v>588000000</v>
      </c>
      <c r="AF31" s="158">
        <f t="shared" si="0"/>
        <v>700</v>
      </c>
      <c r="AG31" s="41">
        <v>28</v>
      </c>
      <c r="AH31" s="41" t="s">
        <v>376</v>
      </c>
      <c r="AI31" s="158">
        <f t="shared" si="9"/>
        <v>3174.9193714944254</v>
      </c>
      <c r="AJ31" s="158">
        <f t="shared" si="1"/>
        <v>657.44476798848643</v>
      </c>
      <c r="AK31" s="362">
        <f t="shared" si="4"/>
        <v>2517.4746035059388</v>
      </c>
      <c r="AL31" s="433">
        <f t="shared" si="10"/>
        <v>5.3995227406367778</v>
      </c>
      <c r="AM31" s="382">
        <f t="shared" si="11"/>
        <v>1.1181033469191946</v>
      </c>
      <c r="AN31" s="382">
        <f t="shared" si="12"/>
        <v>4.2814193937175835</v>
      </c>
      <c r="AO31" s="384">
        <f t="shared" si="13"/>
        <v>4.4399904823737977</v>
      </c>
      <c r="BL31" s="2"/>
      <c r="BM31" s="2"/>
    </row>
    <row r="32" spans="1:65" ht="13.8" x14ac:dyDescent="0.25">
      <c r="A32" s="103"/>
      <c r="B32" s="103"/>
      <c r="C32" s="103"/>
      <c r="D32" s="103"/>
      <c r="AE32" s="367">
        <f t="shared" si="8"/>
        <v>609000000</v>
      </c>
      <c r="AF32" s="158">
        <f t="shared" si="0"/>
        <v>725</v>
      </c>
      <c r="AG32" s="41">
        <v>29</v>
      </c>
      <c r="AH32" s="41" t="s">
        <v>376</v>
      </c>
      <c r="AI32" s="158">
        <f t="shared" si="9"/>
        <v>3268.1591716242751</v>
      </c>
      <c r="AJ32" s="158">
        <f t="shared" si="1"/>
        <v>657.44476798848643</v>
      </c>
      <c r="AK32" s="362">
        <f t="shared" si="4"/>
        <v>2610.7144036357886</v>
      </c>
      <c r="AL32" s="433">
        <f t="shared" si="10"/>
        <v>5.3664354213863303</v>
      </c>
      <c r="AM32" s="382">
        <f t="shared" si="11"/>
        <v>1.0795480590943949</v>
      </c>
      <c r="AN32" s="382">
        <f t="shared" si="12"/>
        <v>4.2868873622919352</v>
      </c>
      <c r="AO32" s="384">
        <f t="shared" si="13"/>
        <v>4.4399904823737977</v>
      </c>
      <c r="BL32" s="2"/>
      <c r="BM32" s="2"/>
    </row>
    <row r="33" spans="1:65" thickBot="1" x14ac:dyDescent="0.3">
      <c r="A33" s="506" t="s">
        <v>532</v>
      </c>
      <c r="B33" s="506"/>
      <c r="C33" s="506"/>
      <c r="D33" s="506"/>
      <c r="AE33" s="367">
        <f t="shared" si="8"/>
        <v>630000000</v>
      </c>
      <c r="AF33" s="158">
        <f t="shared" si="0"/>
        <v>750</v>
      </c>
      <c r="AG33" s="41">
        <v>30</v>
      </c>
      <c r="AH33" s="41" t="s">
        <v>376</v>
      </c>
      <c r="AI33" s="158">
        <f t="shared" si="9"/>
        <v>3361.3989717541249</v>
      </c>
      <c r="AJ33" s="158">
        <f t="shared" si="1"/>
        <v>657.44476798848643</v>
      </c>
      <c r="AK33" s="362">
        <f t="shared" si="4"/>
        <v>2703.9542037656383</v>
      </c>
      <c r="AL33" s="433">
        <f t="shared" si="10"/>
        <v>5.3355539234192459</v>
      </c>
      <c r="AM33" s="382">
        <f t="shared" si="11"/>
        <v>1.0435631237912482</v>
      </c>
      <c r="AN33" s="382">
        <f t="shared" si="12"/>
        <v>4.2919907996279978</v>
      </c>
      <c r="AO33" s="384">
        <f t="shared" si="13"/>
        <v>4.4399904823737977</v>
      </c>
      <c r="BL33" s="2"/>
      <c r="BM33" s="2"/>
    </row>
    <row r="34" spans="1:65" ht="13.8" x14ac:dyDescent="0.25">
      <c r="A34" s="349" t="s">
        <v>393</v>
      </c>
      <c r="B34" s="350" t="s">
        <v>410</v>
      </c>
      <c r="C34" s="350" t="s">
        <v>364</v>
      </c>
      <c r="D34" s="351" t="s">
        <v>411</v>
      </c>
      <c r="AE34" s="367">
        <f t="shared" si="8"/>
        <v>651000000</v>
      </c>
      <c r="AF34" s="158">
        <f t="shared" si="0"/>
        <v>775</v>
      </c>
      <c r="AG34" s="41">
        <v>31</v>
      </c>
      <c r="AH34" s="41" t="s">
        <v>376</v>
      </c>
      <c r="AI34" s="158">
        <f t="shared" si="9"/>
        <v>3454.6387718839746</v>
      </c>
      <c r="AJ34" s="158">
        <f t="shared" si="1"/>
        <v>657.44476798848643</v>
      </c>
      <c r="AK34" s="362">
        <f t="shared" si="4"/>
        <v>2797.1940038954881</v>
      </c>
      <c r="AL34" s="433">
        <f t="shared" si="10"/>
        <v>5.3066647801597151</v>
      </c>
      <c r="AM34" s="382">
        <f t="shared" si="11"/>
        <v>1.0098997972173371</v>
      </c>
      <c r="AN34" s="382">
        <f t="shared" si="12"/>
        <v>4.2967649829423777</v>
      </c>
      <c r="AO34" s="384">
        <f t="shared" si="13"/>
        <v>4.4399904823737977</v>
      </c>
      <c r="BL34" s="2"/>
      <c r="BM34" s="2"/>
    </row>
    <row r="35" spans="1:65" ht="13.8" x14ac:dyDescent="0.25">
      <c r="A35" s="223" t="s">
        <v>396</v>
      </c>
      <c r="B35" s="41">
        <f>4.65*1000</f>
        <v>4650</v>
      </c>
      <c r="C35" s="41">
        <v>3236</v>
      </c>
      <c r="D35" s="369">
        <f>B35/C35</f>
        <v>1.4369592088998764</v>
      </c>
      <c r="AE35" s="367">
        <f t="shared" si="8"/>
        <v>672000000</v>
      </c>
      <c r="AF35" s="158">
        <f t="shared" si="0"/>
        <v>800</v>
      </c>
      <c r="AG35" s="41">
        <v>32</v>
      </c>
      <c r="AH35" s="41" t="s">
        <v>376</v>
      </c>
      <c r="AI35" s="158">
        <f t="shared" si="9"/>
        <v>3547.8785720138244</v>
      </c>
      <c r="AJ35" s="158">
        <f t="shared" si="1"/>
        <v>657.44476798848643</v>
      </c>
      <c r="AK35" s="362">
        <f t="shared" si="4"/>
        <v>2890.4338040253378</v>
      </c>
      <c r="AL35" s="433">
        <f t="shared" si="10"/>
        <v>5.2795812083539051</v>
      </c>
      <c r="AM35" s="382">
        <f t="shared" si="11"/>
        <v>0.97834042855429537</v>
      </c>
      <c r="AN35" s="382">
        <f t="shared" si="12"/>
        <v>4.3012407797996097</v>
      </c>
      <c r="AO35" s="384">
        <f t="shared" si="13"/>
        <v>4.4399904823737977</v>
      </c>
      <c r="BL35" s="2"/>
      <c r="BM35" s="2"/>
    </row>
    <row r="36" spans="1:65" ht="13.8" x14ac:dyDescent="0.25">
      <c r="A36" s="223" t="s">
        <v>397</v>
      </c>
      <c r="B36" s="41">
        <f>5.9*1000</f>
        <v>5900</v>
      </c>
      <c r="C36" s="41">
        <v>630</v>
      </c>
      <c r="D36" s="369">
        <f>B36/C36</f>
        <v>9.3650793650793656</v>
      </c>
      <c r="AE36" s="367">
        <f t="shared" si="8"/>
        <v>693000000</v>
      </c>
      <c r="AF36" s="158">
        <f t="shared" ref="AF36:AF67" si="14">AF218</f>
        <v>825</v>
      </c>
      <c r="AG36" s="41">
        <v>33</v>
      </c>
      <c r="AH36" s="41" t="s">
        <v>376</v>
      </c>
      <c r="AI36" s="158">
        <f t="shared" si="9"/>
        <v>3641.1183721436742</v>
      </c>
      <c r="AJ36" s="158">
        <f t="shared" ref="AJ36:AJ57" si="15">SUM($AI$368:$AL$368,$BK$368)</f>
        <v>657.44476798848643</v>
      </c>
      <c r="AK36" s="362">
        <f t="shared" si="4"/>
        <v>2983.6736041551876</v>
      </c>
      <c r="AL36" s="433">
        <f t="shared" si="10"/>
        <v>5.254139065142386</v>
      </c>
      <c r="AM36" s="382">
        <f t="shared" si="11"/>
        <v>0.94869374890113489</v>
      </c>
      <c r="AN36" s="382">
        <f t="shared" si="12"/>
        <v>4.3054453162412516</v>
      </c>
      <c r="AO36" s="384">
        <f t="shared" si="13"/>
        <v>4.4399904823737977</v>
      </c>
      <c r="BL36" s="2"/>
      <c r="BM36" s="2"/>
    </row>
    <row r="37" spans="1:65" ht="13.8" x14ac:dyDescent="0.25">
      <c r="A37" s="223" t="s">
        <v>406</v>
      </c>
      <c r="B37" s="41">
        <f>6.95*1000</f>
        <v>6950</v>
      </c>
      <c r="C37" s="41">
        <v>4425</v>
      </c>
      <c r="D37" s="369">
        <f>B37/C37</f>
        <v>1.5706214689265536</v>
      </c>
      <c r="AE37" s="367">
        <f t="shared" si="8"/>
        <v>714000000</v>
      </c>
      <c r="AF37" s="158">
        <f t="shared" si="14"/>
        <v>850</v>
      </c>
      <c r="AG37" s="41">
        <v>34</v>
      </c>
      <c r="AH37" s="41" t="s">
        <v>376</v>
      </c>
      <c r="AI37" s="158">
        <f t="shared" si="9"/>
        <v>3734.3581722735239</v>
      </c>
      <c r="AJ37" s="158">
        <f t="shared" si="15"/>
        <v>657.44476798848643</v>
      </c>
      <c r="AK37" s="362">
        <f t="shared" ref="AK37:AK68" si="16">AK36+SUM(AI401:AJ401,BK401)</f>
        <v>3076.9134042850374</v>
      </c>
      <c r="AL37" s="433">
        <f t="shared" si="10"/>
        <v>5.2301935185903696</v>
      </c>
      <c r="AM37" s="382">
        <f t="shared" si="11"/>
        <v>0.92079099158051325</v>
      </c>
      <c r="AN37" s="382">
        <f t="shared" si="12"/>
        <v>4.3094025270098566</v>
      </c>
      <c r="AO37" s="384">
        <f t="shared" si="13"/>
        <v>4.4399904823737977</v>
      </c>
      <c r="BL37" s="2"/>
      <c r="BM37" s="2"/>
    </row>
    <row r="38" spans="1:65" thickBot="1" x14ac:dyDescent="0.3">
      <c r="A38" s="228" t="s">
        <v>407</v>
      </c>
      <c r="B38" s="229">
        <f>4.8*1000</f>
        <v>4800</v>
      </c>
      <c r="C38" s="229">
        <v>44</v>
      </c>
      <c r="D38" s="374">
        <f>B38/C38</f>
        <v>109.09090909090909</v>
      </c>
      <c r="AE38" s="367">
        <f t="shared" si="8"/>
        <v>735000000</v>
      </c>
      <c r="AF38" s="158">
        <f t="shared" si="14"/>
        <v>875</v>
      </c>
      <c r="AG38" s="41">
        <v>35</v>
      </c>
      <c r="AH38" s="41" t="s">
        <v>376</v>
      </c>
      <c r="AI38" s="158">
        <f t="shared" si="9"/>
        <v>3827.5979724033737</v>
      </c>
      <c r="AJ38" s="158">
        <f t="shared" si="15"/>
        <v>657.44476798848643</v>
      </c>
      <c r="AK38" s="362">
        <f t="shared" si="16"/>
        <v>3170.1532044148871</v>
      </c>
      <c r="AL38" s="433">
        <f t="shared" si="10"/>
        <v>5.2076162889841822</v>
      </c>
      <c r="AM38" s="382">
        <f t="shared" si="11"/>
        <v>0.89448267753535571</v>
      </c>
      <c r="AN38" s="382">
        <f t="shared" si="12"/>
        <v>4.3131336114488263</v>
      </c>
      <c r="AO38" s="384">
        <f t="shared" si="13"/>
        <v>4.4399904823737977</v>
      </c>
      <c r="BL38" s="2"/>
      <c r="BM38" s="2"/>
    </row>
    <row r="39" spans="1:65" ht="13.8" x14ac:dyDescent="0.25">
      <c r="A39" s="103"/>
      <c r="B39" s="103"/>
      <c r="C39" s="103"/>
      <c r="D39" s="103"/>
      <c r="AE39" s="367">
        <f t="shared" si="8"/>
        <v>756000000</v>
      </c>
      <c r="AF39" s="158">
        <f t="shared" si="14"/>
        <v>900</v>
      </c>
      <c r="AG39" s="41">
        <v>36</v>
      </c>
      <c r="AH39" s="41" t="s">
        <v>376</v>
      </c>
      <c r="AI39" s="158">
        <f t="shared" si="9"/>
        <v>3920.8377725332234</v>
      </c>
      <c r="AJ39" s="158">
        <f t="shared" si="15"/>
        <v>657.44476798848643</v>
      </c>
      <c r="AK39" s="362">
        <f t="shared" si="16"/>
        <v>3263.3930045447369</v>
      </c>
      <c r="AL39" s="433">
        <f t="shared" si="10"/>
        <v>5.1862933499116712</v>
      </c>
      <c r="AM39" s="382">
        <f t="shared" si="11"/>
        <v>0.86963593649270687</v>
      </c>
      <c r="AN39" s="382">
        <f t="shared" si="12"/>
        <v>4.3166574134189641</v>
      </c>
      <c r="AO39" s="384">
        <f t="shared" si="13"/>
        <v>4.4399904823737977</v>
      </c>
      <c r="BL39" s="2"/>
      <c r="BM39" s="2"/>
    </row>
    <row r="40" spans="1:65" ht="13.8" x14ac:dyDescent="0.25">
      <c r="A40" s="103"/>
      <c r="B40" s="103"/>
      <c r="C40" s="356" t="s">
        <v>408</v>
      </c>
      <c r="D40" s="231">
        <f>SUM(D35:D37)/3</f>
        <v>4.1242200143019323</v>
      </c>
      <c r="AE40" s="367">
        <f t="shared" si="8"/>
        <v>777000000</v>
      </c>
      <c r="AF40" s="158">
        <f t="shared" si="14"/>
        <v>925</v>
      </c>
      <c r="AG40" s="41">
        <v>37</v>
      </c>
      <c r="AH40" s="41" t="s">
        <v>376</v>
      </c>
      <c r="AI40" s="158">
        <f t="shared" si="9"/>
        <v>4014.0775726630732</v>
      </c>
      <c r="AJ40" s="158">
        <f t="shared" si="15"/>
        <v>657.44476798848643</v>
      </c>
      <c r="AK40" s="362">
        <f t="shared" si="16"/>
        <v>3356.6328046745866</v>
      </c>
      <c r="AL40" s="433">
        <f t="shared" si="10"/>
        <v>5.1661230021403775</v>
      </c>
      <c r="AM40" s="382">
        <f t="shared" si="11"/>
        <v>0.84613226253344453</v>
      </c>
      <c r="AN40" s="382">
        <f t="shared" si="12"/>
        <v>4.3199907396069328</v>
      </c>
      <c r="AO40" s="384">
        <f t="shared" si="13"/>
        <v>4.4399904823737977</v>
      </c>
      <c r="BL40" s="2"/>
      <c r="BM40" s="2"/>
    </row>
    <row r="41" spans="1:65" ht="13.8" x14ac:dyDescent="0.25">
      <c r="A41" s="103"/>
      <c r="B41" s="103"/>
      <c r="C41" s="356" t="s">
        <v>409</v>
      </c>
      <c r="D41" s="231">
        <f>D38</f>
        <v>109.09090909090909</v>
      </c>
      <c r="AE41" s="367">
        <f t="shared" si="8"/>
        <v>798000000</v>
      </c>
      <c r="AF41" s="158">
        <f t="shared" si="14"/>
        <v>950</v>
      </c>
      <c r="AG41" s="41">
        <v>38</v>
      </c>
      <c r="AH41" s="41" t="s">
        <v>376</v>
      </c>
      <c r="AI41" s="158">
        <f t="shared" si="9"/>
        <v>4107.3173727929225</v>
      </c>
      <c r="AJ41" s="158">
        <f t="shared" si="15"/>
        <v>657.44476798848643</v>
      </c>
      <c r="AK41" s="362">
        <f t="shared" si="16"/>
        <v>3449.8726048044364</v>
      </c>
      <c r="AL41" s="433">
        <f t="shared" si="10"/>
        <v>5.1470142516202042</v>
      </c>
      <c r="AM41" s="382">
        <f t="shared" si="11"/>
        <v>0.82386562404572228</v>
      </c>
      <c r="AN41" s="382">
        <f t="shared" si="12"/>
        <v>4.3231486275744819</v>
      </c>
      <c r="AO41" s="384">
        <f t="shared" si="13"/>
        <v>4.4399904823737764</v>
      </c>
      <c r="BL41" s="2"/>
      <c r="BM41" s="2"/>
    </row>
    <row r="42" spans="1:65" ht="13.8" x14ac:dyDescent="0.25">
      <c r="A42" s="103"/>
      <c r="B42" s="103"/>
      <c r="C42" s="103"/>
      <c r="D42" s="103"/>
      <c r="AE42" s="367">
        <f t="shared" si="8"/>
        <v>819000000</v>
      </c>
      <c r="AF42" s="158">
        <f t="shared" si="14"/>
        <v>975</v>
      </c>
      <c r="AG42" s="41">
        <v>39</v>
      </c>
      <c r="AH42" s="41" t="s">
        <v>376</v>
      </c>
      <c r="AI42" s="158">
        <f t="shared" si="9"/>
        <v>4200.5571729227722</v>
      </c>
      <c r="AJ42" s="158">
        <f t="shared" si="15"/>
        <v>657.44476798848643</v>
      </c>
      <c r="AK42" s="362">
        <f t="shared" si="16"/>
        <v>3543.1124049342861</v>
      </c>
      <c r="AL42" s="433">
        <f t="shared" si="10"/>
        <v>5.1288854370241426</v>
      </c>
      <c r="AM42" s="382">
        <f t="shared" si="11"/>
        <v>0.80274086445480641</v>
      </c>
      <c r="AN42" s="382">
        <f t="shared" si="12"/>
        <v>4.3261445725693362</v>
      </c>
      <c r="AO42" s="384">
        <f t="shared" si="13"/>
        <v>4.4399904823737977</v>
      </c>
      <c r="BL42" s="2"/>
      <c r="BM42" s="2"/>
    </row>
    <row r="43" spans="1:65" thickBot="1" x14ac:dyDescent="0.3">
      <c r="A43" s="506" t="s">
        <v>533</v>
      </c>
      <c r="B43" s="506"/>
      <c r="C43" s="506"/>
      <c r="D43" s="506"/>
      <c r="AE43" s="367">
        <f t="shared" si="8"/>
        <v>840000000</v>
      </c>
      <c r="AF43" s="158">
        <f t="shared" si="14"/>
        <v>1000</v>
      </c>
      <c r="AG43" s="41">
        <v>40</v>
      </c>
      <c r="AH43" s="41" t="s">
        <v>376</v>
      </c>
      <c r="AI43" s="158">
        <f t="shared" si="9"/>
        <v>4293.796973052622</v>
      </c>
      <c r="AJ43" s="158">
        <f t="shared" si="15"/>
        <v>657.44476798848643</v>
      </c>
      <c r="AK43" s="362">
        <f t="shared" si="16"/>
        <v>3636.3522050641359</v>
      </c>
      <c r="AL43" s="433">
        <f t="shared" si="10"/>
        <v>5.1116630631578834</v>
      </c>
      <c r="AM43" s="382">
        <f t="shared" si="11"/>
        <v>0.78267234284343623</v>
      </c>
      <c r="AN43" s="382">
        <f t="shared" si="12"/>
        <v>4.3289907203144473</v>
      </c>
      <c r="AO43" s="384">
        <f t="shared" si="13"/>
        <v>4.4399904823737977</v>
      </c>
      <c r="BL43" s="2"/>
      <c r="BM43" s="2"/>
    </row>
    <row r="44" spans="1:65" ht="13.8" x14ac:dyDescent="0.25">
      <c r="A44" s="349" t="s">
        <v>393</v>
      </c>
      <c r="B44" s="350" t="s">
        <v>363</v>
      </c>
      <c r="C44" s="350" t="s">
        <v>364</v>
      </c>
      <c r="D44" s="351" t="s">
        <v>412</v>
      </c>
      <c r="AE44" s="367">
        <f t="shared" si="8"/>
        <v>861000000</v>
      </c>
      <c r="AF44" s="158">
        <f t="shared" si="14"/>
        <v>1025</v>
      </c>
      <c r="AG44" s="41">
        <v>41</v>
      </c>
      <c r="AH44" s="41" t="s">
        <v>376</v>
      </c>
      <c r="AI44" s="158">
        <f t="shared" si="9"/>
        <v>4387.0367731824717</v>
      </c>
      <c r="AJ44" s="158">
        <f t="shared" si="15"/>
        <v>657.44476798848643</v>
      </c>
      <c r="AK44" s="362">
        <f t="shared" si="16"/>
        <v>3729.5920051939856</v>
      </c>
      <c r="AL44" s="433">
        <f t="shared" si="10"/>
        <v>5.0952808050899785</v>
      </c>
      <c r="AM44" s="382">
        <f t="shared" si="11"/>
        <v>0.7635827735057914</v>
      </c>
      <c r="AN44" s="382">
        <f t="shared" si="12"/>
        <v>4.3316980315841871</v>
      </c>
      <c r="AO44" s="384">
        <f t="shared" si="13"/>
        <v>4.4399904823737977</v>
      </c>
      <c r="BL44" s="2"/>
      <c r="BM44" s="2"/>
    </row>
    <row r="45" spans="1:65" ht="13.8" x14ac:dyDescent="0.25">
      <c r="A45" s="223" t="s">
        <v>396</v>
      </c>
      <c r="B45" s="41">
        <v>1200</v>
      </c>
      <c r="C45" s="41">
        <v>3236</v>
      </c>
      <c r="D45" s="369">
        <f>B45/C45</f>
        <v>0.37082818294190356</v>
      </c>
      <c r="AE45" s="367">
        <f t="shared" si="8"/>
        <v>882000000</v>
      </c>
      <c r="AF45" s="158">
        <f t="shared" si="14"/>
        <v>1050</v>
      </c>
      <c r="AG45" s="41">
        <v>42</v>
      </c>
      <c r="AH45" s="41" t="s">
        <v>376</v>
      </c>
      <c r="AI45" s="158">
        <f t="shared" si="9"/>
        <v>4480.2765733123215</v>
      </c>
      <c r="AJ45" s="158">
        <f t="shared" si="15"/>
        <v>657.44476798848643</v>
      </c>
      <c r="AK45" s="362">
        <f t="shared" si="16"/>
        <v>3822.8318053238354</v>
      </c>
      <c r="AL45" s="433">
        <f t="shared" si="10"/>
        <v>5.0796786545491184</v>
      </c>
      <c r="AM45" s="382">
        <f t="shared" si="11"/>
        <v>0.74540223127946315</v>
      </c>
      <c r="AN45" s="382">
        <f t="shared" si="12"/>
        <v>4.3342764232696549</v>
      </c>
      <c r="AO45" s="384">
        <f t="shared" si="13"/>
        <v>4.4399904823737977</v>
      </c>
      <c r="BL45" s="2"/>
      <c r="BM45" s="2"/>
    </row>
    <row r="46" spans="1:65" ht="13.8" x14ac:dyDescent="0.25">
      <c r="A46" s="223" t="s">
        <v>397</v>
      </c>
      <c r="B46" s="41">
        <v>528</v>
      </c>
      <c r="C46" s="41">
        <v>630</v>
      </c>
      <c r="D46" s="369">
        <f>B46/C46</f>
        <v>0.83809523809523812</v>
      </c>
      <c r="AE46" s="367">
        <f t="shared" si="8"/>
        <v>903000000</v>
      </c>
      <c r="AF46" s="158">
        <f t="shared" si="14"/>
        <v>1075</v>
      </c>
      <c r="AG46" s="41">
        <v>43</v>
      </c>
      <c r="AH46" s="41" t="s">
        <v>376</v>
      </c>
      <c r="AI46" s="158">
        <f t="shared" si="9"/>
        <v>4573.5163734421712</v>
      </c>
      <c r="AJ46" s="158">
        <f t="shared" si="15"/>
        <v>657.44476798848643</v>
      </c>
      <c r="AK46" s="362">
        <f t="shared" si="16"/>
        <v>3916.0716054536852</v>
      </c>
      <c r="AL46" s="433">
        <f t="shared" si="10"/>
        <v>5.0648021854287615</v>
      </c>
      <c r="AM46" s="382">
        <f t="shared" si="11"/>
        <v>0.72806729566831285</v>
      </c>
      <c r="AN46" s="382">
        <f t="shared" si="12"/>
        <v>4.3367348897604483</v>
      </c>
      <c r="AO46" s="384">
        <f t="shared" si="13"/>
        <v>4.4399904823737977</v>
      </c>
      <c r="BL46" s="2"/>
      <c r="BM46" s="2"/>
    </row>
    <row r="47" spans="1:65" ht="13.8" x14ac:dyDescent="0.25">
      <c r="A47" s="223" t="s">
        <v>464</v>
      </c>
      <c r="B47" s="41">
        <v>11000</v>
      </c>
      <c r="C47" s="41">
        <v>4425</v>
      </c>
      <c r="D47" s="369">
        <f>((B47)*0.1)/C47</f>
        <v>0.24858757062146894</v>
      </c>
      <c r="AE47" s="367">
        <f t="shared" si="8"/>
        <v>924000000</v>
      </c>
      <c r="AF47" s="158">
        <f t="shared" si="14"/>
        <v>1100</v>
      </c>
      <c r="AG47" s="41">
        <v>44</v>
      </c>
      <c r="AH47" s="41" t="s">
        <v>376</v>
      </c>
      <c r="AI47" s="158">
        <f t="shared" si="9"/>
        <v>4666.756173572021</v>
      </c>
      <c r="AJ47" s="158">
        <f t="shared" si="15"/>
        <v>657.44476798848643</v>
      </c>
      <c r="AK47" s="362">
        <f t="shared" si="16"/>
        <v>4009.3114055835349</v>
      </c>
      <c r="AL47" s="433">
        <f t="shared" si="10"/>
        <v>5.0506019194502398</v>
      </c>
      <c r="AM47" s="382">
        <f t="shared" si="11"/>
        <v>0.71152031167585117</v>
      </c>
      <c r="AN47" s="382">
        <f t="shared" si="12"/>
        <v>4.3390816077743883</v>
      </c>
      <c r="AO47" s="384">
        <f t="shared" si="13"/>
        <v>4.4399904823737977</v>
      </c>
      <c r="BL47" s="2"/>
      <c r="BM47" s="2"/>
    </row>
    <row r="48" spans="1:65" thickBot="1" x14ac:dyDescent="0.3">
      <c r="A48" s="228" t="s">
        <v>407</v>
      </c>
      <c r="B48" s="229">
        <v>2000</v>
      </c>
      <c r="C48" s="229">
        <v>44</v>
      </c>
      <c r="D48" s="374">
        <f>B48/C48</f>
        <v>45.454545454545453</v>
      </c>
      <c r="AE48" s="367">
        <f t="shared" si="8"/>
        <v>945000000</v>
      </c>
      <c r="AF48" s="158">
        <f t="shared" si="14"/>
        <v>1125</v>
      </c>
      <c r="AG48" s="41">
        <v>45</v>
      </c>
      <c r="AH48" s="41" t="s">
        <v>376</v>
      </c>
      <c r="AI48" s="158">
        <f t="shared" si="9"/>
        <v>4759.9959737018708</v>
      </c>
      <c r="AJ48" s="158">
        <f t="shared" si="15"/>
        <v>657.44476798848643</v>
      </c>
      <c r="AK48" s="362">
        <f t="shared" si="16"/>
        <v>4102.5512057133847</v>
      </c>
      <c r="AL48" s="433">
        <f t="shared" si="10"/>
        <v>5.0370327764040956</v>
      </c>
      <c r="AM48" s="382">
        <f t="shared" si="11"/>
        <v>0.69570874919416548</v>
      </c>
      <c r="AN48" s="382">
        <f t="shared" si="12"/>
        <v>4.3413240272099305</v>
      </c>
      <c r="AO48" s="384">
        <f t="shared" si="13"/>
        <v>4.4399904823737977</v>
      </c>
      <c r="BL48" s="2"/>
      <c r="BM48" s="2"/>
    </row>
    <row r="49" spans="1:65" ht="15" customHeight="1" x14ac:dyDescent="0.25">
      <c r="A49" s="103" t="s">
        <v>465</v>
      </c>
      <c r="B49" s="103"/>
      <c r="C49" s="103"/>
      <c r="D49" s="103"/>
      <c r="AE49" s="367">
        <f t="shared" si="8"/>
        <v>966000000</v>
      </c>
      <c r="AF49" s="158">
        <f t="shared" si="14"/>
        <v>1150</v>
      </c>
      <c r="AG49" s="41">
        <v>46</v>
      </c>
      <c r="AH49" s="41" t="s">
        <v>376</v>
      </c>
      <c r="AI49" s="158">
        <f t="shared" si="9"/>
        <v>4853.2357738317205</v>
      </c>
      <c r="AJ49" s="158">
        <f t="shared" si="15"/>
        <v>657.44476798848643</v>
      </c>
      <c r="AK49" s="362">
        <f t="shared" si="16"/>
        <v>4195.7910058432344</v>
      </c>
      <c r="AL49" s="433">
        <f t="shared" si="10"/>
        <v>5.0240535960990904</v>
      </c>
      <c r="AM49" s="382">
        <f t="shared" si="11"/>
        <v>0.68058464595081414</v>
      </c>
      <c r="AN49" s="382">
        <f t="shared" si="12"/>
        <v>4.3434689501482762</v>
      </c>
      <c r="AO49" s="384">
        <f t="shared" si="13"/>
        <v>4.4399904823737977</v>
      </c>
      <c r="BL49" s="2"/>
      <c r="BM49" s="2"/>
    </row>
    <row r="50" spans="1:65" ht="13.8" x14ac:dyDescent="0.25">
      <c r="A50" s="103"/>
      <c r="B50" s="103"/>
      <c r="C50" s="356" t="s">
        <v>408</v>
      </c>
      <c r="D50" s="231">
        <f>SUM(D45:D47)/3</f>
        <v>0.48583699721953683</v>
      </c>
      <c r="AE50" s="367">
        <f t="shared" si="8"/>
        <v>987000000</v>
      </c>
      <c r="AF50" s="158">
        <f t="shared" si="14"/>
        <v>1175</v>
      </c>
      <c r="AG50" s="41">
        <v>47</v>
      </c>
      <c r="AH50" s="41" t="s">
        <v>376</v>
      </c>
      <c r="AI50" s="158">
        <f t="shared" si="9"/>
        <v>4946.4755739615703</v>
      </c>
      <c r="AJ50" s="158">
        <f t="shared" si="15"/>
        <v>657.44476798848643</v>
      </c>
      <c r="AK50" s="362">
        <f t="shared" si="16"/>
        <v>4289.0308059730842</v>
      </c>
      <c r="AL50" s="433">
        <f t="shared" si="10"/>
        <v>5.0116267213389776</v>
      </c>
      <c r="AM50" s="382">
        <f t="shared" si="11"/>
        <v>0.66610412156888188</v>
      </c>
      <c r="AN50" s="382">
        <f t="shared" si="12"/>
        <v>4.3455225997700957</v>
      </c>
      <c r="AO50" s="384">
        <f t="shared" si="13"/>
        <v>4.4399904823737977</v>
      </c>
      <c r="BL50" s="2"/>
      <c r="BM50" s="2"/>
    </row>
    <row r="51" spans="1:65" ht="13.8" x14ac:dyDescent="0.25">
      <c r="A51" s="103"/>
      <c r="B51" s="103"/>
      <c r="C51" s="356" t="s">
        <v>409</v>
      </c>
      <c r="D51" s="231">
        <f>D48</f>
        <v>45.454545454545453</v>
      </c>
      <c r="AE51" s="367">
        <f t="shared" si="8"/>
        <v>1008000000</v>
      </c>
      <c r="AF51" s="158">
        <f t="shared" si="14"/>
        <v>1200</v>
      </c>
      <c r="AG51" s="41">
        <v>48</v>
      </c>
      <c r="AH51" s="41" t="s">
        <v>376</v>
      </c>
      <c r="AI51" s="158">
        <f t="shared" si="9"/>
        <v>5039.71537409142</v>
      </c>
      <c r="AJ51" s="158">
        <f t="shared" si="15"/>
        <v>657.44476798848643</v>
      </c>
      <c r="AK51" s="362">
        <f t="shared" si="16"/>
        <v>4382.2706061029339</v>
      </c>
      <c r="AL51" s="433">
        <f t="shared" si="10"/>
        <v>4.9997176330272026</v>
      </c>
      <c r="AM51" s="382">
        <f t="shared" si="11"/>
        <v>0.65222695236953021</v>
      </c>
      <c r="AN51" s="382">
        <f t="shared" si="12"/>
        <v>4.3474906806576721</v>
      </c>
      <c r="AO51" s="384">
        <f t="shared" si="13"/>
        <v>4.4399904823737977</v>
      </c>
      <c r="BL51" s="2"/>
      <c r="BM51" s="2"/>
    </row>
    <row r="52" spans="1:65" ht="13.8" x14ac:dyDescent="0.25">
      <c r="AE52" s="367">
        <f t="shared" si="8"/>
        <v>1029000000</v>
      </c>
      <c r="AF52" s="158">
        <f t="shared" si="14"/>
        <v>1225</v>
      </c>
      <c r="AG52" s="41">
        <v>49</v>
      </c>
      <c r="AH52" s="41" t="s">
        <v>376</v>
      </c>
      <c r="AI52" s="158">
        <f t="shared" si="9"/>
        <v>5132.9551742212698</v>
      </c>
      <c r="AJ52" s="158">
        <f t="shared" si="15"/>
        <v>657.44476798848643</v>
      </c>
      <c r="AK52" s="362">
        <f t="shared" si="16"/>
        <v>4475.5104062327837</v>
      </c>
      <c r="AL52" s="433">
        <f t="shared" si="10"/>
        <v>4.9882946299526436</v>
      </c>
      <c r="AM52" s="382">
        <f t="shared" si="11"/>
        <v>0.63891619823953982</v>
      </c>
      <c r="AN52" s="382">
        <f t="shared" si="12"/>
        <v>4.3493784317131041</v>
      </c>
      <c r="AO52" s="384">
        <f t="shared" si="13"/>
        <v>4.4399904823737977</v>
      </c>
      <c r="AQ52" s="22"/>
      <c r="BL52" s="2"/>
      <c r="BM52" s="2"/>
    </row>
    <row r="53" spans="1:65" ht="13.8" x14ac:dyDescent="0.25">
      <c r="A53" s="104" t="s">
        <v>418</v>
      </c>
      <c r="AE53" s="367">
        <f t="shared" si="8"/>
        <v>1050000000</v>
      </c>
      <c r="AF53" s="158">
        <f t="shared" si="14"/>
        <v>1250</v>
      </c>
      <c r="AG53" s="41">
        <v>50</v>
      </c>
      <c r="AH53" s="41" t="s">
        <v>376</v>
      </c>
      <c r="AI53" s="158">
        <f t="shared" si="9"/>
        <v>5226.1949743511195</v>
      </c>
      <c r="AJ53" s="158">
        <f t="shared" si="15"/>
        <v>657.44476798848643</v>
      </c>
      <c r="AK53" s="362">
        <f t="shared" si="16"/>
        <v>4568.7502063626334</v>
      </c>
      <c r="AL53" s="433">
        <f t="shared" si="10"/>
        <v>4.9773285470010666</v>
      </c>
      <c r="AM53" s="382">
        <f t="shared" si="11"/>
        <v>0.62613787427474898</v>
      </c>
      <c r="AN53" s="382">
        <f t="shared" si="12"/>
        <v>4.3511906727263172</v>
      </c>
      <c r="AO53" s="384">
        <f t="shared" si="13"/>
        <v>4.4399904823737977</v>
      </c>
      <c r="AQ53" s="22"/>
      <c r="BL53" s="2"/>
      <c r="BM53" s="2"/>
    </row>
    <row r="54" spans="1:65" ht="13.8" x14ac:dyDescent="0.25">
      <c r="A54" s="104" t="s">
        <v>419</v>
      </c>
      <c r="AE54" s="367">
        <f t="shared" si="8"/>
        <v>1071000000</v>
      </c>
      <c r="AF54" s="158">
        <f t="shared" si="14"/>
        <v>1275</v>
      </c>
      <c r="AG54" s="41">
        <v>51</v>
      </c>
      <c r="AH54" s="41" t="s">
        <v>376</v>
      </c>
      <c r="AI54" s="158">
        <f t="shared" si="9"/>
        <v>5319.4347744809693</v>
      </c>
      <c r="AJ54" s="158">
        <f t="shared" si="15"/>
        <v>657.44476798848643</v>
      </c>
      <c r="AK54" s="362">
        <f t="shared" si="16"/>
        <v>4661.9900064924832</v>
      </c>
      <c r="AL54" s="433">
        <f t="shared" si="10"/>
        <v>4.9667925065181793</v>
      </c>
      <c r="AM54" s="382">
        <f t="shared" si="11"/>
        <v>0.61386066105367554</v>
      </c>
      <c r="AN54" s="382">
        <f t="shared" si="12"/>
        <v>4.3529318454645036</v>
      </c>
      <c r="AO54" s="384">
        <f t="shared" si="13"/>
        <v>4.4399904823737977</v>
      </c>
      <c r="AQ54" s="22"/>
      <c r="BL54" s="2"/>
      <c r="BM54" s="2"/>
    </row>
    <row r="55" spans="1:65" ht="13.8" x14ac:dyDescent="0.25">
      <c r="A55" s="104" t="s">
        <v>420</v>
      </c>
      <c r="AE55" s="367">
        <f t="shared" si="8"/>
        <v>1092000000</v>
      </c>
      <c r="AF55" s="158">
        <f t="shared" si="14"/>
        <v>1300</v>
      </c>
      <c r="AG55" s="41">
        <v>52</v>
      </c>
      <c r="AH55" s="41" t="s">
        <v>376</v>
      </c>
      <c r="AI55" s="158">
        <f t="shared" si="9"/>
        <v>5412.674574610819</v>
      </c>
      <c r="AJ55" s="158">
        <f t="shared" si="15"/>
        <v>657.44476798848643</v>
      </c>
      <c r="AK55" s="362">
        <f t="shared" si="16"/>
        <v>4755.2298066223329</v>
      </c>
      <c r="AL55" s="433">
        <f t="shared" si="10"/>
        <v>4.9566616983615557</v>
      </c>
      <c r="AM55" s="382">
        <f t="shared" si="11"/>
        <v>0.60205564834110481</v>
      </c>
      <c r="AN55" s="382">
        <f t="shared" si="12"/>
        <v>4.3546060500204513</v>
      </c>
      <c r="AO55" s="384">
        <f t="shared" si="13"/>
        <v>4.4399904823737977</v>
      </c>
      <c r="AQ55" s="22"/>
      <c r="BL55" s="2"/>
      <c r="BM55" s="2"/>
    </row>
    <row r="56" spans="1:65" ht="13.8" x14ac:dyDescent="0.25">
      <c r="A56" s="104" t="s">
        <v>421</v>
      </c>
      <c r="AE56" s="367">
        <f t="shared" si="8"/>
        <v>1113000000</v>
      </c>
      <c r="AF56" s="158">
        <f t="shared" si="14"/>
        <v>1325</v>
      </c>
      <c r="AG56" s="41">
        <v>53</v>
      </c>
      <c r="AH56" s="41" t="s">
        <v>376</v>
      </c>
      <c r="AI56" s="158">
        <f t="shared" si="9"/>
        <v>5505.9143747406688</v>
      </c>
      <c r="AJ56" s="158">
        <f t="shared" si="15"/>
        <v>657.44476798848643</v>
      </c>
      <c r="AK56" s="362">
        <f t="shared" si="16"/>
        <v>4848.4696067521827</v>
      </c>
      <c r="AL56" s="433">
        <f t="shared" si="10"/>
        <v>4.9469131848523533</v>
      </c>
      <c r="AM56" s="382">
        <f t="shared" si="11"/>
        <v>0.59069610780636694</v>
      </c>
      <c r="AN56" s="382">
        <f t="shared" si="12"/>
        <v>4.3562170770459865</v>
      </c>
      <c r="AO56" s="384">
        <f t="shared" si="13"/>
        <v>4.4399904823737977</v>
      </c>
      <c r="AQ56" s="22"/>
      <c r="BL56" s="2"/>
      <c r="BM56" s="2"/>
    </row>
    <row r="57" spans="1:65" x14ac:dyDescent="0.3">
      <c r="AE57" s="367">
        <f t="shared" si="8"/>
        <v>1134000000</v>
      </c>
      <c r="AF57" s="158">
        <f t="shared" si="14"/>
        <v>1350</v>
      </c>
      <c r="AG57" s="41">
        <v>54</v>
      </c>
      <c r="AH57" s="41" t="s">
        <v>376</v>
      </c>
      <c r="AI57" s="158">
        <f t="shared" si="9"/>
        <v>5599.1541748705185</v>
      </c>
      <c r="AJ57" s="158">
        <f t="shared" si="15"/>
        <v>657.44476798848643</v>
      </c>
      <c r="AK57" s="362">
        <f t="shared" si="16"/>
        <v>4941.7094068820325</v>
      </c>
      <c r="AL57" s="433">
        <f t="shared" si="10"/>
        <v>4.9375257273990467</v>
      </c>
      <c r="AM57" s="382">
        <f t="shared" si="11"/>
        <v>0.57975729099513795</v>
      </c>
      <c r="AN57" s="382">
        <f t="shared" si="12"/>
        <v>4.3577684364039087</v>
      </c>
      <c r="AO57" s="384">
        <f t="shared" si="13"/>
        <v>4.4399904823737977</v>
      </c>
      <c r="AQ57" s="22"/>
      <c r="AW57" s="145"/>
      <c r="AX57" s="145"/>
      <c r="AY57" s="145"/>
      <c r="AZ57" s="145"/>
      <c r="BA57" s="19"/>
      <c r="BB57" s="2"/>
      <c r="BL57" s="2"/>
      <c r="BM57" s="2"/>
    </row>
    <row r="58" spans="1:65" x14ac:dyDescent="0.3">
      <c r="AE58" s="367">
        <f t="shared" si="8"/>
        <v>1155000000</v>
      </c>
      <c r="AF58" s="158">
        <f t="shared" ref="AF58" si="17">AF240</f>
        <v>1375</v>
      </c>
      <c r="AG58" s="41">
        <v>55</v>
      </c>
      <c r="AH58" s="41" t="s">
        <v>376</v>
      </c>
      <c r="AI58" s="158">
        <f t="shared" ref="AI58:AI121" si="18">SUM(AJ58, AK58)</f>
        <v>5692.3939750003683</v>
      </c>
      <c r="AJ58" s="158">
        <f t="shared" ref="AJ58:AJ121" si="19">SUM($AI$368:$AL$368,$BK$368)</f>
        <v>657.44476798848643</v>
      </c>
      <c r="AK58" s="362">
        <f t="shared" si="16"/>
        <v>5034.9492070118822</v>
      </c>
      <c r="AL58" s="433">
        <f t="shared" ref="AL58:AL121" si="20">SUM(AM58:AN58)</f>
        <v>4.9284796320349509</v>
      </c>
      <c r="AM58" s="382">
        <f t="shared" ref="AM58:AM121" si="21">IFERROR(AJ58/AE58,0)*1000000</f>
        <v>0.56921624934068082</v>
      </c>
      <c r="AN58" s="382">
        <f t="shared" ref="AN58:AN121" si="22">IFERROR(AK58/AE58,0)*1000000</f>
        <v>4.3592633826942704</v>
      </c>
      <c r="AO58" s="384">
        <f t="shared" ref="AO58:AO121" si="23">IFERROR((AI58-AI57)/(AE58-AE57),0)*1000000</f>
        <v>4.4399904823737977</v>
      </c>
      <c r="AQ58" s="22"/>
      <c r="AW58" s="145"/>
      <c r="AX58" s="145"/>
      <c r="AY58" s="145"/>
      <c r="AZ58" s="145"/>
      <c r="BA58" s="19"/>
      <c r="BB58" s="2"/>
      <c r="BL58" s="2"/>
      <c r="BM58" s="2"/>
    </row>
    <row r="59" spans="1:65" ht="13.8" x14ac:dyDescent="0.25">
      <c r="AE59" s="367">
        <f t="shared" si="8"/>
        <v>1176000000</v>
      </c>
      <c r="AF59" s="158">
        <f t="shared" ref="AF59" si="24">AF241</f>
        <v>1400</v>
      </c>
      <c r="AG59" s="41">
        <v>56</v>
      </c>
      <c r="AH59" s="41" t="s">
        <v>376</v>
      </c>
      <c r="AI59" s="158">
        <f t="shared" si="18"/>
        <v>5785.6337751302181</v>
      </c>
      <c r="AJ59" s="158">
        <f t="shared" si="19"/>
        <v>657.44476798848643</v>
      </c>
      <c r="AK59" s="362">
        <f t="shared" si="16"/>
        <v>5128.189007141732</v>
      </c>
      <c r="AL59" s="433">
        <f t="shared" si="20"/>
        <v>4.9197566115052878</v>
      </c>
      <c r="AM59" s="382">
        <f t="shared" si="21"/>
        <v>0.55905167345959728</v>
      </c>
      <c r="AN59" s="382">
        <f t="shared" si="22"/>
        <v>4.3607049380456901</v>
      </c>
      <c r="AO59" s="384">
        <f t="shared" si="23"/>
        <v>4.4399904823737977</v>
      </c>
      <c r="AX59" s="2"/>
      <c r="AY59" s="2"/>
      <c r="AZ59" s="2"/>
      <c r="BA59" s="2"/>
      <c r="BB59" s="2"/>
      <c r="BL59" s="2"/>
      <c r="BM59" s="2"/>
    </row>
    <row r="60" spans="1:65" ht="13.8" x14ac:dyDescent="0.25">
      <c r="AE60" s="367">
        <f t="shared" si="8"/>
        <v>1197000000</v>
      </c>
      <c r="AF60" s="158">
        <f t="shared" ref="AF60" si="25">AF242</f>
        <v>1425</v>
      </c>
      <c r="AG60" s="41">
        <v>57</v>
      </c>
      <c r="AH60" s="41" t="s">
        <v>376</v>
      </c>
      <c r="AI60" s="158">
        <f t="shared" si="18"/>
        <v>5878.8735752600678</v>
      </c>
      <c r="AJ60" s="158">
        <f t="shared" si="19"/>
        <v>657.44476798848643</v>
      </c>
      <c r="AK60" s="362">
        <f t="shared" si="16"/>
        <v>5221.4288072715817</v>
      </c>
      <c r="AL60" s="433">
        <f t="shared" si="20"/>
        <v>4.911339661871402</v>
      </c>
      <c r="AM60" s="382">
        <f t="shared" si="21"/>
        <v>0.54924374936381493</v>
      </c>
      <c r="AN60" s="382">
        <f t="shared" si="22"/>
        <v>4.3620959125075869</v>
      </c>
      <c r="AO60" s="384">
        <f t="shared" si="23"/>
        <v>4.4399904823737977</v>
      </c>
      <c r="AX60" s="2"/>
      <c r="AY60" s="2"/>
      <c r="AZ60" s="2"/>
      <c r="BA60" s="2"/>
      <c r="BB60" s="2"/>
      <c r="BL60" s="2"/>
      <c r="BM60" s="2"/>
    </row>
    <row r="61" spans="1:65" ht="13.8" x14ac:dyDescent="0.25">
      <c r="AE61" s="367">
        <f t="shared" si="8"/>
        <v>1218000000</v>
      </c>
      <c r="AF61" s="158">
        <f t="shared" ref="AF61" si="26">AF243</f>
        <v>1450</v>
      </c>
      <c r="AG61" s="41">
        <v>58</v>
      </c>
      <c r="AH61" s="41" t="s">
        <v>376</v>
      </c>
      <c r="AI61" s="158">
        <f t="shared" si="18"/>
        <v>5972.1133753899176</v>
      </c>
      <c r="AJ61" s="158">
        <f t="shared" si="19"/>
        <v>657.44476798848643</v>
      </c>
      <c r="AK61" s="362">
        <f t="shared" si="16"/>
        <v>5314.6686074014315</v>
      </c>
      <c r="AL61" s="433">
        <f t="shared" si="20"/>
        <v>4.9032129518800645</v>
      </c>
      <c r="AM61" s="382">
        <f t="shared" si="21"/>
        <v>0.53977402954719744</v>
      </c>
      <c r="AN61" s="382">
        <f t="shared" si="22"/>
        <v>4.3634389223328673</v>
      </c>
      <c r="AO61" s="384">
        <f t="shared" si="23"/>
        <v>4.4399904823737977</v>
      </c>
      <c r="AX61" s="2"/>
      <c r="AY61" s="2"/>
      <c r="AZ61" s="2"/>
      <c r="BA61" s="2"/>
      <c r="BB61" s="2"/>
      <c r="BL61" s="2"/>
      <c r="BM61" s="2"/>
    </row>
    <row r="62" spans="1:65" ht="13.8" x14ac:dyDescent="0.25">
      <c r="AE62" s="367">
        <f t="shared" si="8"/>
        <v>1239000000</v>
      </c>
      <c r="AF62" s="158">
        <f t="shared" ref="AF62" si="27">AF244</f>
        <v>1475</v>
      </c>
      <c r="AG62" s="41">
        <v>59</v>
      </c>
      <c r="AH62" s="41" t="s">
        <v>376</v>
      </c>
      <c r="AI62" s="158">
        <f t="shared" si="18"/>
        <v>6065.3531755197673</v>
      </c>
      <c r="AJ62" s="158">
        <f t="shared" si="19"/>
        <v>657.44476798848643</v>
      </c>
      <c r="AK62" s="362">
        <f t="shared" si="16"/>
        <v>5407.9084075312812</v>
      </c>
      <c r="AL62" s="433">
        <f t="shared" si="20"/>
        <v>4.8953617235833482</v>
      </c>
      <c r="AM62" s="382">
        <f t="shared" si="21"/>
        <v>0.53062531718199057</v>
      </c>
      <c r="AN62" s="382">
        <f t="shared" si="22"/>
        <v>4.3647364064013576</v>
      </c>
      <c r="AO62" s="384">
        <f t="shared" si="23"/>
        <v>4.4399904823737977</v>
      </c>
      <c r="AX62" s="2"/>
      <c r="AY62" s="2"/>
      <c r="AZ62" s="2"/>
      <c r="BA62" s="2"/>
      <c r="BB62" s="2"/>
      <c r="BL62" s="2"/>
      <c r="BM62" s="2"/>
    </row>
    <row r="63" spans="1:65" ht="13.8" x14ac:dyDescent="0.25">
      <c r="AE63" s="367">
        <f t="shared" si="8"/>
        <v>1260000000</v>
      </c>
      <c r="AF63" s="158">
        <f t="shared" ref="AF63" si="28">AF245</f>
        <v>1500</v>
      </c>
      <c r="AG63" s="41">
        <v>60</v>
      </c>
      <c r="AH63" s="41" t="s">
        <v>376</v>
      </c>
      <c r="AI63" s="158">
        <f t="shared" si="18"/>
        <v>6158.5929756496171</v>
      </c>
      <c r="AJ63" s="158">
        <f t="shared" si="19"/>
        <v>657.44476798848643</v>
      </c>
      <c r="AK63" s="362">
        <f t="shared" si="16"/>
        <v>5501.148207661131</v>
      </c>
      <c r="AL63" s="433">
        <f t="shared" si="20"/>
        <v>4.8877722028965218</v>
      </c>
      <c r="AM63" s="382">
        <f t="shared" si="21"/>
        <v>0.52178156189562408</v>
      </c>
      <c r="AN63" s="382">
        <f t="shared" si="22"/>
        <v>4.3659906410008977</v>
      </c>
      <c r="AO63" s="384">
        <f t="shared" si="23"/>
        <v>4.4399904823737977</v>
      </c>
      <c r="AX63" s="2"/>
      <c r="AY63" s="2"/>
      <c r="AZ63" s="2"/>
      <c r="BA63" s="2"/>
      <c r="BB63" s="2"/>
      <c r="BL63" s="2"/>
      <c r="BM63" s="2"/>
    </row>
    <row r="64" spans="1:65" ht="13.8" x14ac:dyDescent="0.25">
      <c r="AE64" s="367">
        <f t="shared" si="8"/>
        <v>1281000000</v>
      </c>
      <c r="AF64" s="158">
        <f t="shared" ref="AF64" si="29">AF246</f>
        <v>1525</v>
      </c>
      <c r="AG64" s="41">
        <v>61</v>
      </c>
      <c r="AH64" s="41" t="s">
        <v>376</v>
      </c>
      <c r="AI64" s="158">
        <f t="shared" si="18"/>
        <v>6251.8327757794668</v>
      </c>
      <c r="AJ64" s="158">
        <f t="shared" si="19"/>
        <v>657.44476798848643</v>
      </c>
      <c r="AK64" s="362">
        <f t="shared" si="16"/>
        <v>5594.3880077909807</v>
      </c>
      <c r="AL64" s="433">
        <f t="shared" si="20"/>
        <v>4.880431518953527</v>
      </c>
      <c r="AM64" s="382">
        <f t="shared" si="21"/>
        <v>0.51322776579897456</v>
      </c>
      <c r="AN64" s="382">
        <f t="shared" si="22"/>
        <v>4.367203753154552</v>
      </c>
      <c r="AO64" s="384">
        <f t="shared" si="23"/>
        <v>4.4399904823737977</v>
      </c>
      <c r="AX64" s="2"/>
      <c r="AY64" s="2"/>
      <c r="AZ64" s="2"/>
      <c r="BA64" s="2"/>
      <c r="BB64" s="2"/>
      <c r="BL64" s="2"/>
      <c r="BM64" s="2"/>
    </row>
    <row r="65" spans="1:79" ht="13.8" x14ac:dyDescent="0.25">
      <c r="AE65" s="367">
        <f t="shared" si="8"/>
        <v>1302000000</v>
      </c>
      <c r="AF65" s="158">
        <f t="shared" ref="AF65" si="30">AF247</f>
        <v>1550</v>
      </c>
      <c r="AG65" s="41">
        <v>62</v>
      </c>
      <c r="AH65" s="41" t="s">
        <v>376</v>
      </c>
      <c r="AI65" s="158">
        <f t="shared" si="18"/>
        <v>6345.0725759093166</v>
      </c>
      <c r="AJ65" s="158">
        <f t="shared" si="19"/>
        <v>657.44476798848643</v>
      </c>
      <c r="AK65" s="362">
        <f t="shared" si="16"/>
        <v>5687.6278079208305</v>
      </c>
      <c r="AL65" s="433">
        <f t="shared" si="20"/>
        <v>4.8733276312667568</v>
      </c>
      <c r="AM65" s="382">
        <f t="shared" si="21"/>
        <v>0.50494989860866857</v>
      </c>
      <c r="AN65" s="382">
        <f t="shared" si="22"/>
        <v>4.3683777326580886</v>
      </c>
      <c r="AO65" s="384">
        <f t="shared" si="23"/>
        <v>4.4399904823737977</v>
      </c>
      <c r="BL65" s="2"/>
      <c r="BM65" s="2"/>
    </row>
    <row r="66" spans="1:79" ht="13.8" x14ac:dyDescent="0.25">
      <c r="AE66" s="367">
        <f t="shared" si="8"/>
        <v>1323000000</v>
      </c>
      <c r="AF66" s="158">
        <f t="shared" ref="AF66" si="31">AF248</f>
        <v>1575</v>
      </c>
      <c r="AG66" s="41">
        <v>63</v>
      </c>
      <c r="AH66" s="41" t="s">
        <v>376</v>
      </c>
      <c r="AI66" s="158">
        <f t="shared" si="18"/>
        <v>6438.3123760391663</v>
      </c>
      <c r="AJ66" s="158">
        <f t="shared" si="19"/>
        <v>657.44476798848643</v>
      </c>
      <c r="AK66" s="362">
        <f t="shared" si="16"/>
        <v>5780.8676080506802</v>
      </c>
      <c r="AL66" s="433">
        <f t="shared" si="20"/>
        <v>4.8664492638240109</v>
      </c>
      <c r="AM66" s="382">
        <f t="shared" si="21"/>
        <v>0.49693482085297536</v>
      </c>
      <c r="AN66" s="382">
        <f t="shared" si="22"/>
        <v>4.3695144429710355</v>
      </c>
      <c r="AO66" s="384">
        <f t="shared" si="23"/>
        <v>4.4399904823737977</v>
      </c>
      <c r="BL66" s="2"/>
      <c r="BM66" s="2"/>
    </row>
    <row r="67" spans="1:79" ht="13.8" x14ac:dyDescent="0.25">
      <c r="A67" s="2"/>
      <c r="AE67" s="367">
        <f t="shared" si="8"/>
        <v>1344000000</v>
      </c>
      <c r="AF67" s="158">
        <f t="shared" ref="AF67" si="32">AF249</f>
        <v>1600</v>
      </c>
      <c r="AG67" s="41">
        <v>64</v>
      </c>
      <c r="AH67" s="41" t="s">
        <v>376</v>
      </c>
      <c r="AI67" s="158">
        <f t="shared" si="18"/>
        <v>6531.5521761690161</v>
      </c>
      <c r="AJ67" s="158">
        <f t="shared" si="19"/>
        <v>657.44476798848643</v>
      </c>
      <c r="AK67" s="362">
        <f t="shared" si="16"/>
        <v>5874.10740818053</v>
      </c>
      <c r="AL67" s="433">
        <f t="shared" si="20"/>
        <v>4.8597858453638514</v>
      </c>
      <c r="AM67" s="382">
        <f t="shared" si="21"/>
        <v>0.48917021427714769</v>
      </c>
      <c r="AN67" s="382">
        <f t="shared" si="22"/>
        <v>4.3706156310867037</v>
      </c>
      <c r="AO67" s="384">
        <f t="shared" si="23"/>
        <v>4.4399904823737977</v>
      </c>
      <c r="BL67" s="2"/>
      <c r="BM67" s="2"/>
    </row>
    <row r="68" spans="1:79" ht="13.8" x14ac:dyDescent="0.25">
      <c r="A68" s="2"/>
      <c r="AE68" s="367">
        <f t="shared" si="8"/>
        <v>1365000000</v>
      </c>
      <c r="AF68" s="158">
        <f t="shared" ref="AF68" si="33">AF250</f>
        <v>1625</v>
      </c>
      <c r="AG68" s="41">
        <v>65</v>
      </c>
      <c r="AH68" s="41" t="s">
        <v>376</v>
      </c>
      <c r="AI68" s="158">
        <f t="shared" si="18"/>
        <v>6624.7919762988658</v>
      </c>
      <c r="AJ68" s="158">
        <f t="shared" si="19"/>
        <v>657.44476798848643</v>
      </c>
      <c r="AK68" s="362">
        <f t="shared" si="16"/>
        <v>5967.3472083103798</v>
      </c>
      <c r="AL68" s="433">
        <f t="shared" si="20"/>
        <v>4.8533274551640044</v>
      </c>
      <c r="AM68" s="382">
        <f t="shared" si="21"/>
        <v>0.48164451867288383</v>
      </c>
      <c r="AN68" s="382">
        <f t="shared" si="22"/>
        <v>4.3716829364911209</v>
      </c>
      <c r="AO68" s="384">
        <f t="shared" si="23"/>
        <v>4.4399904823737977</v>
      </c>
      <c r="BL68" s="2"/>
      <c r="BM68" s="2"/>
    </row>
    <row r="69" spans="1:79" ht="13.8" x14ac:dyDescent="0.25">
      <c r="A69" s="2"/>
      <c r="AE69" s="367">
        <f t="shared" si="8"/>
        <v>1386000000</v>
      </c>
      <c r="AF69" s="158">
        <f t="shared" ref="AF69" si="34">AF251</f>
        <v>1650</v>
      </c>
      <c r="AG69" s="41">
        <v>66</v>
      </c>
      <c r="AH69" s="41" t="s">
        <v>376</v>
      </c>
      <c r="AI69" s="158">
        <f t="shared" si="18"/>
        <v>6718.0317764287156</v>
      </c>
      <c r="AJ69" s="158">
        <f t="shared" si="19"/>
        <v>657.44476798848643</v>
      </c>
      <c r="AK69" s="362">
        <f t="shared" ref="AK69:AK100" si="35">AK68+SUM(AI433:AJ433,BK433)</f>
        <v>6060.5870084402295</v>
      </c>
      <c r="AL69" s="433">
        <f t="shared" si="20"/>
        <v>4.8470647737580927</v>
      </c>
      <c r="AM69" s="382">
        <f t="shared" si="21"/>
        <v>0.47434687445056745</v>
      </c>
      <c r="AN69" s="382">
        <f t="shared" si="22"/>
        <v>4.3727178993075251</v>
      </c>
      <c r="AO69" s="384">
        <f t="shared" si="23"/>
        <v>4.4399904823737977</v>
      </c>
      <c r="BL69" s="2"/>
      <c r="BM69" s="2"/>
    </row>
    <row r="70" spans="1:79" ht="13.8" x14ac:dyDescent="0.25">
      <c r="A70" s="2"/>
      <c r="AE70" s="367">
        <f t="shared" si="8"/>
        <v>1407000000</v>
      </c>
      <c r="AF70" s="158">
        <f t="shared" ref="AF70" si="36">AF252</f>
        <v>1675</v>
      </c>
      <c r="AG70" s="41">
        <v>67</v>
      </c>
      <c r="AH70" s="41" t="s">
        <v>376</v>
      </c>
      <c r="AI70" s="158">
        <f t="shared" si="18"/>
        <v>6811.2715765585654</v>
      </c>
      <c r="AJ70" s="158">
        <f t="shared" si="19"/>
        <v>657.44476798848643</v>
      </c>
      <c r="AK70" s="362">
        <f t="shared" si="35"/>
        <v>6153.8268085700793</v>
      </c>
      <c r="AL70" s="433">
        <f t="shared" si="20"/>
        <v>4.8409890380657892</v>
      </c>
      <c r="AM70" s="382">
        <f t="shared" si="21"/>
        <v>0.46726707035429033</v>
      </c>
      <c r="AN70" s="382">
        <f t="shared" si="22"/>
        <v>4.3737219677114991</v>
      </c>
      <c r="AO70" s="384">
        <f t="shared" si="23"/>
        <v>4.4399904823737977</v>
      </c>
      <c r="BL70" s="2"/>
      <c r="BM70" s="2"/>
    </row>
    <row r="71" spans="1:79" ht="13.8" x14ac:dyDescent="0.25">
      <c r="AE71" s="367">
        <f t="shared" si="8"/>
        <v>1428000000</v>
      </c>
      <c r="AF71" s="158">
        <f t="shared" ref="AF71" si="37">AF253</f>
        <v>1700</v>
      </c>
      <c r="AG71" s="41">
        <v>68</v>
      </c>
      <c r="AH71" s="41" t="s">
        <v>376</v>
      </c>
      <c r="AI71" s="158">
        <f t="shared" si="18"/>
        <v>6904.5113766884151</v>
      </c>
      <c r="AJ71" s="158">
        <f t="shared" si="19"/>
        <v>657.44476798848643</v>
      </c>
      <c r="AK71" s="362">
        <f t="shared" si="35"/>
        <v>6247.066608699929</v>
      </c>
      <c r="AL71" s="433">
        <f t="shared" si="20"/>
        <v>4.8350920004820841</v>
      </c>
      <c r="AM71" s="382">
        <f t="shared" si="21"/>
        <v>0.46039549579025663</v>
      </c>
      <c r="AN71" s="382">
        <f t="shared" si="22"/>
        <v>4.3746965046918271</v>
      </c>
      <c r="AO71" s="384">
        <f t="shared" si="23"/>
        <v>4.4399904823737977</v>
      </c>
      <c r="BL71" s="2"/>
      <c r="BM71" s="2"/>
    </row>
    <row r="72" spans="1:79" ht="13.8" x14ac:dyDescent="0.25">
      <c r="AE72" s="367">
        <f t="shared" ref="AE72:AE135" si="38">AE71+$AE$4</f>
        <v>1449000000</v>
      </c>
      <c r="AF72" s="158">
        <f t="shared" ref="AF72" si="39">AF254</f>
        <v>1725</v>
      </c>
      <c r="AG72" s="41">
        <v>69</v>
      </c>
      <c r="AH72" s="41" t="s">
        <v>376</v>
      </c>
      <c r="AI72" s="158">
        <f t="shared" si="18"/>
        <v>6997.7511768182649</v>
      </c>
      <c r="AJ72" s="158">
        <f t="shared" si="19"/>
        <v>657.44476798848643</v>
      </c>
      <c r="AK72" s="362">
        <f t="shared" si="35"/>
        <v>6340.3064088297788</v>
      </c>
      <c r="AL72" s="433">
        <f t="shared" si="20"/>
        <v>4.8293658915239925</v>
      </c>
      <c r="AM72" s="382">
        <f t="shared" si="21"/>
        <v>0.45372309730054272</v>
      </c>
      <c r="AN72" s="382">
        <f t="shared" si="22"/>
        <v>4.3756427942234497</v>
      </c>
      <c r="AO72" s="384">
        <f t="shared" si="23"/>
        <v>4.4399904823737977</v>
      </c>
      <c r="BL72" s="2"/>
      <c r="BM72" s="2"/>
    </row>
    <row r="73" spans="1:79" ht="13.8" x14ac:dyDescent="0.25">
      <c r="AE73" s="367">
        <f t="shared" si="38"/>
        <v>1470000000</v>
      </c>
      <c r="AF73" s="158">
        <f t="shared" ref="AF73" si="40">AF255</f>
        <v>1750</v>
      </c>
      <c r="AG73" s="41">
        <v>70</v>
      </c>
      <c r="AH73" s="41" t="s">
        <v>376</v>
      </c>
      <c r="AI73" s="158">
        <f t="shared" si="18"/>
        <v>7090.9909769481146</v>
      </c>
      <c r="AJ73" s="158">
        <f t="shared" si="19"/>
        <v>657.44476798848643</v>
      </c>
      <c r="AK73" s="362">
        <f t="shared" si="35"/>
        <v>6433.5462089596285</v>
      </c>
      <c r="AL73" s="433">
        <f t="shared" si="20"/>
        <v>4.8238033856789899</v>
      </c>
      <c r="AM73" s="382">
        <f t="shared" si="21"/>
        <v>0.44724133876767785</v>
      </c>
      <c r="AN73" s="382">
        <f t="shared" si="22"/>
        <v>4.376562046911312</v>
      </c>
      <c r="AO73" s="384">
        <f t="shared" si="23"/>
        <v>4.4399904823737977</v>
      </c>
      <c r="BL73" s="2"/>
      <c r="BM73" s="2"/>
    </row>
    <row r="74" spans="1:79" ht="13.8" x14ac:dyDescent="0.25">
      <c r="AE74" s="367">
        <f t="shared" si="38"/>
        <v>1491000000</v>
      </c>
      <c r="AF74" s="158">
        <f t="shared" ref="AF74" si="41">AF256</f>
        <v>1775</v>
      </c>
      <c r="AG74" s="41">
        <v>71</v>
      </c>
      <c r="AH74" s="41" t="s">
        <v>376</v>
      </c>
      <c r="AI74" s="158">
        <f t="shared" si="18"/>
        <v>7184.2307770779644</v>
      </c>
      <c r="AJ74" s="158">
        <f t="shared" si="19"/>
        <v>657.44476798848643</v>
      </c>
      <c r="AK74" s="362">
        <f t="shared" si="35"/>
        <v>6526.7860090894783</v>
      </c>
      <c r="AL74" s="433">
        <f t="shared" si="20"/>
        <v>4.8183975701394806</v>
      </c>
      <c r="AM74" s="382">
        <f t="shared" si="21"/>
        <v>0.44094216498221761</v>
      </c>
      <c r="AN74" s="382">
        <f t="shared" si="22"/>
        <v>4.3774554051572627</v>
      </c>
      <c r="AO74" s="384">
        <f t="shared" si="23"/>
        <v>4.4399904823737977</v>
      </c>
      <c r="BL74" s="2"/>
      <c r="BM74" s="2"/>
    </row>
    <row r="75" spans="1:79" x14ac:dyDescent="0.3">
      <c r="D75"/>
      <c r="E75" s="145"/>
      <c r="F75" s="145"/>
      <c r="G75" s="145"/>
      <c r="H75" s="145"/>
      <c r="I75" s="145"/>
      <c r="J75" s="145"/>
      <c r="K75" s="145"/>
      <c r="AE75" s="367">
        <f t="shared" si="38"/>
        <v>1512000000</v>
      </c>
      <c r="AF75" s="158">
        <f t="shared" ref="AF75" si="42">AF257</f>
        <v>1800</v>
      </c>
      <c r="AG75" s="41">
        <v>72</v>
      </c>
      <c r="AH75" s="41" t="s">
        <v>376</v>
      </c>
      <c r="AI75" s="158">
        <f t="shared" si="18"/>
        <v>7277.4705772078141</v>
      </c>
      <c r="AJ75" s="158">
        <f t="shared" si="19"/>
        <v>657.44476798848643</v>
      </c>
      <c r="AK75" s="362">
        <f t="shared" si="35"/>
        <v>6620.025809219328</v>
      </c>
      <c r="AL75" s="433">
        <f t="shared" si="20"/>
        <v>4.813141916142734</v>
      </c>
      <c r="AM75" s="382">
        <f t="shared" si="21"/>
        <v>0.43481796824635344</v>
      </c>
      <c r="AN75" s="382">
        <f t="shared" si="22"/>
        <v>4.3783239478963809</v>
      </c>
      <c r="AO75" s="384">
        <f t="shared" si="23"/>
        <v>4.4399904823737977</v>
      </c>
      <c r="BN75"/>
      <c r="BO75"/>
      <c r="BP75"/>
      <c r="BQ75"/>
      <c r="BR75"/>
      <c r="BS75"/>
      <c r="BT75"/>
      <c r="BU75"/>
      <c r="BV75"/>
      <c r="BW75"/>
      <c r="BX75"/>
      <c r="BY75"/>
      <c r="BZ75"/>
      <c r="CA75"/>
    </row>
    <row r="76" spans="1:79" x14ac:dyDescent="0.3">
      <c r="D76"/>
      <c r="E76" s="145"/>
      <c r="F76" s="145"/>
      <c r="G76" s="145"/>
      <c r="H76" s="145"/>
      <c r="I76" s="145"/>
      <c r="J76" s="145"/>
      <c r="K76" s="145"/>
      <c r="AE76" s="367">
        <f t="shared" si="38"/>
        <v>1533000000</v>
      </c>
      <c r="AF76" s="158">
        <f t="shared" ref="AF76" si="43">AF258</f>
        <v>1825</v>
      </c>
      <c r="AG76" s="41">
        <v>73</v>
      </c>
      <c r="AH76" s="41" t="s">
        <v>376</v>
      </c>
      <c r="AI76" s="158">
        <f t="shared" si="18"/>
        <v>7370.7103773376639</v>
      </c>
      <c r="AJ76" s="158">
        <f t="shared" si="19"/>
        <v>657.44476798848643</v>
      </c>
      <c r="AK76" s="362">
        <f t="shared" si="35"/>
        <v>6713.2656093491778</v>
      </c>
      <c r="AL76" s="433">
        <f t="shared" si="20"/>
        <v>4.8080302526664482</v>
      </c>
      <c r="AM76" s="382">
        <f t="shared" si="21"/>
        <v>0.42886155772243084</v>
      </c>
      <c r="AN76" s="382">
        <f t="shared" si="22"/>
        <v>4.3791686949440169</v>
      </c>
      <c r="AO76" s="384">
        <f t="shared" si="23"/>
        <v>4.4399904823737977</v>
      </c>
      <c r="BN76"/>
      <c r="BO76"/>
      <c r="BP76"/>
      <c r="BQ76"/>
      <c r="BR76"/>
      <c r="BS76"/>
      <c r="BT76"/>
      <c r="BU76"/>
      <c r="BV76"/>
      <c r="BW76"/>
      <c r="BX76"/>
      <c r="BY76"/>
      <c r="BZ76"/>
      <c r="CA76"/>
    </row>
    <row r="77" spans="1:79" x14ac:dyDescent="0.3">
      <c r="D77"/>
      <c r="E77" s="145"/>
      <c r="F77" s="145"/>
      <c r="G77" s="145"/>
      <c r="H77" s="145"/>
      <c r="I77" s="145"/>
      <c r="J77" s="145"/>
      <c r="K77" s="145"/>
      <c r="AE77" s="367">
        <f t="shared" si="38"/>
        <v>1554000000</v>
      </c>
      <c r="AF77" s="158">
        <f t="shared" ref="AF77" si="44">AF259</f>
        <v>1850</v>
      </c>
      <c r="AG77" s="41">
        <v>74</v>
      </c>
      <c r="AH77" s="41" t="s">
        <v>376</v>
      </c>
      <c r="AI77" s="158">
        <f t="shared" si="18"/>
        <v>7463.9501774675136</v>
      </c>
      <c r="AJ77" s="158">
        <f t="shared" si="19"/>
        <v>657.44476798848643</v>
      </c>
      <c r="AK77" s="362">
        <f t="shared" si="35"/>
        <v>6806.5054094790275</v>
      </c>
      <c r="AL77" s="433">
        <f t="shared" si="20"/>
        <v>4.8030567422570876</v>
      </c>
      <c r="AM77" s="382">
        <f t="shared" si="21"/>
        <v>0.42306613126672227</v>
      </c>
      <c r="AN77" s="382">
        <f t="shared" si="22"/>
        <v>4.3799906109903652</v>
      </c>
      <c r="AO77" s="384">
        <f t="shared" si="23"/>
        <v>4.4399904823737977</v>
      </c>
      <c r="BN77"/>
      <c r="BO77"/>
      <c r="BP77"/>
      <c r="BQ77"/>
      <c r="BR77"/>
      <c r="BS77"/>
      <c r="BT77"/>
      <c r="BU77"/>
      <c r="BV77"/>
      <c r="BW77"/>
      <c r="BX77"/>
      <c r="BY77"/>
      <c r="BZ77"/>
      <c r="CA77"/>
    </row>
    <row r="78" spans="1:79" x14ac:dyDescent="0.3">
      <c r="D78"/>
      <c r="E78" s="145"/>
      <c r="F78" s="145"/>
      <c r="G78" s="145"/>
      <c r="H78" s="145"/>
      <c r="I78" s="145"/>
      <c r="J78" s="145"/>
      <c r="K78" s="145"/>
      <c r="AE78" s="367">
        <f t="shared" si="38"/>
        <v>1575000000</v>
      </c>
      <c r="AF78" s="158">
        <f t="shared" ref="AF78" si="45">AF260</f>
        <v>1875</v>
      </c>
      <c r="AG78" s="41">
        <v>75</v>
      </c>
      <c r="AH78" s="41" t="s">
        <v>376</v>
      </c>
      <c r="AI78" s="158">
        <f t="shared" si="18"/>
        <v>7557.1899775973634</v>
      </c>
      <c r="AJ78" s="158">
        <f t="shared" si="19"/>
        <v>657.44476798848643</v>
      </c>
      <c r="AK78" s="362">
        <f t="shared" si="35"/>
        <v>6899.7452096088773</v>
      </c>
      <c r="AL78" s="433">
        <f t="shared" si="20"/>
        <v>4.798215858791977</v>
      </c>
      <c r="AM78" s="382">
        <f t="shared" si="21"/>
        <v>0.41742524951649934</v>
      </c>
      <c r="AN78" s="382">
        <f t="shared" si="22"/>
        <v>4.3807906092754774</v>
      </c>
      <c r="AO78" s="384">
        <f t="shared" si="23"/>
        <v>4.4399904823737977</v>
      </c>
      <c r="BN78"/>
      <c r="BO78"/>
      <c r="BP78"/>
      <c r="BQ78"/>
      <c r="BR78"/>
      <c r="BS78"/>
      <c r="BT78"/>
      <c r="BU78"/>
      <c r="BV78"/>
      <c r="BW78"/>
      <c r="BX78"/>
      <c r="BY78"/>
      <c r="BZ78"/>
      <c r="CA78"/>
    </row>
    <row r="79" spans="1:79" x14ac:dyDescent="0.3">
      <c r="D79"/>
      <c r="E79" s="145"/>
      <c r="F79" s="145"/>
      <c r="G79" s="145"/>
      <c r="H79" s="145"/>
      <c r="I79" s="145"/>
      <c r="J79" s="145"/>
      <c r="K79" s="145"/>
      <c r="AE79" s="367">
        <f t="shared" si="38"/>
        <v>1596000000</v>
      </c>
      <c r="AF79" s="158">
        <f t="shared" ref="AF79" si="46">AF261</f>
        <v>1900</v>
      </c>
      <c r="AG79" s="41">
        <v>76</v>
      </c>
      <c r="AH79" s="41" t="s">
        <v>376</v>
      </c>
      <c r="AI79" s="158">
        <f t="shared" si="18"/>
        <v>7650.4297777272131</v>
      </c>
      <c r="AJ79" s="158">
        <f t="shared" si="19"/>
        <v>657.44476798848643</v>
      </c>
      <c r="AK79" s="362">
        <f t="shared" si="35"/>
        <v>6992.9850097387271</v>
      </c>
      <c r="AL79" s="433">
        <f t="shared" si="20"/>
        <v>4.7935023669970001</v>
      </c>
      <c r="AM79" s="382">
        <f t="shared" si="21"/>
        <v>0.41193281202286114</v>
      </c>
      <c r="AN79" s="382">
        <f t="shared" si="22"/>
        <v>4.3815695549741394</v>
      </c>
      <c r="AO79" s="384">
        <f t="shared" si="23"/>
        <v>4.4399904823737977</v>
      </c>
      <c r="BN79"/>
      <c r="BO79"/>
      <c r="BP79"/>
      <c r="BQ79"/>
      <c r="BR79"/>
      <c r="BS79"/>
      <c r="BT79"/>
      <c r="BU79"/>
      <c r="BV79"/>
      <c r="BW79"/>
      <c r="BX79"/>
      <c r="BY79"/>
      <c r="BZ79"/>
      <c r="CA79"/>
    </row>
    <row r="80" spans="1:79" x14ac:dyDescent="0.3">
      <c r="D80"/>
      <c r="E80" s="145"/>
      <c r="F80" s="145"/>
      <c r="G80" s="145"/>
      <c r="H80" s="145"/>
      <c r="I80" s="145"/>
      <c r="J80" s="145"/>
      <c r="K80" s="145"/>
      <c r="AE80" s="367">
        <f t="shared" si="38"/>
        <v>1617000000</v>
      </c>
      <c r="AF80" s="158">
        <f t="shared" ref="AF80" si="47">AF262</f>
        <v>1925</v>
      </c>
      <c r="AG80" s="41">
        <v>77</v>
      </c>
      <c r="AH80" s="41" t="s">
        <v>376</v>
      </c>
      <c r="AI80" s="158">
        <f t="shared" si="18"/>
        <v>7743.6695778570629</v>
      </c>
      <c r="AJ80" s="158">
        <f t="shared" si="19"/>
        <v>657.44476798848643</v>
      </c>
      <c r="AK80" s="362">
        <f t="shared" si="35"/>
        <v>7086.2248098685768</v>
      </c>
      <c r="AL80" s="433">
        <f t="shared" si="20"/>
        <v>4.7889113035603366</v>
      </c>
      <c r="AM80" s="382">
        <f t="shared" si="21"/>
        <v>0.40658303524334349</v>
      </c>
      <c r="AN80" s="382">
        <f t="shared" si="22"/>
        <v>4.3823282683169928</v>
      </c>
      <c r="AO80" s="384">
        <f t="shared" si="23"/>
        <v>4.4399904823737977</v>
      </c>
      <c r="BN80"/>
      <c r="BO80"/>
      <c r="BP80"/>
      <c r="BQ80"/>
      <c r="BR80"/>
      <c r="BS80"/>
      <c r="BT80"/>
      <c r="BU80"/>
      <c r="BV80"/>
      <c r="BW80"/>
      <c r="BX80"/>
      <c r="BY80"/>
      <c r="BZ80"/>
      <c r="CA80"/>
    </row>
    <row r="81" spans="4:79" x14ac:dyDescent="0.3">
      <c r="D81"/>
      <c r="E81" s="145"/>
      <c r="F81" s="145"/>
      <c r="G81" s="145"/>
      <c r="H81" s="145"/>
      <c r="I81" s="145"/>
      <c r="J81" s="145"/>
      <c r="K81" s="145"/>
      <c r="AE81" s="367">
        <f t="shared" si="38"/>
        <v>1638000000</v>
      </c>
      <c r="AF81" s="158">
        <f t="shared" ref="AF81" si="48">AF263</f>
        <v>1950</v>
      </c>
      <c r="AG81" s="41">
        <v>78</v>
      </c>
      <c r="AH81" s="41" t="s">
        <v>376</v>
      </c>
      <c r="AI81" s="158">
        <f t="shared" si="18"/>
        <v>7836.9093779869127</v>
      </c>
      <c r="AJ81" s="158">
        <f t="shared" si="19"/>
        <v>657.44476798848643</v>
      </c>
      <c r="AK81" s="362">
        <f t="shared" si="35"/>
        <v>7179.4646099984266</v>
      </c>
      <c r="AL81" s="433">
        <f t="shared" si="20"/>
        <v>4.7844379596989706</v>
      </c>
      <c r="AM81" s="382">
        <f t="shared" si="21"/>
        <v>0.40137043222740321</v>
      </c>
      <c r="AN81" s="382">
        <f t="shared" si="22"/>
        <v>4.3830675274715674</v>
      </c>
      <c r="AO81" s="384">
        <f t="shared" si="23"/>
        <v>4.4399904823737977</v>
      </c>
      <c r="BN81"/>
      <c r="BO81"/>
      <c r="BP81"/>
      <c r="BQ81"/>
      <c r="BR81"/>
      <c r="BS81"/>
      <c r="BT81"/>
      <c r="BU81"/>
      <c r="BV81"/>
      <c r="BW81"/>
      <c r="BX81"/>
      <c r="BY81"/>
      <c r="BZ81"/>
      <c r="CA81"/>
    </row>
    <row r="82" spans="4:79" ht="14.4" customHeight="1" x14ac:dyDescent="0.3">
      <c r="D82"/>
      <c r="E82" s="145"/>
      <c r="F82" s="145"/>
      <c r="G82" s="145"/>
      <c r="H82" s="145"/>
      <c r="I82" s="145"/>
      <c r="J82" s="145"/>
      <c r="K82" s="145"/>
      <c r="AE82" s="367">
        <f t="shared" si="38"/>
        <v>1659000000</v>
      </c>
      <c r="AF82" s="158">
        <f t="shared" ref="AF82" si="49">AF264</f>
        <v>1975</v>
      </c>
      <c r="AG82" s="41">
        <v>79</v>
      </c>
      <c r="AH82" s="41" t="s">
        <v>376</v>
      </c>
      <c r="AI82" s="158">
        <f t="shared" si="18"/>
        <v>7930.1491781167624</v>
      </c>
      <c r="AJ82" s="158">
        <f t="shared" si="19"/>
        <v>657.44476798848643</v>
      </c>
      <c r="AK82" s="362">
        <f t="shared" si="35"/>
        <v>7272.7044101282763</v>
      </c>
      <c r="AL82" s="433">
        <f t="shared" si="20"/>
        <v>4.7800778650492841</v>
      </c>
      <c r="AM82" s="382">
        <f t="shared" si="21"/>
        <v>0.3962897938447778</v>
      </c>
      <c r="AN82" s="382">
        <f t="shared" si="22"/>
        <v>4.3837880712045063</v>
      </c>
      <c r="AO82" s="384">
        <f t="shared" si="23"/>
        <v>4.4399904823737977</v>
      </c>
      <c r="BN82"/>
      <c r="BO82"/>
      <c r="BP82"/>
      <c r="BQ82"/>
      <c r="BR82"/>
      <c r="BS82"/>
      <c r="BT82"/>
      <c r="BU82"/>
      <c r="BV82"/>
      <c r="BW82"/>
      <c r="BX82"/>
      <c r="BY82"/>
      <c r="BZ82"/>
      <c r="CA82"/>
    </row>
    <row r="83" spans="4:79" x14ac:dyDescent="0.3">
      <c r="D83"/>
      <c r="E83" s="145"/>
      <c r="F83" s="145"/>
      <c r="G83" s="145"/>
      <c r="H83" s="145"/>
      <c r="I83" s="145"/>
      <c r="J83" s="145"/>
      <c r="K83" s="145"/>
      <c r="AE83" s="367">
        <f t="shared" si="38"/>
        <v>1680000000</v>
      </c>
      <c r="AF83" s="158">
        <f t="shared" ref="AF83" si="50">AF265</f>
        <v>2000</v>
      </c>
      <c r="AG83" s="41">
        <v>80</v>
      </c>
      <c r="AH83" s="41" t="s">
        <v>376</v>
      </c>
      <c r="AI83" s="158">
        <f t="shared" si="18"/>
        <v>8023.3889782466122</v>
      </c>
      <c r="AJ83" s="158">
        <f t="shared" si="19"/>
        <v>657.44476798848643</v>
      </c>
      <c r="AK83" s="362">
        <f t="shared" si="35"/>
        <v>7365.9442102581261</v>
      </c>
      <c r="AL83" s="433">
        <f t="shared" si="20"/>
        <v>4.775826772765841</v>
      </c>
      <c r="AM83" s="382">
        <f t="shared" si="21"/>
        <v>0.39133617142171812</v>
      </c>
      <c r="AN83" s="382">
        <f t="shared" si="22"/>
        <v>4.3844906013441225</v>
      </c>
      <c r="AO83" s="384">
        <f t="shared" si="23"/>
        <v>4.4399904823737977</v>
      </c>
      <c r="BN83"/>
      <c r="BO83"/>
      <c r="BP83"/>
      <c r="BQ83"/>
      <c r="BR83"/>
      <c r="BS83"/>
      <c r="BT83"/>
      <c r="BU83"/>
      <c r="BV83"/>
      <c r="BW83"/>
      <c r="BX83"/>
      <c r="BY83"/>
      <c r="BZ83"/>
      <c r="CA83"/>
    </row>
    <row r="84" spans="4:79" x14ac:dyDescent="0.3">
      <c r="D84"/>
      <c r="E84" s="145"/>
      <c r="F84" s="145"/>
      <c r="G84" s="145"/>
      <c r="H84" s="145"/>
      <c r="I84" s="145"/>
      <c r="J84" s="145"/>
      <c r="K84" s="145"/>
      <c r="AE84" s="367">
        <f t="shared" si="38"/>
        <v>1701000000</v>
      </c>
      <c r="AF84" s="158">
        <f t="shared" ref="AF84" si="51">AF266</f>
        <v>2025</v>
      </c>
      <c r="AG84" s="41">
        <v>81</v>
      </c>
      <c r="AH84" s="41" t="s">
        <v>376</v>
      </c>
      <c r="AI84" s="158">
        <f t="shared" si="18"/>
        <v>8116.6287783764619</v>
      </c>
      <c r="AJ84" s="158">
        <f t="shared" si="19"/>
        <v>657.44476798848643</v>
      </c>
      <c r="AK84" s="362">
        <f t="shared" si="35"/>
        <v>7459.1840103879758</v>
      </c>
      <c r="AL84" s="433">
        <f t="shared" si="20"/>
        <v>4.771680645723964</v>
      </c>
      <c r="AM84" s="382">
        <f t="shared" si="21"/>
        <v>0.38650486066342532</v>
      </c>
      <c r="AN84" s="382">
        <f t="shared" si="22"/>
        <v>4.3851757850605386</v>
      </c>
      <c r="AO84" s="384">
        <f t="shared" si="23"/>
        <v>4.4399904823737977</v>
      </c>
      <c r="BN84"/>
      <c r="BO84"/>
      <c r="BP84"/>
      <c r="BQ84"/>
      <c r="BR84"/>
      <c r="BS84"/>
      <c r="BT84"/>
      <c r="BU84"/>
      <c r="BV84"/>
      <c r="BW84"/>
      <c r="BX84"/>
      <c r="BY84"/>
      <c r="BZ84"/>
      <c r="CA84"/>
    </row>
    <row r="85" spans="4:79" x14ac:dyDescent="0.3">
      <c r="D85"/>
      <c r="E85" s="145"/>
      <c r="F85" s="145"/>
      <c r="G85" s="145"/>
      <c r="H85" s="145"/>
      <c r="I85" s="145"/>
      <c r="J85" s="145"/>
      <c r="K85" s="145"/>
      <c r="AE85" s="367">
        <f t="shared" si="38"/>
        <v>1722000000</v>
      </c>
      <c r="AF85" s="158">
        <f t="shared" ref="AF85" si="52">AF267</f>
        <v>2050</v>
      </c>
      <c r="AG85" s="41">
        <v>82</v>
      </c>
      <c r="AH85" s="41" t="s">
        <v>376</v>
      </c>
      <c r="AI85" s="158">
        <f t="shared" si="18"/>
        <v>8209.8685785063117</v>
      </c>
      <c r="AJ85" s="158">
        <f t="shared" si="19"/>
        <v>657.44476798848643</v>
      </c>
      <c r="AK85" s="362">
        <f t="shared" si="35"/>
        <v>7552.4238105178256</v>
      </c>
      <c r="AL85" s="433">
        <f t="shared" si="20"/>
        <v>4.7676356437318894</v>
      </c>
      <c r="AM85" s="382">
        <f t="shared" si="21"/>
        <v>0.3817913867528957</v>
      </c>
      <c r="AN85" s="382">
        <f t="shared" si="22"/>
        <v>4.3858442569789933</v>
      </c>
      <c r="AO85" s="384">
        <f t="shared" si="23"/>
        <v>4.4399904823737977</v>
      </c>
      <c r="BN85"/>
      <c r="BO85"/>
      <c r="BP85"/>
      <c r="BQ85"/>
      <c r="BR85"/>
      <c r="BS85"/>
      <c r="BT85"/>
      <c r="BU85"/>
      <c r="BV85"/>
      <c r="BW85"/>
      <c r="BX85"/>
      <c r="BY85"/>
      <c r="BZ85"/>
      <c r="CA85"/>
    </row>
    <row r="86" spans="4:79" x14ac:dyDescent="0.3">
      <c r="D86"/>
      <c r="E86" s="145"/>
      <c r="F86" s="145"/>
      <c r="G86" s="145"/>
      <c r="H86" s="145"/>
      <c r="I86" s="145"/>
      <c r="J86" s="145"/>
      <c r="K86" s="145"/>
      <c r="AE86" s="367">
        <f t="shared" si="38"/>
        <v>1743000000</v>
      </c>
      <c r="AF86" s="158">
        <f t="shared" ref="AF86" si="53">AF268</f>
        <v>2075</v>
      </c>
      <c r="AG86" s="41">
        <v>83</v>
      </c>
      <c r="AH86" s="41" t="s">
        <v>376</v>
      </c>
      <c r="AI86" s="158">
        <f t="shared" si="18"/>
        <v>8303.1083786361614</v>
      </c>
      <c r="AJ86" s="158">
        <f t="shared" si="19"/>
        <v>657.44476798848643</v>
      </c>
      <c r="AK86" s="362">
        <f t="shared" si="35"/>
        <v>7645.6636106476753</v>
      </c>
      <c r="AL86" s="433">
        <f t="shared" si="20"/>
        <v>4.7636881116673333</v>
      </c>
      <c r="AM86" s="382">
        <f t="shared" si="21"/>
        <v>0.37719149052695722</v>
      </c>
      <c r="AN86" s="382">
        <f t="shared" si="22"/>
        <v>4.3864966211403758</v>
      </c>
      <c r="AO86" s="384">
        <f t="shared" si="23"/>
        <v>4.4399904823737977</v>
      </c>
      <c r="BN86"/>
      <c r="BO86"/>
      <c r="BP86"/>
      <c r="BQ86"/>
      <c r="BR86"/>
      <c r="BS86"/>
      <c r="BT86"/>
      <c r="BU86"/>
      <c r="BV86"/>
      <c r="BW86"/>
      <c r="BX86"/>
      <c r="BY86"/>
      <c r="BZ86"/>
      <c r="CA86"/>
    </row>
    <row r="87" spans="4:79" x14ac:dyDescent="0.3">
      <c r="D87"/>
      <c r="E87" s="145"/>
      <c r="F87" s="145"/>
      <c r="G87" s="145"/>
      <c r="H87" s="145"/>
      <c r="I87" s="145"/>
      <c r="J87" s="145"/>
      <c r="K87" s="145"/>
      <c r="AE87" s="367">
        <f t="shared" si="38"/>
        <v>1764000000</v>
      </c>
      <c r="AF87" s="158">
        <f t="shared" ref="AF87" si="54">AF269</f>
        <v>2100</v>
      </c>
      <c r="AG87" s="41">
        <v>84</v>
      </c>
      <c r="AH87" s="41" t="s">
        <v>376</v>
      </c>
      <c r="AI87" s="158">
        <f t="shared" si="18"/>
        <v>8396.3481787660112</v>
      </c>
      <c r="AJ87" s="158">
        <f t="shared" si="19"/>
        <v>657.44476798848643</v>
      </c>
      <c r="AK87" s="362">
        <f t="shared" si="35"/>
        <v>7738.9034107775251</v>
      </c>
      <c r="AL87" s="433">
        <f t="shared" si="20"/>
        <v>4.7598345684614571</v>
      </c>
      <c r="AM87" s="382">
        <f t="shared" si="21"/>
        <v>0.37270111563973157</v>
      </c>
      <c r="AN87" s="382">
        <f t="shared" si="22"/>
        <v>4.3871334528217254</v>
      </c>
      <c r="AO87" s="384">
        <f t="shared" si="23"/>
        <v>4.4399904823737977</v>
      </c>
      <c r="BN87"/>
      <c r="BO87"/>
      <c r="BP87"/>
      <c r="BQ87"/>
      <c r="BR87"/>
      <c r="BS87"/>
      <c r="BT87"/>
      <c r="BU87"/>
      <c r="BV87"/>
      <c r="BW87"/>
      <c r="BX87"/>
      <c r="BY87"/>
      <c r="BZ87"/>
      <c r="CA87"/>
    </row>
    <row r="88" spans="4:79" x14ac:dyDescent="0.3">
      <c r="D88"/>
      <c r="E88" s="145"/>
      <c r="F88" s="145"/>
      <c r="G88" s="145"/>
      <c r="H88" s="145"/>
      <c r="I88" s="145"/>
      <c r="J88" s="145"/>
      <c r="K88" s="145"/>
      <c r="AE88" s="367">
        <f t="shared" si="38"/>
        <v>1785000000</v>
      </c>
      <c r="AF88" s="158">
        <f t="shared" ref="AF88" si="55">AF270</f>
        <v>2125</v>
      </c>
      <c r="AG88" s="41">
        <v>85</v>
      </c>
      <c r="AH88" s="41" t="s">
        <v>376</v>
      </c>
      <c r="AI88" s="158">
        <f t="shared" si="18"/>
        <v>8489.5879788958609</v>
      </c>
      <c r="AJ88" s="158">
        <f t="shared" si="19"/>
        <v>657.44476798848643</v>
      </c>
      <c r="AK88" s="362">
        <f t="shared" si="35"/>
        <v>7832.1432109073749</v>
      </c>
      <c r="AL88" s="433">
        <f t="shared" si="20"/>
        <v>4.7560716968604266</v>
      </c>
      <c r="AM88" s="382">
        <f t="shared" si="21"/>
        <v>0.36831639663220528</v>
      </c>
      <c r="AN88" s="382">
        <f t="shared" si="22"/>
        <v>4.3877553002282212</v>
      </c>
      <c r="AO88" s="384">
        <f t="shared" si="23"/>
        <v>4.4399904823737977</v>
      </c>
      <c r="BN88"/>
      <c r="BO88"/>
      <c r="BP88"/>
      <c r="BQ88"/>
      <c r="BR88"/>
      <c r="BS88"/>
      <c r="BT88"/>
      <c r="BU88"/>
      <c r="BV88"/>
      <c r="BW88"/>
      <c r="BX88"/>
      <c r="BY88"/>
      <c r="BZ88"/>
      <c r="CA88"/>
    </row>
    <row r="89" spans="4:79" x14ac:dyDescent="0.3">
      <c r="D89"/>
      <c r="E89" s="145"/>
      <c r="F89" s="145"/>
      <c r="G89" s="145"/>
      <c r="H89" s="145"/>
      <c r="I89" s="145"/>
      <c r="J89" s="145"/>
      <c r="K89" s="145"/>
      <c r="AE89" s="367">
        <f t="shared" si="38"/>
        <v>1806000000</v>
      </c>
      <c r="AF89" s="158">
        <f t="shared" ref="AF89" si="56">AF271</f>
        <v>2150</v>
      </c>
      <c r="AG89" s="41">
        <v>86</v>
      </c>
      <c r="AH89" s="41" t="s">
        <v>376</v>
      </c>
      <c r="AI89" s="158">
        <f t="shared" si="18"/>
        <v>8582.8277790257107</v>
      </c>
      <c r="AJ89" s="158">
        <f t="shared" si="19"/>
        <v>657.44476798848643</v>
      </c>
      <c r="AK89" s="362">
        <f t="shared" si="35"/>
        <v>7925.3830110372246</v>
      </c>
      <c r="AL89" s="433">
        <f t="shared" si="20"/>
        <v>4.7523963339012791</v>
      </c>
      <c r="AM89" s="382">
        <f t="shared" si="21"/>
        <v>0.36403364783415643</v>
      </c>
      <c r="AN89" s="382">
        <f t="shared" si="22"/>
        <v>4.388362686067123</v>
      </c>
      <c r="AO89" s="384">
        <f t="shared" si="23"/>
        <v>4.4399904823737977</v>
      </c>
      <c r="BN89"/>
      <c r="BO89"/>
      <c r="BP89"/>
      <c r="BQ89"/>
      <c r="BR89"/>
      <c r="BS89"/>
      <c r="BT89"/>
      <c r="BU89"/>
      <c r="BV89"/>
      <c r="BW89"/>
      <c r="BX89"/>
      <c r="BY89"/>
      <c r="BZ89"/>
      <c r="CA89"/>
    </row>
    <row r="90" spans="4:79" x14ac:dyDescent="0.3">
      <c r="D90"/>
      <c r="E90" s="145"/>
      <c r="F90" s="145"/>
      <c r="G90" s="145"/>
      <c r="H90" s="145"/>
      <c r="I90" s="145"/>
      <c r="J90" s="145"/>
      <c r="K90" s="145"/>
      <c r="AE90" s="367">
        <f t="shared" si="38"/>
        <v>1827000000</v>
      </c>
      <c r="AF90" s="158">
        <f t="shared" ref="AF90" si="57">AF272</f>
        <v>2175</v>
      </c>
      <c r="AG90" s="41">
        <v>87</v>
      </c>
      <c r="AH90" s="41" t="s">
        <v>376</v>
      </c>
      <c r="AI90" s="158">
        <f t="shared" si="18"/>
        <v>8676.0675791555605</v>
      </c>
      <c r="AJ90" s="158">
        <f t="shared" si="19"/>
        <v>657.44476798848643</v>
      </c>
      <c r="AK90" s="362">
        <f t="shared" si="35"/>
        <v>8018.6228111670744</v>
      </c>
      <c r="AL90" s="433">
        <f t="shared" si="20"/>
        <v>4.7488054620446425</v>
      </c>
      <c r="AM90" s="382">
        <f t="shared" si="21"/>
        <v>0.35984935303146492</v>
      </c>
      <c r="AN90" s="382">
        <f t="shared" si="22"/>
        <v>4.3889561090131775</v>
      </c>
      <c r="AO90" s="384">
        <f t="shared" si="23"/>
        <v>4.4399904823737977</v>
      </c>
      <c r="BN90"/>
      <c r="BO90"/>
      <c r="BP90"/>
      <c r="BQ90"/>
      <c r="BR90"/>
      <c r="BS90"/>
      <c r="BT90"/>
      <c r="BU90"/>
      <c r="BV90"/>
      <c r="BW90"/>
      <c r="BX90"/>
      <c r="BY90"/>
      <c r="BZ90"/>
      <c r="CA90"/>
    </row>
    <row r="91" spans="4:79" x14ac:dyDescent="0.3">
      <c r="D91"/>
      <c r="E91" s="145"/>
      <c r="F91" s="145"/>
      <c r="G91" s="145"/>
      <c r="H91" s="145"/>
      <c r="I91" s="145"/>
      <c r="J91" s="145"/>
      <c r="K91" s="145"/>
      <c r="AE91" s="367">
        <f t="shared" si="38"/>
        <v>1848000000</v>
      </c>
      <c r="AF91" s="158">
        <f t="shared" ref="AF91" si="58">AF273</f>
        <v>2200</v>
      </c>
      <c r="AG91" s="41">
        <v>88</v>
      </c>
      <c r="AH91" s="41" t="s">
        <v>376</v>
      </c>
      <c r="AI91" s="158">
        <f t="shared" si="18"/>
        <v>8769.3073792854102</v>
      </c>
      <c r="AJ91" s="158">
        <f t="shared" si="19"/>
        <v>657.44476798848643</v>
      </c>
      <c r="AK91" s="362">
        <f t="shared" si="35"/>
        <v>8111.8626112969241</v>
      </c>
      <c r="AL91" s="433">
        <f t="shared" si="20"/>
        <v>4.7452962009120183</v>
      </c>
      <c r="AM91" s="382">
        <f t="shared" si="21"/>
        <v>0.35576015583792558</v>
      </c>
      <c r="AN91" s="382">
        <f t="shared" si="22"/>
        <v>4.3895360450740926</v>
      </c>
      <c r="AO91" s="384">
        <f t="shared" si="23"/>
        <v>4.4399904823737977</v>
      </c>
      <c r="BN91"/>
      <c r="BO91"/>
      <c r="BP91"/>
      <c r="BQ91"/>
      <c r="BR91"/>
      <c r="BS91"/>
      <c r="BT91"/>
      <c r="BU91"/>
      <c r="BV91"/>
      <c r="BW91"/>
      <c r="BX91"/>
      <c r="BY91"/>
      <c r="BZ91"/>
      <c r="CA91"/>
    </row>
    <row r="92" spans="4:79" x14ac:dyDescent="0.3">
      <c r="D92"/>
      <c r="E92" s="145"/>
      <c r="F92" s="145"/>
      <c r="G92" s="145"/>
      <c r="H92" s="145"/>
      <c r="I92" s="145"/>
      <c r="J92" s="145"/>
      <c r="K92" s="145"/>
      <c r="AE92" s="367">
        <f t="shared" si="38"/>
        <v>1869000000</v>
      </c>
      <c r="AF92" s="158">
        <f t="shared" ref="AF92" si="59">AF274</f>
        <v>2225</v>
      </c>
      <c r="AG92" s="41">
        <v>89</v>
      </c>
      <c r="AH92" s="41" t="s">
        <v>376</v>
      </c>
      <c r="AI92" s="158">
        <f t="shared" si="18"/>
        <v>8862.54717941526</v>
      </c>
      <c r="AJ92" s="158">
        <f t="shared" si="19"/>
        <v>657.44476798848643</v>
      </c>
      <c r="AK92" s="362">
        <f t="shared" si="35"/>
        <v>8205.102411426773</v>
      </c>
      <c r="AL92" s="433">
        <f t="shared" si="20"/>
        <v>4.7418657995801272</v>
      </c>
      <c r="AM92" s="382">
        <f t="shared" si="21"/>
        <v>0.3517628507161511</v>
      </c>
      <c r="AN92" s="382">
        <f t="shared" si="22"/>
        <v>4.3901029488639765</v>
      </c>
      <c r="AO92" s="384">
        <f t="shared" si="23"/>
        <v>4.4399904823737977</v>
      </c>
      <c r="BN92"/>
      <c r="BO92"/>
      <c r="BP92"/>
      <c r="BQ92"/>
      <c r="BR92"/>
      <c r="BS92"/>
      <c r="BT92"/>
      <c r="BU92"/>
      <c r="BV92"/>
      <c r="BW92"/>
      <c r="BX92"/>
      <c r="BY92"/>
      <c r="BZ92"/>
      <c r="CA92"/>
    </row>
    <row r="93" spans="4:79" x14ac:dyDescent="0.3">
      <c r="D93"/>
      <c r="E93" s="145"/>
      <c r="F93" s="145"/>
      <c r="G93" s="145"/>
      <c r="H93" s="145"/>
      <c r="I93" s="145"/>
      <c r="J93" s="145"/>
      <c r="K93" s="145"/>
      <c r="AE93" s="367">
        <f t="shared" si="38"/>
        <v>1890000000</v>
      </c>
      <c r="AF93" s="158">
        <f t="shared" ref="AF93" si="60">AF275</f>
        <v>2250</v>
      </c>
      <c r="AG93" s="41">
        <v>90</v>
      </c>
      <c r="AH93" s="41" t="s">
        <v>376</v>
      </c>
      <c r="AI93" s="158">
        <f t="shared" si="18"/>
        <v>8955.7869795451097</v>
      </c>
      <c r="AJ93" s="158">
        <f t="shared" si="19"/>
        <v>657.44476798848643</v>
      </c>
      <c r="AK93" s="362">
        <f t="shared" si="35"/>
        <v>8298.3422115566227</v>
      </c>
      <c r="AL93" s="433">
        <f t="shared" si="20"/>
        <v>4.7385116293889462</v>
      </c>
      <c r="AM93" s="382">
        <f t="shared" si="21"/>
        <v>0.34785437459708274</v>
      </c>
      <c r="AN93" s="382">
        <f t="shared" si="22"/>
        <v>4.3906572547918632</v>
      </c>
      <c r="AO93" s="384">
        <f t="shared" si="23"/>
        <v>4.4399904823737977</v>
      </c>
      <c r="BN93"/>
      <c r="BO93"/>
      <c r="BP93"/>
      <c r="BQ93"/>
      <c r="BR93"/>
      <c r="BS93"/>
      <c r="BT93"/>
      <c r="BU93"/>
      <c r="BV93"/>
      <c r="BW93"/>
      <c r="BX93"/>
      <c r="BY93"/>
      <c r="BZ93"/>
      <c r="CA93"/>
    </row>
    <row r="94" spans="4:79" x14ac:dyDescent="0.3">
      <c r="D94"/>
      <c r="E94" s="145"/>
      <c r="F94" s="145"/>
      <c r="G94" s="145"/>
      <c r="H94" s="145"/>
      <c r="I94" s="145"/>
      <c r="J94" s="145"/>
      <c r="K94" s="145"/>
      <c r="AE94" s="367">
        <f t="shared" si="38"/>
        <v>1911000000</v>
      </c>
      <c r="AF94" s="158">
        <f t="shared" ref="AF94" si="61">AF276</f>
        <v>2275</v>
      </c>
      <c r="AG94" s="41">
        <v>91</v>
      </c>
      <c r="AH94" s="41" t="s">
        <v>376</v>
      </c>
      <c r="AI94" s="158">
        <f t="shared" si="18"/>
        <v>9049.0267796749595</v>
      </c>
      <c r="AJ94" s="158">
        <f t="shared" si="19"/>
        <v>657.44476798848643</v>
      </c>
      <c r="AK94" s="362">
        <f t="shared" si="35"/>
        <v>8391.5820116864725</v>
      </c>
      <c r="AL94" s="433">
        <f t="shared" si="20"/>
        <v>4.7352311772239455</v>
      </c>
      <c r="AM94" s="382">
        <f t="shared" si="21"/>
        <v>0.34403179905205988</v>
      </c>
      <c r="AN94" s="382">
        <f t="shared" si="22"/>
        <v>4.3911993781718852</v>
      </c>
      <c r="AO94" s="384">
        <f t="shared" si="23"/>
        <v>4.4399904823737977</v>
      </c>
      <c r="BN94"/>
      <c r="BO94"/>
      <c r="BP94"/>
      <c r="BQ94"/>
      <c r="BR94"/>
      <c r="BS94"/>
      <c r="BT94"/>
      <c r="BU94"/>
      <c r="BV94"/>
      <c r="BW94"/>
      <c r="BX94"/>
      <c r="BY94"/>
      <c r="BZ94"/>
      <c r="CA94"/>
    </row>
    <row r="95" spans="4:79" x14ac:dyDescent="0.3">
      <c r="D95"/>
      <c r="E95" s="145"/>
      <c r="F95" s="145"/>
      <c r="G95" s="145"/>
      <c r="H95" s="145"/>
      <c r="I95" s="145"/>
      <c r="J95" s="145"/>
      <c r="K95" s="145"/>
      <c r="AE95" s="367">
        <f t="shared" si="38"/>
        <v>1932000000</v>
      </c>
      <c r="AF95" s="158">
        <f t="shared" ref="AF95" si="62">AF277</f>
        <v>2300</v>
      </c>
      <c r="AG95" s="41">
        <v>92</v>
      </c>
      <c r="AH95" s="41" t="s">
        <v>376</v>
      </c>
      <c r="AI95" s="158">
        <f t="shared" si="18"/>
        <v>9142.2665798048092</v>
      </c>
      <c r="AJ95" s="158">
        <f t="shared" si="19"/>
        <v>657.44476798848643</v>
      </c>
      <c r="AK95" s="362">
        <f t="shared" si="35"/>
        <v>8484.8218118163222</v>
      </c>
      <c r="AL95" s="433">
        <f t="shared" si="20"/>
        <v>4.732022039236444</v>
      </c>
      <c r="AM95" s="382">
        <f t="shared" si="21"/>
        <v>0.34029232297540707</v>
      </c>
      <c r="AN95" s="382">
        <f t="shared" si="22"/>
        <v>4.3917297162610369</v>
      </c>
      <c r="AO95" s="384">
        <f t="shared" si="23"/>
        <v>4.4399904823737977</v>
      </c>
      <c r="BN95"/>
      <c r="BO95"/>
      <c r="BP95"/>
      <c r="BQ95"/>
      <c r="BR95"/>
      <c r="BS95"/>
      <c r="BT95"/>
      <c r="BU95"/>
      <c r="BV95"/>
      <c r="BW95"/>
      <c r="BX95"/>
      <c r="BY95"/>
      <c r="BZ95"/>
      <c r="CA95"/>
    </row>
    <row r="96" spans="4:79" x14ac:dyDescent="0.3">
      <c r="D96"/>
      <c r="E96" s="145"/>
      <c r="F96" s="145"/>
      <c r="G96" s="145"/>
      <c r="H96" s="145"/>
      <c r="I96" s="145"/>
      <c r="J96" s="145"/>
      <c r="K96" s="145"/>
      <c r="AE96" s="367">
        <f t="shared" si="38"/>
        <v>1953000000</v>
      </c>
      <c r="AF96" s="158">
        <f t="shared" ref="AF96" si="63">AF278</f>
        <v>2325</v>
      </c>
      <c r="AG96" s="41">
        <v>93</v>
      </c>
      <c r="AH96" s="41" t="s">
        <v>376</v>
      </c>
      <c r="AI96" s="158">
        <f t="shared" si="18"/>
        <v>9235.506379934659</v>
      </c>
      <c r="AJ96" s="158">
        <f t="shared" si="19"/>
        <v>657.44476798848643</v>
      </c>
      <c r="AK96" s="362">
        <f t="shared" si="35"/>
        <v>8578.061611946172</v>
      </c>
      <c r="AL96" s="433">
        <f t="shared" si="20"/>
        <v>4.7288819149691026</v>
      </c>
      <c r="AM96" s="382">
        <f t="shared" si="21"/>
        <v>0.3366332657391124</v>
      </c>
      <c r="AN96" s="382">
        <f t="shared" si="22"/>
        <v>4.3922486492299901</v>
      </c>
      <c r="AO96" s="384">
        <f t="shared" si="23"/>
        <v>4.4399904823737977</v>
      </c>
      <c r="BN96"/>
      <c r="BO96"/>
      <c r="BP96"/>
      <c r="BQ96"/>
      <c r="BR96"/>
      <c r="BS96"/>
      <c r="BT96"/>
      <c r="BU96"/>
      <c r="BV96"/>
      <c r="BW96"/>
      <c r="BX96"/>
      <c r="BY96"/>
      <c r="BZ96"/>
      <c r="CA96"/>
    </row>
    <row r="97" spans="4:79" x14ac:dyDescent="0.3">
      <c r="D97"/>
      <c r="E97" s="145"/>
      <c r="F97" s="145"/>
      <c r="G97" s="145"/>
      <c r="H97" s="145"/>
      <c r="I97" s="145"/>
      <c r="J97" s="145"/>
      <c r="K97" s="145"/>
      <c r="AE97" s="367">
        <f t="shared" si="38"/>
        <v>1974000000</v>
      </c>
      <c r="AF97" s="158">
        <f t="shared" ref="AF97" si="64">AF279</f>
        <v>2350</v>
      </c>
      <c r="AG97" s="41">
        <v>94</v>
      </c>
      <c r="AH97" s="41" t="s">
        <v>376</v>
      </c>
      <c r="AI97" s="158">
        <f t="shared" si="18"/>
        <v>9328.7461800645087</v>
      </c>
      <c r="AJ97" s="158">
        <f t="shared" si="19"/>
        <v>657.44476798848643</v>
      </c>
      <c r="AK97" s="362">
        <f t="shared" si="35"/>
        <v>8671.3014120760217</v>
      </c>
      <c r="AL97" s="433">
        <f t="shared" si="20"/>
        <v>4.7258086018563876</v>
      </c>
      <c r="AM97" s="382">
        <f t="shared" si="21"/>
        <v>0.33305206078444094</v>
      </c>
      <c r="AN97" s="382">
        <f t="shared" si="22"/>
        <v>4.3927565410719467</v>
      </c>
      <c r="AO97" s="384">
        <f t="shared" si="23"/>
        <v>4.4399904823737977</v>
      </c>
      <c r="BN97"/>
      <c r="BO97"/>
      <c r="BP97"/>
      <c r="BQ97"/>
      <c r="BR97"/>
      <c r="BS97"/>
      <c r="BT97"/>
      <c r="BU97"/>
      <c r="BV97"/>
      <c r="BW97"/>
      <c r="BX97"/>
      <c r="BY97"/>
      <c r="BZ97"/>
      <c r="CA97"/>
    </row>
    <row r="98" spans="4:79" x14ac:dyDescent="0.3">
      <c r="D98"/>
      <c r="E98" s="145"/>
      <c r="F98" s="145"/>
      <c r="G98" s="145"/>
      <c r="H98" s="145"/>
      <c r="I98" s="145"/>
      <c r="J98" s="145"/>
      <c r="K98" s="145"/>
      <c r="AE98" s="367">
        <f t="shared" si="38"/>
        <v>1995000000</v>
      </c>
      <c r="AF98" s="158">
        <f t="shared" ref="AF98" si="65">AF280</f>
        <v>2375</v>
      </c>
      <c r="AG98" s="41">
        <v>95</v>
      </c>
      <c r="AH98" s="41" t="s">
        <v>376</v>
      </c>
      <c r="AI98" s="158">
        <f t="shared" si="18"/>
        <v>9421.9859801943585</v>
      </c>
      <c r="AJ98" s="158">
        <f t="shared" si="19"/>
        <v>657.44476798848643</v>
      </c>
      <c r="AK98" s="362">
        <f t="shared" si="35"/>
        <v>8764.5412122058715</v>
      </c>
      <c r="AL98" s="433">
        <f t="shared" si="20"/>
        <v>4.7227999900723603</v>
      </c>
      <c r="AM98" s="382">
        <f t="shared" si="21"/>
        <v>0.32954624961828893</v>
      </c>
      <c r="AN98" s="382">
        <f t="shared" si="22"/>
        <v>4.393253740454071</v>
      </c>
      <c r="AO98" s="384">
        <f t="shared" si="23"/>
        <v>4.4399904823737977</v>
      </c>
      <c r="BN98"/>
      <c r="BO98"/>
      <c r="BP98"/>
      <c r="BQ98"/>
      <c r="BR98"/>
      <c r="BS98"/>
      <c r="BT98"/>
      <c r="BU98"/>
      <c r="BV98"/>
      <c r="BW98"/>
      <c r="BX98"/>
      <c r="BY98"/>
      <c r="BZ98"/>
      <c r="CA98"/>
    </row>
    <row r="99" spans="4:79" x14ac:dyDescent="0.3">
      <c r="D99"/>
      <c r="E99" s="145"/>
      <c r="F99" s="145"/>
      <c r="G99" s="145"/>
      <c r="H99" s="145"/>
      <c r="I99" s="145"/>
      <c r="J99" s="145"/>
      <c r="K99" s="145"/>
      <c r="AE99" s="367">
        <f t="shared" si="38"/>
        <v>2016000000</v>
      </c>
      <c r="AF99" s="158">
        <f t="shared" ref="AF99" si="66">AF281</f>
        <v>2400</v>
      </c>
      <c r="AG99" s="41">
        <v>96</v>
      </c>
      <c r="AH99" s="41" t="s">
        <v>376</v>
      </c>
      <c r="AI99" s="158">
        <f t="shared" si="18"/>
        <v>9515.2257803242082</v>
      </c>
      <c r="AJ99" s="158">
        <f t="shared" si="19"/>
        <v>657.44476798848643</v>
      </c>
      <c r="AK99" s="362">
        <f t="shared" si="35"/>
        <v>8857.7810123357212</v>
      </c>
      <c r="AL99" s="433">
        <f t="shared" si="20"/>
        <v>4.7198540577004993</v>
      </c>
      <c r="AM99" s="382">
        <f t="shared" si="21"/>
        <v>0.32611347618476511</v>
      </c>
      <c r="AN99" s="382">
        <f t="shared" si="22"/>
        <v>4.3937405815157344</v>
      </c>
      <c r="AO99" s="384">
        <f t="shared" si="23"/>
        <v>4.4399904823737977</v>
      </c>
      <c r="BN99"/>
      <c r="BO99"/>
      <c r="BP99"/>
      <c r="BQ99"/>
      <c r="BR99"/>
      <c r="BS99"/>
      <c r="BT99"/>
      <c r="BU99"/>
      <c r="BV99"/>
      <c r="BW99"/>
      <c r="BX99"/>
      <c r="BY99"/>
      <c r="BZ99"/>
      <c r="CA99"/>
    </row>
    <row r="100" spans="4:79" x14ac:dyDescent="0.3">
      <c r="D100"/>
      <c r="E100" s="145"/>
      <c r="F100" s="145"/>
      <c r="G100" s="145"/>
      <c r="H100" s="145"/>
      <c r="I100" s="145"/>
      <c r="J100" s="145"/>
      <c r="K100" s="145"/>
      <c r="AE100" s="367">
        <f t="shared" si="38"/>
        <v>2037000000</v>
      </c>
      <c r="AF100" s="158">
        <f t="shared" ref="AF100" si="67">AF282</f>
        <v>2425</v>
      </c>
      <c r="AG100" s="41">
        <v>97</v>
      </c>
      <c r="AH100" s="41" t="s">
        <v>376</v>
      </c>
      <c r="AI100" s="158">
        <f t="shared" si="18"/>
        <v>9608.465580454058</v>
      </c>
      <c r="AJ100" s="158">
        <f t="shared" si="19"/>
        <v>657.44476798848643</v>
      </c>
      <c r="AK100" s="362">
        <f t="shared" si="35"/>
        <v>8951.020812465571</v>
      </c>
      <c r="AL100" s="433">
        <f t="shared" si="20"/>
        <v>4.7169688662022864</v>
      </c>
      <c r="AM100" s="382">
        <f t="shared" si="21"/>
        <v>0.32275148158492217</v>
      </c>
      <c r="AN100" s="382">
        <f t="shared" si="22"/>
        <v>4.394217384617364</v>
      </c>
      <c r="AO100" s="384">
        <f t="shared" si="23"/>
        <v>4.4399904823737977</v>
      </c>
      <c r="BN100"/>
      <c r="BO100"/>
      <c r="BP100"/>
      <c r="BQ100"/>
      <c r="BR100"/>
      <c r="BS100"/>
      <c r="BT100"/>
      <c r="BU100"/>
      <c r="BV100"/>
      <c r="BW100"/>
      <c r="BX100"/>
      <c r="BY100"/>
      <c r="BZ100"/>
      <c r="CA100"/>
    </row>
    <row r="101" spans="4:79" x14ac:dyDescent="0.3">
      <c r="D101"/>
      <c r="E101" s="145"/>
      <c r="F101" s="145"/>
      <c r="G101" s="145"/>
      <c r="H101" s="145"/>
      <c r="I101" s="145"/>
      <c r="J101" s="145"/>
      <c r="K101" s="145"/>
      <c r="AE101" s="367">
        <f t="shared" si="38"/>
        <v>2058000000</v>
      </c>
      <c r="AF101" s="158">
        <f t="shared" ref="AF101" si="68">AF283</f>
        <v>2450</v>
      </c>
      <c r="AG101" s="41">
        <v>98</v>
      </c>
      <c r="AH101" s="41" t="s">
        <v>376</v>
      </c>
      <c r="AI101" s="158">
        <f t="shared" si="18"/>
        <v>9701.7053805839078</v>
      </c>
      <c r="AJ101" s="158">
        <f t="shared" si="19"/>
        <v>657.44476798848643</v>
      </c>
      <c r="AK101" s="362">
        <f t="shared" ref="AK101:AK132" si="69">AK100+SUM(AI465:AJ465,BK465)</f>
        <v>9044.2606125954208</v>
      </c>
      <c r="AL101" s="433">
        <f t="shared" si="20"/>
        <v>4.7141425561632211</v>
      </c>
      <c r="AM101" s="382">
        <f t="shared" si="21"/>
        <v>0.31945809911976991</v>
      </c>
      <c r="AN101" s="382">
        <f t="shared" si="22"/>
        <v>4.3946844570434509</v>
      </c>
      <c r="AO101" s="384">
        <f t="shared" si="23"/>
        <v>4.4399904823737977</v>
      </c>
      <c r="BN101"/>
      <c r="BO101"/>
      <c r="BP101"/>
      <c r="BQ101"/>
      <c r="BR101"/>
      <c r="BS101"/>
      <c r="BT101"/>
      <c r="BU101"/>
      <c r="BV101"/>
      <c r="BW101"/>
      <c r="BX101"/>
      <c r="BY101"/>
      <c r="BZ101"/>
      <c r="CA101"/>
    </row>
    <row r="102" spans="4:79" x14ac:dyDescent="0.3">
      <c r="D102"/>
      <c r="E102" s="145"/>
      <c r="F102" s="145"/>
      <c r="G102" s="145"/>
      <c r="H102" s="145"/>
      <c r="I102" s="145"/>
      <c r="J102" s="145"/>
      <c r="K102" s="145"/>
      <c r="AE102" s="367">
        <f t="shared" si="38"/>
        <v>2079000000</v>
      </c>
      <c r="AF102" s="158">
        <f t="shared" ref="AF102" si="70">AF284</f>
        <v>2475</v>
      </c>
      <c r="AG102" s="41">
        <v>99</v>
      </c>
      <c r="AH102" s="41" t="s">
        <v>376</v>
      </c>
      <c r="AI102" s="158">
        <f t="shared" si="18"/>
        <v>9794.9451807137575</v>
      </c>
      <c r="AJ102" s="158">
        <f t="shared" si="19"/>
        <v>657.44476798848643</v>
      </c>
      <c r="AK102" s="362">
        <f t="shared" si="69"/>
        <v>9137.5004127252705</v>
      </c>
      <c r="AL102" s="433">
        <f t="shared" si="20"/>
        <v>4.7113733432966605</v>
      </c>
      <c r="AM102" s="382">
        <f t="shared" si="21"/>
        <v>0.31623124963371163</v>
      </c>
      <c r="AN102" s="382">
        <f t="shared" si="22"/>
        <v>4.3951420936629484</v>
      </c>
      <c r="AO102" s="384">
        <f t="shared" si="23"/>
        <v>4.4399904823737977</v>
      </c>
      <c r="BN102"/>
      <c r="BO102"/>
      <c r="BP102"/>
      <c r="BQ102"/>
      <c r="BR102"/>
      <c r="BS102"/>
      <c r="BT102"/>
      <c r="BU102"/>
      <c r="BV102"/>
      <c r="BW102"/>
      <c r="BX102"/>
      <c r="BY102"/>
      <c r="BZ102"/>
      <c r="CA102"/>
    </row>
    <row r="103" spans="4:79" x14ac:dyDescent="0.3">
      <c r="D103"/>
      <c r="E103" s="145"/>
      <c r="F103" s="145"/>
      <c r="G103" s="145"/>
      <c r="H103" s="145"/>
      <c r="I103" s="145"/>
      <c r="J103" s="145"/>
      <c r="K103" s="145"/>
      <c r="AE103" s="367">
        <f t="shared" si="38"/>
        <v>2100000000</v>
      </c>
      <c r="AF103" s="158">
        <f t="shared" ref="AF103" si="71">AF285</f>
        <v>2500</v>
      </c>
      <c r="AG103" s="41">
        <v>100</v>
      </c>
      <c r="AH103" s="41" t="s">
        <v>376</v>
      </c>
      <c r="AI103" s="158">
        <f t="shared" si="18"/>
        <v>9888.1849808436073</v>
      </c>
      <c r="AJ103" s="158">
        <f t="shared" si="19"/>
        <v>657.44476798848643</v>
      </c>
      <c r="AK103" s="362">
        <f t="shared" si="69"/>
        <v>9230.7402128551203</v>
      </c>
      <c r="AL103" s="433">
        <f t="shared" si="20"/>
        <v>4.7086595146874313</v>
      </c>
      <c r="AM103" s="382">
        <f t="shared" si="21"/>
        <v>0.31306893713737449</v>
      </c>
      <c r="AN103" s="382">
        <f t="shared" si="22"/>
        <v>4.395590577550057</v>
      </c>
      <c r="AO103" s="384">
        <f t="shared" si="23"/>
        <v>4.4399904823737977</v>
      </c>
      <c r="BN103"/>
      <c r="BO103"/>
      <c r="BP103"/>
      <c r="BQ103"/>
      <c r="BR103"/>
      <c r="BS103"/>
      <c r="BT103"/>
      <c r="BU103"/>
      <c r="BV103"/>
      <c r="BW103"/>
      <c r="BX103"/>
      <c r="BY103"/>
      <c r="BZ103"/>
      <c r="CA103"/>
    </row>
    <row r="104" spans="4:79" x14ac:dyDescent="0.3">
      <c r="D104"/>
      <c r="E104" s="145"/>
      <c r="F104" s="145"/>
      <c r="G104" s="145"/>
      <c r="H104" s="145"/>
      <c r="I104" s="145"/>
      <c r="J104" s="145"/>
      <c r="K104" s="145"/>
      <c r="AE104" s="367">
        <f t="shared" si="38"/>
        <v>2121000000</v>
      </c>
      <c r="AF104" s="158">
        <f t="shared" ref="AF104" si="72">AF286</f>
        <v>2525</v>
      </c>
      <c r="AG104" s="41">
        <v>101</v>
      </c>
      <c r="AH104" s="41" t="s">
        <v>376</v>
      </c>
      <c r="AI104" s="158">
        <f t="shared" si="18"/>
        <v>9981.424780973457</v>
      </c>
      <c r="AJ104" s="158">
        <f t="shared" si="19"/>
        <v>657.44476798848643</v>
      </c>
      <c r="AK104" s="362">
        <f t="shared" si="69"/>
        <v>9323.98001298497</v>
      </c>
      <c r="AL104" s="433">
        <f t="shared" si="20"/>
        <v>4.7059994252585833</v>
      </c>
      <c r="AM104" s="382">
        <f t="shared" si="21"/>
        <v>0.30996924469046977</v>
      </c>
      <c r="AN104" s="382">
        <f t="shared" si="22"/>
        <v>4.3960301805681139</v>
      </c>
      <c r="AO104" s="384">
        <f t="shared" si="23"/>
        <v>4.4399904823737977</v>
      </c>
      <c r="BN104"/>
      <c r="BO104"/>
      <c r="BP104"/>
      <c r="BQ104"/>
      <c r="BR104"/>
      <c r="BS104"/>
      <c r="BT104"/>
      <c r="BU104"/>
      <c r="BV104"/>
      <c r="BW104"/>
      <c r="BX104"/>
      <c r="BY104"/>
      <c r="BZ104"/>
      <c r="CA104"/>
    </row>
    <row r="105" spans="4:79" x14ac:dyDescent="0.3">
      <c r="D105"/>
      <c r="E105" s="145"/>
      <c r="F105" s="145"/>
      <c r="G105" s="145"/>
      <c r="H105" s="145"/>
      <c r="I105" s="145"/>
      <c r="J105" s="145"/>
      <c r="K105" s="145"/>
      <c r="AE105" s="367">
        <f t="shared" si="38"/>
        <v>2142000000</v>
      </c>
      <c r="AF105" s="158">
        <f t="shared" ref="AF105" si="73">AF287</f>
        <v>2550</v>
      </c>
      <c r="AG105" s="41">
        <v>102</v>
      </c>
      <c r="AH105" s="41" t="s">
        <v>376</v>
      </c>
      <c r="AI105" s="158">
        <f t="shared" si="18"/>
        <v>10074.664581103307</v>
      </c>
      <c r="AJ105" s="158">
        <f t="shared" si="19"/>
        <v>657.44476798848643</v>
      </c>
      <c r="AK105" s="362">
        <f t="shared" si="69"/>
        <v>9417.2198131148198</v>
      </c>
      <c r="AL105" s="433">
        <f t="shared" si="20"/>
        <v>4.7033914944459871</v>
      </c>
      <c r="AM105" s="382">
        <f t="shared" si="21"/>
        <v>0.30693033052683777</v>
      </c>
      <c r="AN105" s="382">
        <f t="shared" si="22"/>
        <v>4.3964611639191498</v>
      </c>
      <c r="AO105" s="384">
        <f t="shared" si="23"/>
        <v>4.4399904823737977</v>
      </c>
      <c r="BN105"/>
      <c r="BO105"/>
      <c r="BP105"/>
      <c r="BQ105"/>
      <c r="BR105"/>
      <c r="BS105"/>
      <c r="BT105"/>
      <c r="BU105"/>
      <c r="BV105"/>
      <c r="BW105"/>
      <c r="BX105"/>
      <c r="BY105"/>
      <c r="BZ105"/>
      <c r="CA105"/>
    </row>
    <row r="106" spans="4:79" x14ac:dyDescent="0.3">
      <c r="D106"/>
      <c r="E106" s="145"/>
      <c r="F106" s="145"/>
      <c r="G106" s="145"/>
      <c r="H106" s="145"/>
      <c r="I106" s="145"/>
      <c r="J106" s="145"/>
      <c r="K106" s="145"/>
      <c r="AE106" s="367">
        <f t="shared" si="38"/>
        <v>2163000000</v>
      </c>
      <c r="AF106" s="158">
        <f t="shared" ref="AF106" si="74">AF288</f>
        <v>2575</v>
      </c>
      <c r="AG106" s="41">
        <v>103</v>
      </c>
      <c r="AH106" s="41" t="s">
        <v>376</v>
      </c>
      <c r="AI106" s="158">
        <f t="shared" si="18"/>
        <v>10167.904381233157</v>
      </c>
      <c r="AJ106" s="158">
        <f t="shared" si="19"/>
        <v>657.44476798848643</v>
      </c>
      <c r="AK106" s="362">
        <f t="shared" si="69"/>
        <v>9510.4596132446695</v>
      </c>
      <c r="AL106" s="433">
        <f t="shared" si="20"/>
        <v>4.7008342030666466</v>
      </c>
      <c r="AM106" s="382">
        <f t="shared" si="21"/>
        <v>0.30395042440521791</v>
      </c>
      <c r="AN106" s="382">
        <f t="shared" si="22"/>
        <v>4.3968837786614285</v>
      </c>
      <c r="AO106" s="384">
        <f t="shared" si="23"/>
        <v>4.4399904823737977</v>
      </c>
      <c r="BN106"/>
      <c r="BO106"/>
      <c r="BP106"/>
      <c r="BQ106"/>
      <c r="BR106"/>
      <c r="BS106"/>
      <c r="BT106"/>
      <c r="BU106"/>
      <c r="BV106"/>
      <c r="BW106"/>
      <c r="BX106"/>
      <c r="BY106"/>
      <c r="BZ106"/>
      <c r="CA106"/>
    </row>
    <row r="107" spans="4:79" x14ac:dyDescent="0.3">
      <c r="D107"/>
      <c r="E107" s="145"/>
      <c r="F107" s="145"/>
      <c r="G107" s="145"/>
      <c r="H107" s="145"/>
      <c r="I107" s="145"/>
      <c r="J107" s="145"/>
      <c r="K107" s="145"/>
      <c r="AE107" s="367">
        <f t="shared" si="38"/>
        <v>2184000000</v>
      </c>
      <c r="AF107" s="158">
        <f t="shared" ref="AF107" si="75">AF289</f>
        <v>2600</v>
      </c>
      <c r="AG107" s="41">
        <v>104</v>
      </c>
      <c r="AH107" s="41" t="s">
        <v>376</v>
      </c>
      <c r="AI107" s="158">
        <f t="shared" si="18"/>
        <v>10261.144181363006</v>
      </c>
      <c r="AJ107" s="158">
        <f t="shared" si="19"/>
        <v>657.44476798848643</v>
      </c>
      <c r="AK107" s="362">
        <f t="shared" si="69"/>
        <v>9603.6994133745193</v>
      </c>
      <c r="AL107" s="433">
        <f t="shared" si="20"/>
        <v>4.6983260903676776</v>
      </c>
      <c r="AM107" s="382">
        <f t="shared" si="21"/>
        <v>0.3010278241705524</v>
      </c>
      <c r="AN107" s="382">
        <f t="shared" si="22"/>
        <v>4.3972982661971249</v>
      </c>
      <c r="AO107" s="384">
        <f t="shared" si="23"/>
        <v>4.4399904823737977</v>
      </c>
      <c r="BN107"/>
      <c r="BO107"/>
      <c r="BP107"/>
      <c r="BQ107"/>
      <c r="BR107"/>
      <c r="BS107"/>
      <c r="BT107"/>
      <c r="BU107"/>
      <c r="BV107"/>
      <c r="BW107"/>
      <c r="BX107"/>
      <c r="BY107"/>
      <c r="BZ107"/>
      <c r="CA107"/>
    </row>
    <row r="108" spans="4:79" x14ac:dyDescent="0.3">
      <c r="D108"/>
      <c r="E108" s="145"/>
      <c r="F108" s="145"/>
      <c r="G108" s="145"/>
      <c r="H108" s="145"/>
      <c r="I108" s="145"/>
      <c r="J108" s="145"/>
      <c r="K108" s="145"/>
      <c r="AE108" s="367">
        <f t="shared" si="38"/>
        <v>2205000000</v>
      </c>
      <c r="AF108" s="158">
        <f t="shared" ref="AF108" si="76">AF290</f>
        <v>2625</v>
      </c>
      <c r="AG108" s="41">
        <v>105</v>
      </c>
      <c r="AH108" s="41" t="s">
        <v>376</v>
      </c>
      <c r="AI108" s="158">
        <f t="shared" si="18"/>
        <v>10354.383981492856</v>
      </c>
      <c r="AJ108" s="158">
        <f t="shared" si="19"/>
        <v>657.44476798848643</v>
      </c>
      <c r="AK108" s="362">
        <f t="shared" si="69"/>
        <v>9696.939213504369</v>
      </c>
      <c r="AL108" s="433">
        <f t="shared" si="20"/>
        <v>4.6958657512439261</v>
      </c>
      <c r="AM108" s="382">
        <f t="shared" si="21"/>
        <v>0.29816089251178524</v>
      </c>
      <c r="AN108" s="382">
        <f t="shared" si="22"/>
        <v>4.3977048587321406</v>
      </c>
      <c r="AO108" s="384">
        <f t="shared" si="23"/>
        <v>4.4399904823737977</v>
      </c>
      <c r="BN108"/>
      <c r="BO108"/>
      <c r="BP108"/>
      <c r="BQ108"/>
      <c r="BR108"/>
      <c r="BS108"/>
      <c r="BT108"/>
      <c r="BU108"/>
      <c r="BV108"/>
      <c r="BW108"/>
      <c r="BX108"/>
      <c r="BY108"/>
      <c r="BZ108"/>
      <c r="CA108"/>
    </row>
    <row r="109" spans="4:79" x14ac:dyDescent="0.3">
      <c r="D109"/>
      <c r="E109" s="145"/>
      <c r="F109" s="145"/>
      <c r="G109" s="145"/>
      <c r="H109" s="145"/>
      <c r="I109" s="145"/>
      <c r="J109" s="145"/>
      <c r="K109" s="145"/>
      <c r="AE109" s="367">
        <f t="shared" si="38"/>
        <v>2226000000</v>
      </c>
      <c r="AF109" s="158">
        <f t="shared" ref="AF109" si="77">AF291</f>
        <v>2650</v>
      </c>
      <c r="AG109" s="41">
        <v>106</v>
      </c>
      <c r="AH109" s="41" t="s">
        <v>376</v>
      </c>
      <c r="AI109" s="158">
        <f t="shared" si="18"/>
        <v>10447.623781622706</v>
      </c>
      <c r="AJ109" s="158">
        <f t="shared" si="19"/>
        <v>657.44476798848643</v>
      </c>
      <c r="AK109" s="362">
        <f t="shared" si="69"/>
        <v>9790.1790136342188</v>
      </c>
      <c r="AL109" s="433">
        <f t="shared" si="20"/>
        <v>4.6934518336130751</v>
      </c>
      <c r="AM109" s="382">
        <f t="shared" si="21"/>
        <v>0.29534805390318347</v>
      </c>
      <c r="AN109" s="382">
        <f t="shared" si="22"/>
        <v>4.3981037797098912</v>
      </c>
      <c r="AO109" s="384">
        <f t="shared" si="23"/>
        <v>4.4399904823737977</v>
      </c>
      <c r="BN109"/>
      <c r="BO109"/>
      <c r="BP109"/>
      <c r="BQ109"/>
      <c r="BR109"/>
      <c r="BS109"/>
      <c r="BT109"/>
      <c r="BU109"/>
      <c r="BV109"/>
      <c r="BW109"/>
      <c r="BX109"/>
      <c r="BY109"/>
      <c r="BZ109"/>
      <c r="CA109"/>
    </row>
    <row r="110" spans="4:79" x14ac:dyDescent="0.3">
      <c r="D110"/>
      <c r="E110" s="145"/>
      <c r="F110" s="145"/>
      <c r="G110" s="145"/>
      <c r="H110" s="145"/>
      <c r="I110" s="145"/>
      <c r="J110" s="145"/>
      <c r="K110" s="145"/>
      <c r="AE110" s="367">
        <f t="shared" si="38"/>
        <v>2247000000</v>
      </c>
      <c r="AF110" s="158">
        <f t="shared" ref="AF110" si="78">AF292</f>
        <v>2675</v>
      </c>
      <c r="AG110" s="41">
        <v>107</v>
      </c>
      <c r="AH110" s="41" t="s">
        <v>376</v>
      </c>
      <c r="AI110" s="158">
        <f t="shared" si="18"/>
        <v>10540.863581752556</v>
      </c>
      <c r="AJ110" s="158">
        <f t="shared" si="19"/>
        <v>657.44476798848643</v>
      </c>
      <c r="AK110" s="362">
        <f t="shared" si="69"/>
        <v>9883.4188137640685</v>
      </c>
      <c r="AL110" s="433">
        <f t="shared" si="20"/>
        <v>4.6910830359379414</v>
      </c>
      <c r="AM110" s="382">
        <f t="shared" si="21"/>
        <v>0.29258779171717242</v>
      </c>
      <c r="AN110" s="382">
        <f t="shared" si="22"/>
        <v>4.3984952442207694</v>
      </c>
      <c r="AO110" s="384">
        <f t="shared" si="23"/>
        <v>4.4399904823737977</v>
      </c>
      <c r="BN110"/>
      <c r="BO110"/>
      <c r="BP110"/>
      <c r="BQ110"/>
      <c r="BR110"/>
      <c r="BS110"/>
      <c r="BT110"/>
      <c r="BU110"/>
      <c r="BV110"/>
      <c r="BW110"/>
      <c r="BX110"/>
      <c r="BY110"/>
      <c r="BZ110"/>
      <c r="CA110"/>
    </row>
    <row r="111" spans="4:79" x14ac:dyDescent="0.3">
      <c r="D111"/>
      <c r="E111" s="145"/>
      <c r="F111" s="145"/>
      <c r="G111" s="145"/>
      <c r="H111" s="145"/>
      <c r="I111" s="145"/>
      <c r="J111" s="145"/>
      <c r="K111" s="145"/>
      <c r="AE111" s="367">
        <f t="shared" si="38"/>
        <v>2268000000</v>
      </c>
      <c r="AF111" s="158">
        <f t="shared" ref="AF111" si="79">AF293</f>
        <v>2700</v>
      </c>
      <c r="AG111" s="41">
        <v>108</v>
      </c>
      <c r="AH111" s="41" t="s">
        <v>376</v>
      </c>
      <c r="AI111" s="158">
        <f t="shared" si="18"/>
        <v>10634.103381882405</v>
      </c>
      <c r="AJ111" s="158">
        <f t="shared" si="19"/>
        <v>657.44476798848643</v>
      </c>
      <c r="AK111" s="362">
        <f t="shared" si="69"/>
        <v>9976.6586138939183</v>
      </c>
      <c r="AL111" s="433">
        <f t="shared" si="20"/>
        <v>4.6887581048864222</v>
      </c>
      <c r="AM111" s="382">
        <f t="shared" si="21"/>
        <v>0.28987864549756898</v>
      </c>
      <c r="AN111" s="382">
        <f t="shared" si="22"/>
        <v>4.3988794593888532</v>
      </c>
      <c r="AO111" s="384">
        <f t="shared" si="23"/>
        <v>4.4399904823737977</v>
      </c>
      <c r="BN111"/>
      <c r="BO111"/>
      <c r="BP111"/>
      <c r="BQ111"/>
      <c r="BR111"/>
      <c r="BS111"/>
      <c r="BT111"/>
      <c r="BU111"/>
      <c r="BV111"/>
      <c r="BW111"/>
      <c r="BX111"/>
      <c r="BY111"/>
      <c r="BZ111"/>
      <c r="CA111"/>
    </row>
    <row r="112" spans="4:79" x14ac:dyDescent="0.3">
      <c r="D112"/>
      <c r="E112" s="145"/>
      <c r="F112" s="145"/>
      <c r="G112" s="145"/>
      <c r="H112" s="145"/>
      <c r="I112" s="145"/>
      <c r="J112" s="145"/>
      <c r="K112" s="145"/>
      <c r="AE112" s="367">
        <f t="shared" si="38"/>
        <v>2289000000</v>
      </c>
      <c r="AF112" s="158">
        <f t="shared" ref="AF112" si="80">AF294</f>
        <v>2725</v>
      </c>
      <c r="AG112" s="41">
        <v>109</v>
      </c>
      <c r="AH112" s="41" t="s">
        <v>376</v>
      </c>
      <c r="AI112" s="158">
        <f t="shared" si="18"/>
        <v>10727.343182012255</v>
      </c>
      <c r="AJ112" s="158">
        <f t="shared" si="19"/>
        <v>657.44476798848643</v>
      </c>
      <c r="AK112" s="362">
        <f t="shared" si="69"/>
        <v>10069.898414023768</v>
      </c>
      <c r="AL112" s="433">
        <f t="shared" si="20"/>
        <v>4.6864758331202507</v>
      </c>
      <c r="AM112" s="382">
        <f t="shared" si="21"/>
        <v>0.28721920838291243</v>
      </c>
      <c r="AN112" s="382">
        <f t="shared" si="22"/>
        <v>4.3992566247373386</v>
      </c>
      <c r="AO112" s="384">
        <f t="shared" si="23"/>
        <v>4.4399904823737977</v>
      </c>
      <c r="BN112"/>
      <c r="BO112"/>
      <c r="BP112"/>
      <c r="BQ112"/>
      <c r="BR112"/>
      <c r="BS112"/>
      <c r="BT112"/>
      <c r="BU112"/>
      <c r="BV112"/>
      <c r="BW112"/>
      <c r="BX112"/>
      <c r="BY112"/>
      <c r="BZ112"/>
      <c r="CA112"/>
    </row>
    <row r="113" spans="4:79" x14ac:dyDescent="0.3">
      <c r="D113"/>
      <c r="E113" s="145"/>
      <c r="F113" s="145"/>
      <c r="G113" s="145"/>
      <c r="H113" s="145"/>
      <c r="I113" s="145"/>
      <c r="J113" s="145"/>
      <c r="K113" s="145"/>
      <c r="AE113" s="367">
        <f t="shared" si="38"/>
        <v>2310000000</v>
      </c>
      <c r="AF113" s="158">
        <f t="shared" ref="AF113" si="81">AF295</f>
        <v>2750</v>
      </c>
      <c r="AG113" s="41">
        <v>110</v>
      </c>
      <c r="AH113" s="41" t="s">
        <v>376</v>
      </c>
      <c r="AI113" s="158">
        <f t="shared" si="18"/>
        <v>10820.582982142105</v>
      </c>
      <c r="AJ113" s="158">
        <f t="shared" si="19"/>
        <v>657.44476798848643</v>
      </c>
      <c r="AK113" s="362">
        <f t="shared" si="69"/>
        <v>10163.138214153618</v>
      </c>
      <c r="AL113" s="433">
        <f t="shared" si="20"/>
        <v>4.6842350572043738</v>
      </c>
      <c r="AM113" s="382">
        <f t="shared" si="21"/>
        <v>0.28460812467034041</v>
      </c>
      <c r="AN113" s="382">
        <f t="shared" si="22"/>
        <v>4.3996269325340336</v>
      </c>
      <c r="AO113" s="384">
        <f t="shared" si="23"/>
        <v>4.4399904823737977</v>
      </c>
      <c r="BN113"/>
      <c r="BO113"/>
      <c r="BP113"/>
      <c r="BQ113"/>
      <c r="BR113"/>
      <c r="BS113"/>
      <c r="BT113"/>
      <c r="BU113"/>
      <c r="BV113"/>
      <c r="BW113"/>
      <c r="BX113"/>
      <c r="BY113"/>
      <c r="BZ113"/>
      <c r="CA113"/>
    </row>
    <row r="114" spans="4:79" x14ac:dyDescent="0.3">
      <c r="D114"/>
      <c r="E114" s="145"/>
      <c r="F114" s="145"/>
      <c r="G114" s="145"/>
      <c r="H114" s="145"/>
      <c r="I114" s="145"/>
      <c r="J114" s="145"/>
      <c r="K114" s="145"/>
      <c r="AE114" s="367">
        <f t="shared" si="38"/>
        <v>2331000000</v>
      </c>
      <c r="AF114" s="158">
        <f t="shared" ref="AF114" si="82">AF296</f>
        <v>2775</v>
      </c>
      <c r="AG114" s="41">
        <v>111</v>
      </c>
      <c r="AH114" s="41" t="s">
        <v>376</v>
      </c>
      <c r="AI114" s="158">
        <f t="shared" si="18"/>
        <v>10913.822782271955</v>
      </c>
      <c r="AJ114" s="158">
        <f t="shared" si="19"/>
        <v>657.44476798848643</v>
      </c>
      <c r="AK114" s="362">
        <f t="shared" si="69"/>
        <v>10256.378014283468</v>
      </c>
      <c r="AL114" s="433">
        <f t="shared" si="20"/>
        <v>4.682034655629324</v>
      </c>
      <c r="AM114" s="382">
        <f t="shared" si="21"/>
        <v>0.28204408751114818</v>
      </c>
      <c r="AN114" s="382">
        <f t="shared" si="22"/>
        <v>4.3999905681181755</v>
      </c>
      <c r="AO114" s="384">
        <f t="shared" si="23"/>
        <v>4.4399904823737977</v>
      </c>
      <c r="BN114"/>
      <c r="BO114"/>
      <c r="BP114"/>
      <c r="BQ114"/>
      <c r="BR114"/>
      <c r="BS114"/>
      <c r="BT114"/>
      <c r="BU114"/>
      <c r="BV114"/>
      <c r="BW114"/>
      <c r="BX114"/>
      <c r="BY114"/>
      <c r="BZ114"/>
      <c r="CA114"/>
    </row>
    <row r="115" spans="4:79" x14ac:dyDescent="0.3">
      <c r="D115"/>
      <c r="E115" s="145"/>
      <c r="F115" s="145"/>
      <c r="G115" s="145"/>
      <c r="H115" s="145"/>
      <c r="I115" s="145"/>
      <c r="J115" s="145"/>
      <c r="K115" s="145"/>
      <c r="AE115" s="367">
        <f t="shared" si="38"/>
        <v>2352000000</v>
      </c>
      <c r="AF115" s="158">
        <f t="shared" ref="AF115" si="83">AF297</f>
        <v>2800</v>
      </c>
      <c r="AG115" s="41">
        <v>112</v>
      </c>
      <c r="AH115" s="41" t="s">
        <v>376</v>
      </c>
      <c r="AI115" s="158">
        <f t="shared" si="18"/>
        <v>11007.062582401804</v>
      </c>
      <c r="AJ115" s="158">
        <f t="shared" si="19"/>
        <v>657.44476798848643</v>
      </c>
      <c r="AK115" s="362">
        <f t="shared" si="69"/>
        <v>10349.617814413317</v>
      </c>
      <c r="AL115" s="433">
        <f t="shared" si="20"/>
        <v>4.6798735469395423</v>
      </c>
      <c r="AM115" s="382">
        <f t="shared" si="21"/>
        <v>0.27952583672979864</v>
      </c>
      <c r="AN115" s="382">
        <f t="shared" si="22"/>
        <v>4.4003477102097435</v>
      </c>
      <c r="AO115" s="384">
        <f t="shared" si="23"/>
        <v>4.4399904823737977</v>
      </c>
      <c r="BN115"/>
      <c r="BO115"/>
      <c r="BP115"/>
      <c r="BQ115"/>
      <c r="BR115"/>
      <c r="BS115"/>
      <c r="BT115"/>
      <c r="BU115"/>
      <c r="BV115"/>
      <c r="BW115"/>
      <c r="BX115"/>
      <c r="BY115"/>
      <c r="BZ115"/>
      <c r="CA115"/>
    </row>
    <row r="116" spans="4:79" x14ac:dyDescent="0.3">
      <c r="D116"/>
      <c r="E116" s="145"/>
      <c r="F116" s="145"/>
      <c r="G116" s="145"/>
      <c r="H116" s="145"/>
      <c r="I116" s="145"/>
      <c r="J116" s="145"/>
      <c r="K116" s="145"/>
      <c r="AE116" s="367">
        <f t="shared" si="38"/>
        <v>2373000000</v>
      </c>
      <c r="AF116" s="158">
        <f t="shared" ref="AF116" si="84">AF298</f>
        <v>2825</v>
      </c>
      <c r="AG116" s="41">
        <v>113</v>
      </c>
      <c r="AH116" s="41" t="s">
        <v>376</v>
      </c>
      <c r="AI116" s="158">
        <f t="shared" si="18"/>
        <v>11100.302382531654</v>
      </c>
      <c r="AJ116" s="158">
        <f t="shared" si="19"/>
        <v>657.44476798848643</v>
      </c>
      <c r="AK116" s="362">
        <f t="shared" si="69"/>
        <v>10442.857614543167</v>
      </c>
      <c r="AL116" s="433">
        <f t="shared" si="20"/>
        <v>4.6777506879610851</v>
      </c>
      <c r="AM116" s="382">
        <f t="shared" si="21"/>
        <v>0.27705215675873851</v>
      </c>
      <c r="AN116" s="382">
        <f t="shared" si="22"/>
        <v>4.4006985312023463</v>
      </c>
      <c r="AO116" s="384">
        <f t="shared" si="23"/>
        <v>4.4399904823737977</v>
      </c>
      <c r="BN116"/>
      <c r="BO116"/>
      <c r="BP116"/>
      <c r="BQ116"/>
      <c r="BR116"/>
      <c r="BS116"/>
      <c r="BT116"/>
      <c r="BU116"/>
      <c r="BV116"/>
      <c r="BW116"/>
      <c r="BX116"/>
      <c r="BY116"/>
      <c r="BZ116"/>
      <c r="CA116"/>
    </row>
    <row r="117" spans="4:79" x14ac:dyDescent="0.3">
      <c r="D117"/>
      <c r="E117" s="145"/>
      <c r="F117" s="145"/>
      <c r="G117" s="145"/>
      <c r="H117" s="145"/>
      <c r="I117" s="145"/>
      <c r="J117" s="145"/>
      <c r="K117" s="145"/>
      <c r="AE117" s="367">
        <f t="shared" si="38"/>
        <v>2394000000</v>
      </c>
      <c r="AF117" s="158">
        <f t="shared" ref="AF117" si="85">AF299</f>
        <v>2850</v>
      </c>
      <c r="AG117" s="41">
        <v>114</v>
      </c>
      <c r="AH117" s="41" t="s">
        <v>376</v>
      </c>
      <c r="AI117" s="158">
        <f t="shared" si="18"/>
        <v>11193.542182661504</v>
      </c>
      <c r="AJ117" s="158">
        <f t="shared" si="19"/>
        <v>657.44476798848643</v>
      </c>
      <c r="AK117" s="362">
        <f t="shared" si="69"/>
        <v>10536.097414673017</v>
      </c>
      <c r="AL117" s="433">
        <f t="shared" si="20"/>
        <v>4.6756650721225999</v>
      </c>
      <c r="AM117" s="382">
        <f t="shared" si="21"/>
        <v>0.27462187468190746</v>
      </c>
      <c r="AN117" s="382">
        <f t="shared" si="22"/>
        <v>4.4010431974406927</v>
      </c>
      <c r="AO117" s="384">
        <f t="shared" si="23"/>
        <v>4.4399904823737977</v>
      </c>
      <c r="BN117"/>
      <c r="BO117"/>
      <c r="BP117"/>
      <c r="BQ117"/>
      <c r="BR117"/>
      <c r="BS117"/>
      <c r="BT117"/>
      <c r="BU117"/>
      <c r="BV117"/>
      <c r="BW117"/>
      <c r="BX117"/>
      <c r="BY117"/>
      <c r="BZ117"/>
      <c r="CA117"/>
    </row>
    <row r="118" spans="4:79" x14ac:dyDescent="0.3">
      <c r="D118"/>
      <c r="E118" s="145"/>
      <c r="F118" s="145"/>
      <c r="G118" s="145"/>
      <c r="H118" s="145"/>
      <c r="I118" s="145"/>
      <c r="J118" s="145"/>
      <c r="K118" s="145"/>
      <c r="AE118" s="367">
        <f t="shared" si="38"/>
        <v>2415000000</v>
      </c>
      <c r="AF118" s="158">
        <f t="shared" ref="AF118" si="86">AF300</f>
        <v>2875</v>
      </c>
      <c r="AG118" s="41">
        <v>115</v>
      </c>
      <c r="AH118" s="41" t="s">
        <v>376</v>
      </c>
      <c r="AI118" s="158">
        <f t="shared" si="18"/>
        <v>11286.781982791354</v>
      </c>
      <c r="AJ118" s="158">
        <f t="shared" si="19"/>
        <v>657.44476798848643</v>
      </c>
      <c r="AK118" s="362">
        <f t="shared" si="69"/>
        <v>10629.337214802867</v>
      </c>
      <c r="AL118" s="433">
        <f t="shared" si="20"/>
        <v>4.6736157278639148</v>
      </c>
      <c r="AM118" s="382">
        <f t="shared" si="21"/>
        <v>0.27223385838032566</v>
      </c>
      <c r="AN118" s="382">
        <f t="shared" si="22"/>
        <v>4.4013818694835889</v>
      </c>
      <c r="AO118" s="384">
        <f t="shared" si="23"/>
        <v>4.4399904823737977</v>
      </c>
      <c r="BN118"/>
      <c r="BO118"/>
      <c r="BP118"/>
      <c r="BQ118"/>
      <c r="BR118"/>
      <c r="BS118"/>
      <c r="BT118"/>
      <c r="BU118"/>
      <c r="BV118"/>
      <c r="BW118"/>
      <c r="BX118"/>
      <c r="BY118"/>
      <c r="BZ118"/>
      <c r="CA118"/>
    </row>
    <row r="119" spans="4:79" x14ac:dyDescent="0.3">
      <c r="D119"/>
      <c r="E119" s="145"/>
      <c r="F119" s="145"/>
      <c r="G119" s="145"/>
      <c r="H119" s="145"/>
      <c r="I119" s="145"/>
      <c r="J119" s="145"/>
      <c r="K119" s="145"/>
      <c r="AE119" s="367">
        <f t="shared" si="38"/>
        <v>2436000000</v>
      </c>
      <c r="AF119" s="158">
        <f t="shared" ref="AF119" si="87">AF301</f>
        <v>2900</v>
      </c>
      <c r="AG119" s="41">
        <v>116</v>
      </c>
      <c r="AH119" s="41" t="s">
        <v>376</v>
      </c>
      <c r="AI119" s="158">
        <f t="shared" si="18"/>
        <v>11380.021782921203</v>
      </c>
      <c r="AJ119" s="158">
        <f t="shared" si="19"/>
        <v>657.44476798848643</v>
      </c>
      <c r="AK119" s="362">
        <f t="shared" si="69"/>
        <v>10722.577014932716</v>
      </c>
      <c r="AL119" s="433">
        <f t="shared" si="20"/>
        <v>4.6716017171269311</v>
      </c>
      <c r="AM119" s="382">
        <f t="shared" si="21"/>
        <v>0.26988701477359872</v>
      </c>
      <c r="AN119" s="382">
        <f t="shared" si="22"/>
        <v>4.4017147023533321</v>
      </c>
      <c r="AO119" s="384">
        <f t="shared" si="23"/>
        <v>4.4399904823737977</v>
      </c>
      <c r="BN119"/>
      <c r="BO119"/>
      <c r="BP119"/>
      <c r="BQ119"/>
      <c r="BR119"/>
      <c r="BS119"/>
      <c r="BT119"/>
      <c r="BU119"/>
      <c r="BV119"/>
      <c r="BW119"/>
      <c r="BX119"/>
      <c r="BY119"/>
      <c r="BZ119"/>
      <c r="CA119"/>
    </row>
    <row r="120" spans="4:79" x14ac:dyDescent="0.3">
      <c r="D120"/>
      <c r="E120" s="145"/>
      <c r="F120" s="145"/>
      <c r="G120" s="145"/>
      <c r="H120" s="145"/>
      <c r="I120" s="145"/>
      <c r="J120" s="145"/>
      <c r="K120" s="145"/>
      <c r="AE120" s="367">
        <f t="shared" si="38"/>
        <v>2457000000</v>
      </c>
      <c r="AF120" s="158">
        <f t="shared" ref="AF120" si="88">AF302</f>
        <v>2925</v>
      </c>
      <c r="AG120" s="41">
        <v>117</v>
      </c>
      <c r="AH120" s="41" t="s">
        <v>376</v>
      </c>
      <c r="AI120" s="158">
        <f t="shared" si="18"/>
        <v>11473.261583051053</v>
      </c>
      <c r="AJ120" s="158">
        <f t="shared" si="19"/>
        <v>657.44476798848643</v>
      </c>
      <c r="AK120" s="362">
        <f t="shared" si="69"/>
        <v>10815.816815062566</v>
      </c>
      <c r="AL120" s="433">
        <f t="shared" si="20"/>
        <v>4.6696221339239115</v>
      </c>
      <c r="AM120" s="382">
        <f t="shared" si="21"/>
        <v>0.26758028815160212</v>
      </c>
      <c r="AN120" s="382">
        <f t="shared" si="22"/>
        <v>4.4020418457723096</v>
      </c>
      <c r="AO120" s="384">
        <f t="shared" si="23"/>
        <v>4.4399904823737977</v>
      </c>
      <c r="BN120"/>
      <c r="BO120"/>
      <c r="BP120"/>
      <c r="BQ120"/>
      <c r="BR120"/>
      <c r="BS120"/>
      <c r="BT120"/>
      <c r="BU120"/>
      <c r="BV120"/>
      <c r="BW120"/>
      <c r="BX120"/>
      <c r="BY120"/>
      <c r="BZ120"/>
      <c r="CA120"/>
    </row>
    <row r="121" spans="4:79" x14ac:dyDescent="0.3">
      <c r="D121"/>
      <c r="E121" s="145"/>
      <c r="F121" s="145"/>
      <c r="G121" s="145"/>
      <c r="H121" s="145"/>
      <c r="I121" s="145"/>
      <c r="J121" s="145"/>
      <c r="K121" s="145"/>
      <c r="AE121" s="367">
        <f t="shared" si="38"/>
        <v>2478000000</v>
      </c>
      <c r="AF121" s="158">
        <f t="shared" ref="AF121" si="89">AF303</f>
        <v>2950</v>
      </c>
      <c r="AG121" s="41">
        <v>118</v>
      </c>
      <c r="AH121" s="41" t="s">
        <v>376</v>
      </c>
      <c r="AI121" s="158">
        <f t="shared" si="18"/>
        <v>11566.501383180903</v>
      </c>
      <c r="AJ121" s="158">
        <f t="shared" si="19"/>
        <v>657.44476798848643</v>
      </c>
      <c r="AK121" s="362">
        <f t="shared" si="69"/>
        <v>10909.056615192416</v>
      </c>
      <c r="AL121" s="433">
        <f t="shared" si="20"/>
        <v>4.6676761029785734</v>
      </c>
      <c r="AM121" s="382">
        <f t="shared" si="21"/>
        <v>0.26531265859099529</v>
      </c>
      <c r="AN121" s="382">
        <f t="shared" si="22"/>
        <v>4.4023634443875777</v>
      </c>
      <c r="AO121" s="384">
        <f t="shared" si="23"/>
        <v>4.4399904823737977</v>
      </c>
      <c r="BN121"/>
      <c r="BO121"/>
      <c r="BP121"/>
      <c r="BQ121"/>
      <c r="BR121"/>
      <c r="BS121"/>
      <c r="BT121"/>
      <c r="BU121"/>
      <c r="BV121"/>
      <c r="BW121"/>
      <c r="BX121"/>
      <c r="BY121"/>
      <c r="BZ121"/>
      <c r="CA121"/>
    </row>
    <row r="122" spans="4:79" x14ac:dyDescent="0.3">
      <c r="D122"/>
      <c r="E122" s="145"/>
      <c r="F122" s="145"/>
      <c r="G122" s="145"/>
      <c r="H122" s="145"/>
      <c r="I122" s="145"/>
      <c r="J122" s="145"/>
      <c r="K122" s="145"/>
      <c r="AE122" s="367">
        <f t="shared" si="38"/>
        <v>2499000000</v>
      </c>
      <c r="AF122" s="158">
        <f t="shared" ref="AF122" si="90">AF304</f>
        <v>2975</v>
      </c>
      <c r="AG122" s="41">
        <v>119</v>
      </c>
      <c r="AH122" s="41" t="s">
        <v>376</v>
      </c>
      <c r="AI122" s="158">
        <f t="shared" ref="AI122:AI180" si="91">SUM(AJ122, AK122)</f>
        <v>11659.741183310753</v>
      </c>
      <c r="AJ122" s="158">
        <f t="shared" ref="AJ122:AJ153" si="92">SUM($AI$368:$AL$368,$BK$368)</f>
        <v>657.44476798848643</v>
      </c>
      <c r="AK122" s="362">
        <f t="shared" si="69"/>
        <v>11002.296415322266</v>
      </c>
      <c r="AL122" s="433">
        <f t="shared" ref="AL122:AL180" si="93">SUM(AM122:AN122)</f>
        <v>4.6657627784356741</v>
      </c>
      <c r="AM122" s="382">
        <f t="shared" ref="AM122:AM180" si="94">IFERROR(AJ122/AE122,0)*1000000</f>
        <v>0.26308314045157516</v>
      </c>
      <c r="AN122" s="382">
        <f t="shared" ref="AN122:AN180" si="95">IFERROR(AK122/AE122,0)*1000000</f>
        <v>4.4026796379840993</v>
      </c>
      <c r="AO122" s="384">
        <f t="shared" ref="AO122:AO180" si="96">IFERROR((AI122-AI121)/(AE122-AE121),0)*1000000</f>
        <v>4.4399904823737977</v>
      </c>
      <c r="BN122"/>
      <c r="BO122"/>
      <c r="BP122"/>
      <c r="BQ122"/>
      <c r="BR122"/>
      <c r="BS122"/>
      <c r="BT122"/>
      <c r="BU122"/>
      <c r="BV122"/>
      <c r="BW122"/>
      <c r="BX122"/>
      <c r="BY122"/>
      <c r="BZ122"/>
      <c r="CA122"/>
    </row>
    <row r="123" spans="4:79" x14ac:dyDescent="0.3">
      <c r="D123"/>
      <c r="E123" s="145"/>
      <c r="F123" s="145"/>
      <c r="G123" s="145"/>
      <c r="H123" s="145"/>
      <c r="I123" s="145"/>
      <c r="J123" s="145"/>
      <c r="K123" s="145"/>
      <c r="AE123" s="367">
        <f t="shared" si="38"/>
        <v>2520000000</v>
      </c>
      <c r="AF123" s="158">
        <f t="shared" ref="AF123" si="97">AF305</f>
        <v>3000</v>
      </c>
      <c r="AG123" s="41">
        <v>120</v>
      </c>
      <c r="AH123" s="41" t="s">
        <v>376</v>
      </c>
      <c r="AI123" s="158">
        <f t="shared" si="91"/>
        <v>11752.980983440602</v>
      </c>
      <c r="AJ123" s="158">
        <f t="shared" si="92"/>
        <v>657.44476798848643</v>
      </c>
      <c r="AK123" s="362">
        <f t="shared" si="69"/>
        <v>11095.536215452115</v>
      </c>
      <c r="AL123" s="433">
        <f t="shared" si="93"/>
        <v>4.6638813426351602</v>
      </c>
      <c r="AM123" s="382">
        <f t="shared" si="94"/>
        <v>0.26089078094781204</v>
      </c>
      <c r="AN123" s="382">
        <f t="shared" si="95"/>
        <v>4.4029905616873481</v>
      </c>
      <c r="AO123" s="384">
        <f t="shared" si="96"/>
        <v>4.4399904823737977</v>
      </c>
      <c r="BN123"/>
      <c r="BO123"/>
      <c r="BP123"/>
      <c r="BQ123"/>
      <c r="BR123"/>
      <c r="BS123"/>
      <c r="BT123"/>
      <c r="BU123"/>
      <c r="BV123"/>
      <c r="BW123"/>
      <c r="BX123"/>
      <c r="BY123"/>
      <c r="BZ123"/>
      <c r="CA123"/>
    </row>
    <row r="124" spans="4:79" x14ac:dyDescent="0.3">
      <c r="D124"/>
      <c r="E124" s="145"/>
      <c r="F124" s="145"/>
      <c r="G124" s="145"/>
      <c r="H124" s="145"/>
      <c r="I124" s="145"/>
      <c r="J124" s="145"/>
      <c r="K124" s="145"/>
      <c r="AE124" s="367">
        <f t="shared" si="38"/>
        <v>2541000000</v>
      </c>
      <c r="AF124" s="158">
        <f t="shared" ref="AF124" si="98">AF306</f>
        <v>3025</v>
      </c>
      <c r="AG124" s="41">
        <v>121</v>
      </c>
      <c r="AH124" s="41" t="s">
        <v>376</v>
      </c>
      <c r="AI124" s="158">
        <f t="shared" si="91"/>
        <v>11846.220783570452</v>
      </c>
      <c r="AJ124" s="158">
        <f t="shared" si="92"/>
        <v>657.44476798848643</v>
      </c>
      <c r="AK124" s="362">
        <f t="shared" si="69"/>
        <v>11188.776015581965</v>
      </c>
      <c r="AL124" s="433">
        <f t="shared" si="93"/>
        <v>4.6620310049470488</v>
      </c>
      <c r="AM124" s="382">
        <f t="shared" si="94"/>
        <v>0.2587346587912186</v>
      </c>
      <c r="AN124" s="382">
        <f t="shared" si="95"/>
        <v>4.4032963461558303</v>
      </c>
      <c r="AO124" s="384">
        <f t="shared" si="96"/>
        <v>4.4399904823737977</v>
      </c>
      <c r="BN124"/>
      <c r="BO124"/>
      <c r="BP124"/>
      <c r="BQ124"/>
      <c r="BR124"/>
      <c r="BS124"/>
      <c r="BT124"/>
      <c r="BU124"/>
      <c r="BV124"/>
      <c r="BW124"/>
      <c r="BX124"/>
      <c r="BY124"/>
      <c r="BZ124"/>
      <c r="CA124"/>
    </row>
    <row r="125" spans="4:79" x14ac:dyDescent="0.3">
      <c r="D125"/>
      <c r="E125" s="145"/>
      <c r="F125" s="145"/>
      <c r="G125" s="145"/>
      <c r="H125" s="145"/>
      <c r="I125" s="145"/>
      <c r="J125" s="145"/>
      <c r="K125" s="145"/>
      <c r="AE125" s="367">
        <f t="shared" si="38"/>
        <v>2562000000</v>
      </c>
      <c r="AF125" s="158">
        <f t="shared" ref="AF125" si="99">AF307</f>
        <v>3050</v>
      </c>
      <c r="AG125" s="41">
        <v>122</v>
      </c>
      <c r="AH125" s="41" t="s">
        <v>376</v>
      </c>
      <c r="AI125" s="158">
        <f t="shared" si="91"/>
        <v>11939.460583700302</v>
      </c>
      <c r="AJ125" s="158">
        <f t="shared" si="92"/>
        <v>657.44476798848643</v>
      </c>
      <c r="AK125" s="362">
        <f t="shared" si="69"/>
        <v>11282.015815711815</v>
      </c>
      <c r="AL125" s="433">
        <f t="shared" si="93"/>
        <v>4.6602110006636623</v>
      </c>
      <c r="AM125" s="382">
        <f t="shared" si="94"/>
        <v>0.25661388289948728</v>
      </c>
      <c r="AN125" s="382">
        <f t="shared" si="95"/>
        <v>4.4035971177641748</v>
      </c>
      <c r="AO125" s="384">
        <f t="shared" si="96"/>
        <v>4.4399904823737977</v>
      </c>
      <c r="BN125"/>
      <c r="BO125"/>
      <c r="BP125"/>
      <c r="BQ125"/>
      <c r="BR125"/>
      <c r="BS125"/>
      <c r="BT125"/>
      <c r="BU125"/>
      <c r="BV125"/>
      <c r="BW125"/>
      <c r="BX125"/>
      <c r="BY125"/>
      <c r="BZ125"/>
      <c r="CA125"/>
    </row>
    <row r="126" spans="4:79" x14ac:dyDescent="0.3">
      <c r="D126"/>
      <c r="E126" s="145"/>
      <c r="F126" s="145"/>
      <c r="G126" s="145"/>
      <c r="H126" s="145"/>
      <c r="I126" s="145"/>
      <c r="J126" s="145"/>
      <c r="K126" s="145"/>
      <c r="AE126" s="367">
        <f t="shared" si="38"/>
        <v>2583000000</v>
      </c>
      <c r="AF126" s="158">
        <f t="shared" ref="AF126" si="100">AF308</f>
        <v>3075</v>
      </c>
      <c r="AG126" s="41">
        <v>123</v>
      </c>
      <c r="AH126" s="41" t="s">
        <v>376</v>
      </c>
      <c r="AI126" s="158">
        <f t="shared" si="91"/>
        <v>12032.700383830152</v>
      </c>
      <c r="AJ126" s="158">
        <f t="shared" si="92"/>
        <v>657.44476798848643</v>
      </c>
      <c r="AK126" s="362">
        <f t="shared" si="69"/>
        <v>11375.255615841665</v>
      </c>
      <c r="AL126" s="433">
        <f t="shared" si="93"/>
        <v>4.6584205899458579</v>
      </c>
      <c r="AM126" s="382">
        <f t="shared" si="94"/>
        <v>0.25452759116859713</v>
      </c>
      <c r="AN126" s="382">
        <f t="shared" si="95"/>
        <v>4.4038929987772608</v>
      </c>
      <c r="AO126" s="384">
        <f t="shared" si="96"/>
        <v>4.4399904823737977</v>
      </c>
      <c r="BN126"/>
      <c r="BO126"/>
      <c r="BP126"/>
      <c r="BQ126"/>
      <c r="BR126"/>
      <c r="BS126"/>
      <c r="BT126"/>
      <c r="BU126"/>
      <c r="BV126"/>
      <c r="BW126"/>
      <c r="BX126"/>
      <c r="BY126"/>
      <c r="BZ126"/>
      <c r="CA126"/>
    </row>
    <row r="127" spans="4:79" x14ac:dyDescent="0.3">
      <c r="D127"/>
      <c r="E127" s="145"/>
      <c r="F127" s="145"/>
      <c r="G127" s="145"/>
      <c r="H127" s="145"/>
      <c r="I127" s="145"/>
      <c r="J127" s="145"/>
      <c r="K127" s="145"/>
      <c r="AE127" s="367">
        <f t="shared" si="38"/>
        <v>2604000000</v>
      </c>
      <c r="AF127" s="158">
        <f t="shared" ref="AF127" si="101">AF309</f>
        <v>3100</v>
      </c>
      <c r="AG127" s="41">
        <v>124</v>
      </c>
      <c r="AH127" s="41" t="s">
        <v>376</v>
      </c>
      <c r="AI127" s="158">
        <f t="shared" si="91"/>
        <v>12125.940183960001</v>
      </c>
      <c r="AJ127" s="158">
        <f t="shared" si="92"/>
        <v>657.44476798848643</v>
      </c>
      <c r="AK127" s="362">
        <f t="shared" si="69"/>
        <v>11468.495415971514</v>
      </c>
      <c r="AL127" s="433">
        <f t="shared" si="93"/>
        <v>4.6566590568202768</v>
      </c>
      <c r="AM127" s="382">
        <f t="shared" si="94"/>
        <v>0.25247494930433428</v>
      </c>
      <c r="AN127" s="382">
        <f t="shared" si="95"/>
        <v>4.4041841075159427</v>
      </c>
      <c r="AO127" s="384">
        <f t="shared" si="96"/>
        <v>4.4399904823737977</v>
      </c>
      <c r="BN127"/>
      <c r="BO127"/>
      <c r="BP127"/>
      <c r="BQ127"/>
      <c r="BR127"/>
      <c r="BS127"/>
      <c r="BT127"/>
      <c r="BU127"/>
      <c r="BV127"/>
      <c r="BW127"/>
      <c r="BX127"/>
      <c r="BY127"/>
      <c r="BZ127"/>
      <c r="CA127"/>
    </row>
    <row r="128" spans="4:79" x14ac:dyDescent="0.3">
      <c r="D128"/>
      <c r="E128" s="145"/>
      <c r="F128" s="145"/>
      <c r="G128" s="145"/>
      <c r="H128" s="145"/>
      <c r="I128" s="145"/>
      <c r="J128" s="145"/>
      <c r="K128" s="145"/>
      <c r="AE128" s="367">
        <f t="shared" si="38"/>
        <v>2625000000</v>
      </c>
      <c r="AF128" s="158">
        <f t="shared" ref="AF128" si="102">AF310</f>
        <v>3125</v>
      </c>
      <c r="AG128" s="41">
        <v>125</v>
      </c>
      <c r="AH128" s="41" t="s">
        <v>376</v>
      </c>
      <c r="AI128" s="158">
        <f t="shared" si="91"/>
        <v>12219.179984089851</v>
      </c>
      <c r="AJ128" s="158">
        <f t="shared" si="92"/>
        <v>657.44476798848643</v>
      </c>
      <c r="AK128" s="362">
        <f t="shared" si="69"/>
        <v>11561.735216101364</v>
      </c>
      <c r="AL128" s="433">
        <f t="shared" si="93"/>
        <v>4.6549257082247051</v>
      </c>
      <c r="AM128" s="382">
        <f t="shared" si="94"/>
        <v>0.25045514970989957</v>
      </c>
      <c r="AN128" s="382">
        <f t="shared" si="95"/>
        <v>4.4044705585148058</v>
      </c>
      <c r="AO128" s="384">
        <f t="shared" si="96"/>
        <v>4.4399904823737977</v>
      </c>
      <c r="BN128"/>
      <c r="BO128"/>
      <c r="BP128"/>
      <c r="BQ128"/>
      <c r="BR128"/>
      <c r="BS128"/>
      <c r="BT128"/>
      <c r="BU128"/>
      <c r="BV128"/>
      <c r="BW128"/>
      <c r="BX128"/>
      <c r="BY128"/>
      <c r="BZ128"/>
      <c r="CA128"/>
    </row>
    <row r="129" spans="4:79" x14ac:dyDescent="0.3">
      <c r="D129"/>
      <c r="E129" s="145"/>
      <c r="F129" s="145"/>
      <c r="G129" s="145"/>
      <c r="H129" s="145"/>
      <c r="I129" s="145"/>
      <c r="J129" s="145"/>
      <c r="K129" s="145"/>
      <c r="AE129" s="367">
        <f t="shared" si="38"/>
        <v>2646000000</v>
      </c>
      <c r="AF129" s="158">
        <f t="shared" ref="AF129" si="103">AF311</f>
        <v>3150</v>
      </c>
      <c r="AG129" s="41">
        <v>126</v>
      </c>
      <c r="AH129" s="41" t="s">
        <v>376</v>
      </c>
      <c r="AI129" s="158">
        <f t="shared" si="91"/>
        <v>12312.419784219701</v>
      </c>
      <c r="AJ129" s="158">
        <f t="shared" si="92"/>
        <v>657.44476798848643</v>
      </c>
      <c r="AK129" s="362">
        <f t="shared" si="69"/>
        <v>11654.975016231214</v>
      </c>
      <c r="AL129" s="433">
        <f t="shared" si="93"/>
        <v>4.6532198730989034</v>
      </c>
      <c r="AM129" s="382">
        <f t="shared" si="94"/>
        <v>0.24846741042648768</v>
      </c>
      <c r="AN129" s="382">
        <f t="shared" si="95"/>
        <v>4.4047524626724162</v>
      </c>
      <c r="AO129" s="384">
        <f t="shared" si="96"/>
        <v>4.4399904823737977</v>
      </c>
      <c r="BN129"/>
      <c r="BO129"/>
      <c r="BP129"/>
      <c r="BQ129"/>
      <c r="BR129"/>
      <c r="BS129"/>
      <c r="BT129"/>
      <c r="BU129"/>
      <c r="BV129"/>
      <c r="BW129"/>
      <c r="BX129"/>
      <c r="BY129"/>
      <c r="BZ129"/>
      <c r="CA129"/>
    </row>
    <row r="130" spans="4:79" x14ac:dyDescent="0.3">
      <c r="D130"/>
      <c r="E130" s="145"/>
      <c r="F130" s="145"/>
      <c r="G130" s="145"/>
      <c r="H130" s="145"/>
      <c r="I130" s="145"/>
      <c r="J130" s="145"/>
      <c r="K130" s="145"/>
      <c r="AE130" s="367">
        <f t="shared" si="38"/>
        <v>2667000000</v>
      </c>
      <c r="AF130" s="158">
        <f t="shared" ref="AF130" si="104">AF312</f>
        <v>3175</v>
      </c>
      <c r="AG130" s="41">
        <v>127</v>
      </c>
      <c r="AH130" s="41" t="s">
        <v>376</v>
      </c>
      <c r="AI130" s="158">
        <f t="shared" si="91"/>
        <v>12405.659584349551</v>
      </c>
      <c r="AJ130" s="158">
        <f t="shared" si="92"/>
        <v>657.44476798848643</v>
      </c>
      <c r="AK130" s="362">
        <f t="shared" si="69"/>
        <v>11748.214816361064</v>
      </c>
      <c r="AL130" s="433">
        <f t="shared" si="93"/>
        <v>4.6515409015183913</v>
      </c>
      <c r="AM130" s="382">
        <f t="shared" si="94"/>
        <v>0.24651097412391693</v>
      </c>
      <c r="AN130" s="382">
        <f t="shared" si="95"/>
        <v>4.405029927394474</v>
      </c>
      <c r="AO130" s="384">
        <f t="shared" si="96"/>
        <v>4.4399904823737977</v>
      </c>
      <c r="BN130"/>
      <c r="BO130"/>
      <c r="BP130"/>
      <c r="BQ130"/>
      <c r="BR130"/>
      <c r="BS130"/>
      <c r="BT130"/>
      <c r="BU130"/>
      <c r="BV130"/>
      <c r="BW130"/>
      <c r="BX130"/>
      <c r="BY130"/>
      <c r="BZ130"/>
      <c r="CA130"/>
    </row>
    <row r="131" spans="4:79" x14ac:dyDescent="0.3">
      <c r="D131"/>
      <c r="E131" s="145"/>
      <c r="F131" s="145"/>
      <c r="G131" s="145"/>
      <c r="H131" s="145"/>
      <c r="I131" s="145"/>
      <c r="J131" s="145"/>
      <c r="K131" s="145"/>
      <c r="AE131" s="367">
        <f t="shared" si="38"/>
        <v>2688000000</v>
      </c>
      <c r="AF131" s="158">
        <f t="shared" ref="AF131" si="105">AF313</f>
        <v>3200</v>
      </c>
      <c r="AG131" s="41">
        <v>128</v>
      </c>
      <c r="AH131" s="41" t="s">
        <v>376</v>
      </c>
      <c r="AI131" s="158">
        <f t="shared" si="91"/>
        <v>12498.8993844794</v>
      </c>
      <c r="AJ131" s="158">
        <f t="shared" si="92"/>
        <v>657.44476798848643</v>
      </c>
      <c r="AK131" s="362">
        <f t="shared" si="69"/>
        <v>11841.454616490913</v>
      </c>
      <c r="AL131" s="433">
        <f t="shared" si="93"/>
        <v>4.649888163868825</v>
      </c>
      <c r="AM131" s="382">
        <f t="shared" si="94"/>
        <v>0.24458510713857384</v>
      </c>
      <c r="AN131" s="382">
        <f t="shared" si="95"/>
        <v>4.4053030567302507</v>
      </c>
      <c r="AO131" s="384">
        <f t="shared" si="96"/>
        <v>4.4399904823737977</v>
      </c>
      <c r="BN131"/>
      <c r="BO131"/>
      <c r="BP131"/>
      <c r="BQ131"/>
      <c r="BR131"/>
      <c r="BS131"/>
      <c r="BT131"/>
      <c r="BU131"/>
      <c r="BV131"/>
      <c r="BW131"/>
      <c r="BX131"/>
      <c r="BY131"/>
      <c r="BZ131"/>
      <c r="CA131"/>
    </row>
    <row r="132" spans="4:79" x14ac:dyDescent="0.3">
      <c r="D132"/>
      <c r="E132" s="145"/>
      <c r="F132" s="145"/>
      <c r="G132" s="145"/>
      <c r="H132" s="145"/>
      <c r="I132" s="145"/>
      <c r="J132" s="145"/>
      <c r="K132" s="145"/>
      <c r="AE132" s="367">
        <f t="shared" si="38"/>
        <v>2709000000</v>
      </c>
      <c r="AF132" s="158">
        <f t="shared" ref="AF132" si="106">AF314</f>
        <v>3225</v>
      </c>
      <c r="AG132" s="41">
        <v>129</v>
      </c>
      <c r="AH132" s="41" t="s">
        <v>376</v>
      </c>
      <c r="AI132" s="158">
        <f t="shared" si="91"/>
        <v>12592.13918460925</v>
      </c>
      <c r="AJ132" s="158">
        <f t="shared" si="92"/>
        <v>657.44476798848643</v>
      </c>
      <c r="AK132" s="362">
        <f t="shared" si="69"/>
        <v>11934.694416620763</v>
      </c>
      <c r="AL132" s="433">
        <f t="shared" si="93"/>
        <v>4.6482610500587853</v>
      </c>
      <c r="AM132" s="382">
        <f t="shared" si="94"/>
        <v>0.24268909855610427</v>
      </c>
      <c r="AN132" s="382">
        <f t="shared" si="95"/>
        <v>4.4055719515026812</v>
      </c>
      <c r="AO132" s="384">
        <f t="shared" si="96"/>
        <v>4.4399904823737977</v>
      </c>
      <c r="BN132"/>
      <c r="BO132"/>
      <c r="BP132"/>
      <c r="BQ132"/>
      <c r="BR132"/>
      <c r="BS132"/>
      <c r="BT132"/>
      <c r="BU132"/>
      <c r="BV132"/>
      <c r="BW132"/>
      <c r="BX132"/>
      <c r="BY132"/>
      <c r="BZ132"/>
      <c r="CA132"/>
    </row>
    <row r="133" spans="4:79" x14ac:dyDescent="0.3">
      <c r="D133"/>
      <c r="E133" s="145"/>
      <c r="F133" s="145"/>
      <c r="G133" s="145"/>
      <c r="H133" s="145"/>
      <c r="I133" s="145"/>
      <c r="J133" s="145"/>
      <c r="K133" s="145"/>
      <c r="AE133" s="367">
        <f t="shared" si="38"/>
        <v>2730000000</v>
      </c>
      <c r="AF133" s="158">
        <f t="shared" ref="AF133" si="107">AF315</f>
        <v>3250</v>
      </c>
      <c r="AG133" s="41">
        <v>130</v>
      </c>
      <c r="AH133" s="41" t="s">
        <v>376</v>
      </c>
      <c r="AI133" s="158">
        <f t="shared" si="91"/>
        <v>12685.3789847391</v>
      </c>
      <c r="AJ133" s="158">
        <f t="shared" si="92"/>
        <v>657.44476798848643</v>
      </c>
      <c r="AK133" s="362">
        <f t="shared" ref="AK133:AK164" si="108">AK132+SUM(AI497:AJ497,BK497)</f>
        <v>12027.934216750613</v>
      </c>
      <c r="AL133" s="433">
        <f t="shared" si="93"/>
        <v>4.6466589687689011</v>
      </c>
      <c r="AM133" s="382">
        <f t="shared" si="94"/>
        <v>0.24082225933644191</v>
      </c>
      <c r="AN133" s="382">
        <f t="shared" si="95"/>
        <v>4.4058367094324593</v>
      </c>
      <c r="AO133" s="384">
        <f t="shared" si="96"/>
        <v>4.4399904823737977</v>
      </c>
      <c r="BN133"/>
      <c r="BO133"/>
      <c r="BP133"/>
      <c r="BQ133"/>
      <c r="BR133"/>
      <c r="BS133"/>
      <c r="BT133"/>
      <c r="BU133"/>
      <c r="BV133"/>
      <c r="BW133"/>
      <c r="BX133"/>
      <c r="BY133"/>
      <c r="BZ133"/>
      <c r="CA133"/>
    </row>
    <row r="134" spans="4:79" x14ac:dyDescent="0.3">
      <c r="D134"/>
      <c r="E134" s="145"/>
      <c r="F134" s="145"/>
      <c r="G134" s="145"/>
      <c r="H134" s="145"/>
      <c r="I134" s="145"/>
      <c r="J134" s="145"/>
      <c r="K134" s="145"/>
      <c r="AE134" s="367">
        <f t="shared" si="38"/>
        <v>2751000000</v>
      </c>
      <c r="AF134" s="158">
        <f t="shared" ref="AF134" si="109">AF316</f>
        <v>3275</v>
      </c>
      <c r="AG134" s="41">
        <v>131</v>
      </c>
      <c r="AH134" s="41" t="s">
        <v>376</v>
      </c>
      <c r="AI134" s="158">
        <f t="shared" si="91"/>
        <v>12778.61878486895</v>
      </c>
      <c r="AJ134" s="158">
        <f t="shared" si="92"/>
        <v>657.44476798848643</v>
      </c>
      <c r="AK134" s="362">
        <f t="shared" si="108"/>
        <v>12121.174016880463</v>
      </c>
      <c r="AL134" s="433">
        <f t="shared" si="93"/>
        <v>4.6450813467353509</v>
      </c>
      <c r="AM134" s="382">
        <f t="shared" si="94"/>
        <v>0.23898392147891181</v>
      </c>
      <c r="AN134" s="382">
        <f t="shared" si="95"/>
        <v>4.4060974252564389</v>
      </c>
      <c r="AO134" s="384">
        <f t="shared" si="96"/>
        <v>4.4399904823737977</v>
      </c>
      <c r="BN134"/>
      <c r="BO134"/>
      <c r="BP134"/>
      <c r="BQ134"/>
      <c r="BR134"/>
      <c r="BS134"/>
      <c r="BT134"/>
      <c r="BU134"/>
      <c r="BV134"/>
      <c r="BW134"/>
      <c r="BX134"/>
      <c r="BY134"/>
      <c r="BZ134"/>
      <c r="CA134"/>
    </row>
    <row r="135" spans="4:79" x14ac:dyDescent="0.3">
      <c r="D135"/>
      <c r="E135" s="145"/>
      <c r="F135" s="145"/>
      <c r="G135" s="145"/>
      <c r="H135" s="145"/>
      <c r="I135" s="145"/>
      <c r="J135" s="145"/>
      <c r="K135" s="145"/>
      <c r="AE135" s="367">
        <f t="shared" si="38"/>
        <v>2772000000</v>
      </c>
      <c r="AF135" s="158">
        <f t="shared" ref="AF135" si="110">AF317</f>
        <v>3300</v>
      </c>
      <c r="AG135" s="41">
        <v>132</v>
      </c>
      <c r="AH135" s="41" t="s">
        <v>376</v>
      </c>
      <c r="AI135" s="158">
        <f t="shared" si="91"/>
        <v>12871.858584998799</v>
      </c>
      <c r="AJ135" s="158">
        <f t="shared" si="92"/>
        <v>657.44476798848643</v>
      </c>
      <c r="AK135" s="362">
        <f t="shared" si="108"/>
        <v>12214.413817010312</v>
      </c>
      <c r="AL135" s="433">
        <f t="shared" si="93"/>
        <v>4.6435276280659448</v>
      </c>
      <c r="AM135" s="382">
        <f t="shared" si="94"/>
        <v>0.23717343722528372</v>
      </c>
      <c r="AN135" s="382">
        <f t="shared" si="95"/>
        <v>4.4063541908406609</v>
      </c>
      <c r="AO135" s="384">
        <f t="shared" si="96"/>
        <v>4.4399904823737977</v>
      </c>
      <c r="BN135"/>
      <c r="BO135"/>
      <c r="BP135"/>
      <c r="BQ135"/>
      <c r="BR135"/>
      <c r="BS135"/>
      <c r="BT135"/>
      <c r="BU135"/>
      <c r="BV135"/>
      <c r="BW135"/>
      <c r="BX135"/>
      <c r="BY135"/>
      <c r="BZ135"/>
      <c r="CA135"/>
    </row>
    <row r="136" spans="4:79" x14ac:dyDescent="0.3">
      <c r="D136"/>
      <c r="E136" s="145"/>
      <c r="F136" s="145"/>
      <c r="G136" s="145"/>
      <c r="H136" s="145"/>
      <c r="I136" s="145"/>
      <c r="J136" s="145"/>
      <c r="K136" s="145"/>
      <c r="AE136" s="367">
        <f t="shared" ref="AE136:AE180" si="111">AE135+$AE$4</f>
        <v>2793000000</v>
      </c>
      <c r="AF136" s="158">
        <f t="shared" ref="AF136" si="112">AF318</f>
        <v>3325</v>
      </c>
      <c r="AG136" s="41">
        <v>133</v>
      </c>
      <c r="AH136" s="41" t="s">
        <v>376</v>
      </c>
      <c r="AI136" s="158">
        <f t="shared" si="91"/>
        <v>12965.098385128649</v>
      </c>
      <c r="AJ136" s="158">
        <f t="shared" si="92"/>
        <v>657.44476798848643</v>
      </c>
      <c r="AK136" s="362">
        <f t="shared" si="108"/>
        <v>12307.653617140162</v>
      </c>
      <c r="AL136" s="433">
        <f t="shared" si="93"/>
        <v>4.6419972735870569</v>
      </c>
      <c r="AM136" s="382">
        <f t="shared" si="94"/>
        <v>0.23539017829877781</v>
      </c>
      <c r="AN136" s="382">
        <f t="shared" si="95"/>
        <v>4.4066070952882788</v>
      </c>
      <c r="AO136" s="384">
        <f t="shared" si="96"/>
        <v>4.4399904823737977</v>
      </c>
      <c r="BN136"/>
      <c r="BO136"/>
      <c r="BP136"/>
      <c r="BQ136"/>
      <c r="BR136"/>
      <c r="BS136"/>
      <c r="BT136"/>
      <c r="BU136"/>
      <c r="BV136"/>
      <c r="BW136"/>
      <c r="BX136"/>
      <c r="BY136"/>
      <c r="BZ136"/>
      <c r="CA136"/>
    </row>
    <row r="137" spans="4:79" x14ac:dyDescent="0.3">
      <c r="D137"/>
      <c r="E137" s="145"/>
      <c r="F137" s="145"/>
      <c r="G137" s="145"/>
      <c r="H137" s="145"/>
      <c r="I137" s="145"/>
      <c r="J137" s="145"/>
      <c r="K137" s="145"/>
      <c r="AE137" s="367">
        <f t="shared" si="111"/>
        <v>2814000000</v>
      </c>
      <c r="AF137" s="158">
        <f t="shared" ref="AF137" si="113">AF319</f>
        <v>3350</v>
      </c>
      <c r="AG137" s="41">
        <v>134</v>
      </c>
      <c r="AH137" s="41" t="s">
        <v>376</v>
      </c>
      <c r="AI137" s="158">
        <f t="shared" si="91"/>
        <v>13058.338185258499</v>
      </c>
      <c r="AJ137" s="158">
        <f t="shared" si="92"/>
        <v>657.44476798848643</v>
      </c>
      <c r="AK137" s="362">
        <f t="shared" si="108"/>
        <v>12400.893417270012</v>
      </c>
      <c r="AL137" s="433">
        <f t="shared" si="93"/>
        <v>4.6404897602197934</v>
      </c>
      <c r="AM137" s="382">
        <f t="shared" si="94"/>
        <v>0.23363353517714516</v>
      </c>
      <c r="AN137" s="382">
        <f t="shared" si="95"/>
        <v>4.406856225042648</v>
      </c>
      <c r="AO137" s="384">
        <f t="shared" si="96"/>
        <v>4.4399904823737977</v>
      </c>
      <c r="BN137"/>
      <c r="BO137"/>
      <c r="BP137"/>
      <c r="BQ137"/>
      <c r="BR137"/>
      <c r="BS137"/>
      <c r="BT137"/>
      <c r="BU137"/>
      <c r="BV137"/>
      <c r="BW137"/>
      <c r="BX137"/>
      <c r="BY137"/>
      <c r="BZ137"/>
      <c r="CA137"/>
    </row>
    <row r="138" spans="4:79" x14ac:dyDescent="0.3">
      <c r="D138"/>
      <c r="E138" s="145"/>
      <c r="F138" s="145"/>
      <c r="G138" s="145"/>
      <c r="H138" s="145"/>
      <c r="I138" s="145"/>
      <c r="J138" s="145"/>
      <c r="K138" s="145"/>
      <c r="AE138" s="367">
        <f t="shared" si="111"/>
        <v>2835000000</v>
      </c>
      <c r="AF138" s="158">
        <f t="shared" ref="AF138" si="114">AF320</f>
        <v>3375</v>
      </c>
      <c r="AG138" s="41">
        <v>135</v>
      </c>
      <c r="AH138" s="41" t="s">
        <v>376</v>
      </c>
      <c r="AI138" s="158">
        <f t="shared" si="91"/>
        <v>13151.577985388349</v>
      </c>
      <c r="AJ138" s="158">
        <f t="shared" si="92"/>
        <v>657.44476798848643</v>
      </c>
      <c r="AK138" s="362">
        <f t="shared" si="108"/>
        <v>12494.133217399862</v>
      </c>
      <c r="AL138" s="433">
        <f t="shared" si="93"/>
        <v>4.6390045803838964</v>
      </c>
      <c r="AM138" s="382">
        <f t="shared" si="94"/>
        <v>0.23190291639805519</v>
      </c>
      <c r="AN138" s="382">
        <f t="shared" si="95"/>
        <v>4.4071016639858414</v>
      </c>
      <c r="AO138" s="384">
        <f t="shared" si="96"/>
        <v>4.4399904823737977</v>
      </c>
      <c r="BN138"/>
      <c r="BO138"/>
      <c r="BP138"/>
      <c r="BQ138"/>
      <c r="BR138"/>
      <c r="BS138"/>
      <c r="BT138"/>
      <c r="BU138"/>
      <c r="BV138"/>
      <c r="BW138"/>
      <c r="BX138"/>
      <c r="BY138"/>
      <c r="BZ138"/>
      <c r="CA138"/>
    </row>
    <row r="139" spans="4:79" x14ac:dyDescent="0.3">
      <c r="D139"/>
      <c r="E139" s="145"/>
      <c r="F139" s="145"/>
      <c r="G139" s="145"/>
      <c r="H139" s="145"/>
      <c r="I139" s="145"/>
      <c r="J139" s="145"/>
      <c r="K139" s="145"/>
      <c r="AE139" s="367">
        <f t="shared" si="111"/>
        <v>2856000000</v>
      </c>
      <c r="AF139" s="158">
        <f t="shared" ref="AF139" si="115">AF321</f>
        <v>3400</v>
      </c>
      <c r="AG139" s="41">
        <v>136</v>
      </c>
      <c r="AH139" s="41" t="s">
        <v>376</v>
      </c>
      <c r="AI139" s="158">
        <f t="shared" si="91"/>
        <v>13244.817785518198</v>
      </c>
      <c r="AJ139" s="158">
        <f t="shared" si="92"/>
        <v>657.44476798848643</v>
      </c>
      <c r="AK139" s="362">
        <f t="shared" si="108"/>
        <v>12587.373017529711</v>
      </c>
      <c r="AL139" s="433">
        <f t="shared" si="93"/>
        <v>4.6375412414279404</v>
      </c>
      <c r="AM139" s="382">
        <f t="shared" si="94"/>
        <v>0.23019774789512831</v>
      </c>
      <c r="AN139" s="382">
        <f t="shared" si="95"/>
        <v>4.407343493532812</v>
      </c>
      <c r="AO139" s="384">
        <f t="shared" si="96"/>
        <v>4.4399904823737977</v>
      </c>
      <c r="BN139"/>
      <c r="BO139"/>
      <c r="BP139"/>
      <c r="BQ139"/>
      <c r="BR139"/>
      <c r="BS139"/>
      <c r="BT139"/>
      <c r="BU139"/>
      <c r="BV139"/>
      <c r="BW139"/>
      <c r="BX139"/>
      <c r="BY139"/>
      <c r="BZ139"/>
      <c r="CA139"/>
    </row>
    <row r="140" spans="4:79" x14ac:dyDescent="0.3">
      <c r="D140"/>
      <c r="E140" s="145"/>
      <c r="F140" s="145"/>
      <c r="G140" s="145"/>
      <c r="H140" s="145"/>
      <c r="I140" s="145"/>
      <c r="J140" s="145"/>
      <c r="K140" s="145"/>
      <c r="AE140" s="367">
        <f t="shared" si="111"/>
        <v>2877000000</v>
      </c>
      <c r="AF140" s="158">
        <f t="shared" ref="AF140" si="116">AF322</f>
        <v>3425</v>
      </c>
      <c r="AG140" s="41">
        <v>137</v>
      </c>
      <c r="AH140" s="41" t="s">
        <v>376</v>
      </c>
      <c r="AI140" s="158">
        <f t="shared" si="91"/>
        <v>13338.057585648048</v>
      </c>
      <c r="AJ140" s="158">
        <f t="shared" si="92"/>
        <v>657.44476798848643</v>
      </c>
      <c r="AK140" s="362">
        <f t="shared" si="108"/>
        <v>12680.612817659561</v>
      </c>
      <c r="AL140" s="433">
        <f t="shared" si="93"/>
        <v>4.6360992650844794</v>
      </c>
      <c r="AM140" s="382">
        <f t="shared" si="94"/>
        <v>0.22851747236304709</v>
      </c>
      <c r="AN140" s="382">
        <f t="shared" si="95"/>
        <v>4.407581792721432</v>
      </c>
      <c r="AO140" s="384">
        <f t="shared" si="96"/>
        <v>4.4399904823737977</v>
      </c>
      <c r="BN140"/>
      <c r="BO140"/>
      <c r="BP140"/>
      <c r="BQ140"/>
      <c r="BR140"/>
      <c r="BS140"/>
      <c r="BT140"/>
      <c r="BU140"/>
      <c r="BV140"/>
      <c r="BW140"/>
      <c r="BX140"/>
      <c r="BY140"/>
      <c r="BZ140"/>
      <c r="CA140"/>
    </row>
    <row r="141" spans="4:79" x14ac:dyDescent="0.3">
      <c r="D141"/>
      <c r="E141" s="145"/>
      <c r="F141" s="145"/>
      <c r="G141" s="145"/>
      <c r="H141" s="145"/>
      <c r="I141" s="145"/>
      <c r="J141" s="145"/>
      <c r="K141" s="145"/>
      <c r="AE141" s="367">
        <f t="shared" si="111"/>
        <v>2898000000</v>
      </c>
      <c r="AF141" s="158">
        <f t="shared" ref="AF141" si="117">AF323</f>
        <v>3450</v>
      </c>
      <c r="AG141" s="41">
        <v>138</v>
      </c>
      <c r="AH141" s="41" t="s">
        <v>376</v>
      </c>
      <c r="AI141" s="158">
        <f t="shared" si="91"/>
        <v>13431.297385777898</v>
      </c>
      <c r="AJ141" s="158">
        <f t="shared" si="92"/>
        <v>657.44476798848643</v>
      </c>
      <c r="AK141" s="362">
        <f t="shared" si="108"/>
        <v>12773.852617789411</v>
      </c>
      <c r="AL141" s="433">
        <f t="shared" si="93"/>
        <v>4.6346781869488947</v>
      </c>
      <c r="AM141" s="382">
        <f t="shared" si="94"/>
        <v>0.22686154865027136</v>
      </c>
      <c r="AN141" s="382">
        <f t="shared" si="95"/>
        <v>4.4078166382986232</v>
      </c>
      <c r="AO141" s="384">
        <f t="shared" si="96"/>
        <v>4.4399904823737977</v>
      </c>
      <c r="BN141"/>
      <c r="BO141"/>
      <c r="BP141"/>
      <c r="BQ141"/>
      <c r="BR141"/>
      <c r="BS141"/>
      <c r="BT141"/>
      <c r="BU141"/>
      <c r="BV141"/>
      <c r="BW141"/>
      <c r="BX141"/>
      <c r="BY141"/>
      <c r="BZ141"/>
      <c r="CA141"/>
    </row>
    <row r="142" spans="4:79" x14ac:dyDescent="0.3">
      <c r="D142"/>
      <c r="E142" s="145"/>
      <c r="F142" s="145"/>
      <c r="G142" s="145"/>
      <c r="H142" s="145"/>
      <c r="I142" s="145"/>
      <c r="J142" s="145"/>
      <c r="K142" s="145"/>
      <c r="AE142" s="367">
        <f t="shared" si="111"/>
        <v>2919000000</v>
      </c>
      <c r="AF142" s="158">
        <f t="shared" ref="AF142" si="118">AF324</f>
        <v>3475</v>
      </c>
      <c r="AG142" s="41">
        <v>139</v>
      </c>
      <c r="AH142" s="41" t="s">
        <v>376</v>
      </c>
      <c r="AI142" s="158">
        <f t="shared" si="91"/>
        <v>13524.537185907748</v>
      </c>
      <c r="AJ142" s="158">
        <f t="shared" si="92"/>
        <v>657.44476798848643</v>
      </c>
      <c r="AK142" s="362">
        <f t="shared" si="108"/>
        <v>12867.092417919261</v>
      </c>
      <c r="AL142" s="433">
        <f t="shared" si="93"/>
        <v>4.6332775559807287</v>
      </c>
      <c r="AM142" s="382">
        <f t="shared" si="94"/>
        <v>0.22522945117796728</v>
      </c>
      <c r="AN142" s="382">
        <f t="shared" si="95"/>
        <v>4.4080481048027611</v>
      </c>
      <c r="AO142" s="384">
        <f t="shared" si="96"/>
        <v>4.4399904823737977</v>
      </c>
      <c r="BN142"/>
      <c r="BO142"/>
      <c r="BP142"/>
      <c r="BQ142"/>
      <c r="BR142"/>
      <c r="BS142"/>
      <c r="BT142"/>
      <c r="BU142"/>
      <c r="BV142"/>
      <c r="BW142"/>
      <c r="BX142"/>
      <c r="BY142"/>
      <c r="BZ142"/>
      <c r="CA142"/>
    </row>
    <row r="143" spans="4:79" x14ac:dyDescent="0.3">
      <c r="D143"/>
      <c r="E143" s="145"/>
      <c r="F143" s="145"/>
      <c r="G143" s="145"/>
      <c r="H143" s="145"/>
      <c r="I143" s="145"/>
      <c r="J143" s="145"/>
      <c r="K143" s="145"/>
      <c r="AE143" s="367">
        <f t="shared" si="111"/>
        <v>2940000000</v>
      </c>
      <c r="AF143" s="158">
        <f t="shared" ref="AF143" si="119">AF325</f>
        <v>3500</v>
      </c>
      <c r="AG143" s="41">
        <v>140</v>
      </c>
      <c r="AH143" s="41" t="s">
        <v>376</v>
      </c>
      <c r="AI143" s="158">
        <f t="shared" si="91"/>
        <v>13617.776986037597</v>
      </c>
      <c r="AJ143" s="158">
        <f t="shared" si="92"/>
        <v>657.44476798848643</v>
      </c>
      <c r="AK143" s="362">
        <f t="shared" si="108"/>
        <v>12960.33221804911</v>
      </c>
      <c r="AL143" s="433">
        <f t="shared" si="93"/>
        <v>4.6318969340263925</v>
      </c>
      <c r="AM143" s="382">
        <f t="shared" si="94"/>
        <v>0.22362066938383893</v>
      </c>
      <c r="AN143" s="382">
        <f t="shared" si="95"/>
        <v>4.408276264642554</v>
      </c>
      <c r="AO143" s="384">
        <f t="shared" si="96"/>
        <v>4.4399904823737977</v>
      </c>
      <c r="BN143"/>
      <c r="BO143"/>
      <c r="BP143"/>
      <c r="BQ143"/>
      <c r="BR143"/>
      <c r="BS143"/>
      <c r="BT143"/>
      <c r="BU143"/>
      <c r="BV143"/>
      <c r="BW143"/>
      <c r="BX143"/>
      <c r="BY143"/>
      <c r="BZ143"/>
      <c r="CA143"/>
    </row>
    <row r="144" spans="4:79" x14ac:dyDescent="0.3">
      <c r="D144"/>
      <c r="E144" s="145"/>
      <c r="F144" s="145"/>
      <c r="G144" s="145"/>
      <c r="H144" s="145"/>
      <c r="I144" s="145"/>
      <c r="J144" s="145"/>
      <c r="K144" s="145"/>
      <c r="AE144" s="367">
        <f t="shared" si="111"/>
        <v>2961000000</v>
      </c>
      <c r="AF144" s="158">
        <f t="shared" ref="AF144" si="120">AF326</f>
        <v>3525</v>
      </c>
      <c r="AG144" s="41">
        <v>141</v>
      </c>
      <c r="AH144" s="41" t="s">
        <v>376</v>
      </c>
      <c r="AI144" s="158">
        <f t="shared" si="91"/>
        <v>13711.016786167447</v>
      </c>
      <c r="AJ144" s="158">
        <f t="shared" si="92"/>
        <v>657.44476798848643</v>
      </c>
      <c r="AK144" s="362">
        <f t="shared" si="108"/>
        <v>13053.57201817896</v>
      </c>
      <c r="AL144" s="433">
        <f t="shared" si="93"/>
        <v>4.6305358953621907</v>
      </c>
      <c r="AM144" s="382">
        <f t="shared" si="94"/>
        <v>0.22203470718962728</v>
      </c>
      <c r="AN144" s="382">
        <f t="shared" si="95"/>
        <v>4.4085011881725631</v>
      </c>
      <c r="AO144" s="384">
        <f t="shared" si="96"/>
        <v>4.4399904823737977</v>
      </c>
      <c r="BN144"/>
      <c r="BO144"/>
      <c r="BP144"/>
      <c r="BQ144"/>
      <c r="BR144"/>
      <c r="BS144"/>
      <c r="BT144"/>
      <c r="BU144"/>
      <c r="BV144"/>
      <c r="BW144"/>
      <c r="BX144"/>
      <c r="BY144"/>
      <c r="BZ144"/>
      <c r="CA144"/>
    </row>
    <row r="145" spans="4:79" x14ac:dyDescent="0.3">
      <c r="D145"/>
      <c r="E145" s="145"/>
      <c r="F145" s="145"/>
      <c r="G145" s="145"/>
      <c r="H145" s="145"/>
      <c r="I145" s="145"/>
      <c r="J145" s="145"/>
      <c r="K145" s="145"/>
      <c r="AE145" s="367">
        <f t="shared" si="111"/>
        <v>2982000000</v>
      </c>
      <c r="AF145" s="158">
        <f t="shared" ref="AF145" si="121">AF327</f>
        <v>3550</v>
      </c>
      <c r="AG145" s="41">
        <v>142</v>
      </c>
      <c r="AH145" s="41" t="s">
        <v>376</v>
      </c>
      <c r="AI145" s="158">
        <f t="shared" si="91"/>
        <v>13804.256586297297</v>
      </c>
      <c r="AJ145" s="158">
        <f t="shared" si="92"/>
        <v>657.44476798848643</v>
      </c>
      <c r="AK145" s="362">
        <f t="shared" si="108"/>
        <v>13146.81181830881</v>
      </c>
      <c r="AL145" s="433">
        <f t="shared" si="93"/>
        <v>4.6291940262566387</v>
      </c>
      <c r="AM145" s="382">
        <f t="shared" si="94"/>
        <v>0.22047108249110881</v>
      </c>
      <c r="AN145" s="382">
        <f t="shared" si="95"/>
        <v>4.4087229437655298</v>
      </c>
      <c r="AO145" s="384">
        <f t="shared" si="96"/>
        <v>4.4399904823737977</v>
      </c>
      <c r="BN145"/>
      <c r="BO145"/>
      <c r="BP145"/>
      <c r="BQ145"/>
      <c r="BR145"/>
      <c r="BS145"/>
      <c r="BT145"/>
      <c r="BU145"/>
      <c r="BV145"/>
      <c r="BW145"/>
      <c r="BX145"/>
      <c r="BY145"/>
      <c r="BZ145"/>
      <c r="CA145"/>
    </row>
    <row r="146" spans="4:79" x14ac:dyDescent="0.3">
      <c r="D146"/>
      <c r="E146" s="145"/>
      <c r="F146" s="145"/>
      <c r="G146" s="145"/>
      <c r="H146" s="145"/>
      <c r="I146" s="145"/>
      <c r="J146" s="145"/>
      <c r="K146" s="145"/>
      <c r="AE146" s="367">
        <f t="shared" si="111"/>
        <v>3003000000</v>
      </c>
      <c r="AF146" s="158">
        <f t="shared" ref="AF146" si="122">AF328</f>
        <v>3575</v>
      </c>
      <c r="AG146" s="41">
        <v>143</v>
      </c>
      <c r="AH146" s="41" t="s">
        <v>376</v>
      </c>
      <c r="AI146" s="158">
        <f t="shared" si="91"/>
        <v>13897.496386427147</v>
      </c>
      <c r="AJ146" s="158">
        <f t="shared" si="92"/>
        <v>657.44476798848643</v>
      </c>
      <c r="AK146" s="362">
        <f t="shared" si="108"/>
        <v>13240.05161843866</v>
      </c>
      <c r="AL146" s="433">
        <f t="shared" si="93"/>
        <v>4.6278709245511642</v>
      </c>
      <c r="AM146" s="382">
        <f t="shared" si="94"/>
        <v>0.21892932666949266</v>
      </c>
      <c r="AN146" s="382">
        <f t="shared" si="95"/>
        <v>4.4089415978816717</v>
      </c>
      <c r="AO146" s="384">
        <f t="shared" si="96"/>
        <v>4.4399904823737977</v>
      </c>
      <c r="BN146"/>
      <c r="BO146"/>
      <c r="BP146"/>
      <c r="BQ146"/>
      <c r="BR146"/>
      <c r="BS146"/>
      <c r="BT146"/>
      <c r="BU146"/>
      <c r="BV146"/>
      <c r="BW146"/>
      <c r="BX146"/>
      <c r="BY146"/>
      <c r="BZ146"/>
      <c r="CA146"/>
    </row>
    <row r="147" spans="4:79" x14ac:dyDescent="0.3">
      <c r="D147"/>
      <c r="E147" s="145"/>
      <c r="F147" s="145"/>
      <c r="G147" s="145"/>
      <c r="H147" s="145"/>
      <c r="I147" s="145"/>
      <c r="J147" s="145"/>
      <c r="K147" s="145"/>
      <c r="AE147" s="367">
        <f t="shared" si="111"/>
        <v>3024000000</v>
      </c>
      <c r="AF147" s="158">
        <f t="shared" ref="AF147" si="123">AF329</f>
        <v>3600</v>
      </c>
      <c r="AG147" s="41">
        <v>144</v>
      </c>
      <c r="AH147" s="41" t="s">
        <v>376</v>
      </c>
      <c r="AI147" s="158">
        <f t="shared" si="91"/>
        <v>13990.736186556996</v>
      </c>
      <c r="AJ147" s="158">
        <f t="shared" si="92"/>
        <v>657.44476798848643</v>
      </c>
      <c r="AK147" s="362">
        <f t="shared" si="108"/>
        <v>13333.291418568509</v>
      </c>
      <c r="AL147" s="433">
        <f t="shared" si="93"/>
        <v>4.6265661992582663</v>
      </c>
      <c r="AM147" s="382">
        <f t="shared" si="94"/>
        <v>0.21740898412317672</v>
      </c>
      <c r="AN147" s="382">
        <f t="shared" si="95"/>
        <v>4.4091572151350897</v>
      </c>
      <c r="AO147" s="384">
        <f t="shared" si="96"/>
        <v>4.4399904823737977</v>
      </c>
      <c r="BN147"/>
      <c r="BO147"/>
      <c r="BP147"/>
      <c r="BQ147"/>
      <c r="BR147"/>
      <c r="BS147"/>
      <c r="BT147"/>
      <c r="BU147"/>
      <c r="BV147"/>
      <c r="BW147"/>
      <c r="BX147"/>
      <c r="BY147"/>
      <c r="BZ147"/>
      <c r="CA147"/>
    </row>
    <row r="148" spans="4:79" x14ac:dyDescent="0.3">
      <c r="D148"/>
      <c r="E148" s="145"/>
      <c r="F148" s="145"/>
      <c r="G148" s="145"/>
      <c r="H148" s="145"/>
      <c r="I148" s="145"/>
      <c r="J148" s="145"/>
      <c r="K148" s="145"/>
      <c r="AE148" s="367">
        <f t="shared" si="111"/>
        <v>3045000000</v>
      </c>
      <c r="AF148" s="158">
        <f t="shared" ref="AF148" si="124">AF330</f>
        <v>3625</v>
      </c>
      <c r="AG148" s="41">
        <v>145</v>
      </c>
      <c r="AH148" s="41" t="s">
        <v>376</v>
      </c>
      <c r="AI148" s="158">
        <f t="shared" si="91"/>
        <v>14083.975986686846</v>
      </c>
      <c r="AJ148" s="158">
        <f t="shared" si="92"/>
        <v>657.44476798848643</v>
      </c>
      <c r="AK148" s="362">
        <f t="shared" si="108"/>
        <v>13426.531218698359</v>
      </c>
      <c r="AL148" s="433">
        <f t="shared" si="93"/>
        <v>4.625279470176304</v>
      </c>
      <c r="AM148" s="382">
        <f t="shared" si="94"/>
        <v>0.21590961181887897</v>
      </c>
      <c r="AN148" s="382">
        <f t="shared" si="95"/>
        <v>4.409369858357425</v>
      </c>
      <c r="AO148" s="384">
        <f t="shared" si="96"/>
        <v>4.4399904823737977</v>
      </c>
      <c r="BN148"/>
      <c r="BO148"/>
      <c r="BP148"/>
      <c r="BQ148"/>
      <c r="BR148"/>
      <c r="BS148"/>
      <c r="BT148"/>
      <c r="BU148"/>
      <c r="BV148"/>
      <c r="BW148"/>
      <c r="BX148"/>
      <c r="BY148"/>
      <c r="BZ148"/>
      <c r="CA148"/>
    </row>
    <row r="149" spans="4:79" x14ac:dyDescent="0.3">
      <c r="D149"/>
      <c r="E149" s="145"/>
      <c r="F149" s="145"/>
      <c r="G149" s="145"/>
      <c r="H149" s="145"/>
      <c r="I149" s="145"/>
      <c r="J149" s="145"/>
      <c r="K149" s="145"/>
      <c r="AE149" s="367">
        <f t="shared" si="111"/>
        <v>3066000000</v>
      </c>
      <c r="AF149" s="158">
        <f t="shared" ref="AF149" si="125">AF331</f>
        <v>3650</v>
      </c>
      <c r="AG149" s="41">
        <v>146</v>
      </c>
      <c r="AH149" s="41" t="s">
        <v>376</v>
      </c>
      <c r="AI149" s="158">
        <f t="shared" si="91"/>
        <v>14177.215786816696</v>
      </c>
      <c r="AJ149" s="158">
        <f t="shared" si="92"/>
        <v>657.44476798848643</v>
      </c>
      <c r="AK149" s="362">
        <f t="shared" si="108"/>
        <v>13519.771018828209</v>
      </c>
      <c r="AL149" s="433">
        <f t="shared" si="93"/>
        <v>4.624010367520123</v>
      </c>
      <c r="AM149" s="382">
        <f t="shared" si="94"/>
        <v>0.21443077886121542</v>
      </c>
      <c r="AN149" s="382">
        <f t="shared" si="95"/>
        <v>4.4095795886589073</v>
      </c>
      <c r="AO149" s="384">
        <f t="shared" si="96"/>
        <v>4.4399904823737977</v>
      </c>
      <c r="BN149"/>
      <c r="BO149"/>
      <c r="BP149"/>
      <c r="BQ149"/>
      <c r="BR149"/>
      <c r="BS149"/>
      <c r="BT149"/>
      <c r="BU149"/>
      <c r="BV149"/>
      <c r="BW149"/>
      <c r="BX149"/>
      <c r="BY149"/>
      <c r="BZ149"/>
      <c r="CA149"/>
    </row>
    <row r="150" spans="4:79" x14ac:dyDescent="0.3">
      <c r="D150"/>
      <c r="E150" s="145"/>
      <c r="F150" s="145"/>
      <c r="G150" s="145"/>
      <c r="H150" s="145"/>
      <c r="I150" s="145"/>
      <c r="J150" s="145"/>
      <c r="K150" s="145"/>
      <c r="AE150" s="367">
        <f t="shared" si="111"/>
        <v>3087000000</v>
      </c>
      <c r="AF150" s="158">
        <f t="shared" ref="AF150" si="126">AF332</f>
        <v>3675</v>
      </c>
      <c r="AG150" s="41">
        <v>147</v>
      </c>
      <c r="AH150" s="41" t="s">
        <v>376</v>
      </c>
      <c r="AI150" s="158">
        <f t="shared" si="91"/>
        <v>14270.455586946546</v>
      </c>
      <c r="AJ150" s="158">
        <f t="shared" si="92"/>
        <v>657.44476798848643</v>
      </c>
      <c r="AK150" s="362">
        <f t="shared" si="108"/>
        <v>13613.010818958059</v>
      </c>
      <c r="AL150" s="433">
        <f t="shared" si="93"/>
        <v>4.6227585315667454</v>
      </c>
      <c r="AM150" s="382">
        <f t="shared" si="94"/>
        <v>0.21297206607984662</v>
      </c>
      <c r="AN150" s="382">
        <f t="shared" si="95"/>
        <v>4.4097864654868992</v>
      </c>
      <c r="AO150" s="384">
        <f t="shared" si="96"/>
        <v>4.4399904823737977</v>
      </c>
      <c r="BN150"/>
      <c r="BO150"/>
      <c r="BP150"/>
      <c r="BQ150"/>
      <c r="BR150"/>
      <c r="BS150"/>
      <c r="BT150"/>
      <c r="BU150"/>
      <c r="BV150"/>
      <c r="BW150"/>
      <c r="BX150"/>
      <c r="BY150"/>
      <c r="BZ150"/>
      <c r="CA150"/>
    </row>
    <row r="151" spans="4:79" x14ac:dyDescent="0.3">
      <c r="D151"/>
      <c r="E151" s="145"/>
      <c r="F151" s="145"/>
      <c r="G151" s="145"/>
      <c r="H151" s="145"/>
      <c r="I151" s="145"/>
      <c r="J151" s="145"/>
      <c r="K151" s="145"/>
      <c r="AE151" s="367">
        <f t="shared" si="111"/>
        <v>3108000000</v>
      </c>
      <c r="AF151" s="158">
        <f t="shared" ref="AF151" si="127">AF333</f>
        <v>3700</v>
      </c>
      <c r="AG151" s="41">
        <v>148</v>
      </c>
      <c r="AH151" s="41" t="s">
        <v>376</v>
      </c>
      <c r="AI151" s="158">
        <f t="shared" si="91"/>
        <v>14363.695387076395</v>
      </c>
      <c r="AJ151" s="158">
        <f t="shared" si="92"/>
        <v>657.44476798848643</v>
      </c>
      <c r="AK151" s="362">
        <f t="shared" si="108"/>
        <v>13706.250619087908</v>
      </c>
      <c r="AL151" s="433">
        <f t="shared" si="93"/>
        <v>4.6215236123154426</v>
      </c>
      <c r="AM151" s="382">
        <f t="shared" si="94"/>
        <v>0.21153306563336113</v>
      </c>
      <c r="AN151" s="382">
        <f t="shared" si="95"/>
        <v>4.4099905466820815</v>
      </c>
      <c r="AO151" s="384">
        <f t="shared" si="96"/>
        <v>4.4399904823737977</v>
      </c>
      <c r="BN151"/>
      <c r="BO151"/>
      <c r="BP151"/>
      <c r="BQ151"/>
      <c r="BR151"/>
      <c r="BS151"/>
      <c r="BT151"/>
      <c r="BU151"/>
      <c r="BV151"/>
      <c r="BW151"/>
      <c r="BX151"/>
      <c r="BY151"/>
      <c r="BZ151"/>
      <c r="CA151"/>
    </row>
    <row r="152" spans="4:79" x14ac:dyDescent="0.3">
      <c r="D152"/>
      <c r="E152" s="145"/>
      <c r="F152" s="145"/>
      <c r="G152" s="145"/>
      <c r="H152" s="145"/>
      <c r="I152" s="145"/>
      <c r="J152" s="145"/>
      <c r="K152" s="145"/>
      <c r="AE152" s="367">
        <f t="shared" si="111"/>
        <v>3129000000</v>
      </c>
      <c r="AF152" s="158">
        <f t="shared" ref="AF152" si="128">AF334</f>
        <v>3725</v>
      </c>
      <c r="AG152" s="41">
        <v>149</v>
      </c>
      <c r="AH152" s="41" t="s">
        <v>376</v>
      </c>
      <c r="AI152" s="158">
        <f t="shared" si="91"/>
        <v>14456.935187206245</v>
      </c>
      <c r="AJ152" s="158">
        <f t="shared" si="92"/>
        <v>657.44476798848643</v>
      </c>
      <c r="AK152" s="362">
        <f t="shared" si="108"/>
        <v>13799.490419217758</v>
      </c>
      <c r="AL152" s="433">
        <f t="shared" si="93"/>
        <v>4.620305269161471</v>
      </c>
      <c r="AM152" s="382">
        <f t="shared" si="94"/>
        <v>0.21011338062911039</v>
      </c>
      <c r="AN152" s="382">
        <f t="shared" si="95"/>
        <v>4.4101918885323608</v>
      </c>
      <c r="AO152" s="384">
        <f t="shared" si="96"/>
        <v>4.4399904823737977</v>
      </c>
      <c r="BN152"/>
      <c r="BO152"/>
      <c r="BP152"/>
      <c r="BQ152"/>
      <c r="BR152"/>
      <c r="BS152"/>
      <c r="BT152"/>
      <c r="BU152"/>
      <c r="BV152"/>
      <c r="BW152"/>
      <c r="BX152"/>
      <c r="BY152"/>
      <c r="BZ152"/>
      <c r="CA152"/>
    </row>
    <row r="153" spans="4:79" x14ac:dyDescent="0.3">
      <c r="D153"/>
      <c r="E153" s="145"/>
      <c r="F153" s="145"/>
      <c r="G153" s="145"/>
      <c r="H153" s="145"/>
      <c r="I153" s="145"/>
      <c r="J153" s="145"/>
      <c r="K153" s="145"/>
      <c r="AE153" s="367">
        <f t="shared" si="111"/>
        <v>3150000000</v>
      </c>
      <c r="AF153" s="158">
        <f t="shared" ref="AF153" si="129">AF335</f>
        <v>3750</v>
      </c>
      <c r="AG153" s="41">
        <v>150</v>
      </c>
      <c r="AH153" s="41" t="s">
        <v>376</v>
      </c>
      <c r="AI153" s="158">
        <f t="shared" si="91"/>
        <v>14550.174987336095</v>
      </c>
      <c r="AJ153" s="158">
        <f t="shared" si="92"/>
        <v>657.44476798848643</v>
      </c>
      <c r="AK153" s="362">
        <f t="shared" si="108"/>
        <v>13892.730219347608</v>
      </c>
      <c r="AL153" s="433">
        <f t="shared" si="93"/>
        <v>4.6191031705828873</v>
      </c>
      <c r="AM153" s="382">
        <f t="shared" si="94"/>
        <v>0.20871262475824967</v>
      </c>
      <c r="AN153" s="382">
        <f t="shared" si="95"/>
        <v>4.4103905458246375</v>
      </c>
      <c r="AO153" s="384">
        <f t="shared" si="96"/>
        <v>4.4399904823737977</v>
      </c>
      <c r="BN153"/>
      <c r="BO153"/>
      <c r="BP153"/>
      <c r="BQ153"/>
      <c r="BR153"/>
      <c r="BS153"/>
      <c r="BT153"/>
      <c r="BU153"/>
      <c r="BV153"/>
      <c r="BW153"/>
      <c r="BX153"/>
      <c r="BY153"/>
      <c r="BZ153"/>
      <c r="CA153"/>
    </row>
    <row r="154" spans="4:79" x14ac:dyDescent="0.3">
      <c r="D154"/>
      <c r="E154" s="145"/>
      <c r="F154" s="145"/>
      <c r="G154" s="145"/>
      <c r="H154" s="145"/>
      <c r="I154" s="145"/>
      <c r="J154" s="145"/>
      <c r="K154" s="145"/>
      <c r="AE154" s="367">
        <f t="shared" si="111"/>
        <v>3171000000</v>
      </c>
      <c r="AF154" s="158">
        <f t="shared" ref="AF154" si="130">AF336</f>
        <v>3775</v>
      </c>
      <c r="AG154" s="41">
        <v>151</v>
      </c>
      <c r="AH154" s="41" t="s">
        <v>376</v>
      </c>
      <c r="AI154" s="158">
        <f t="shared" si="91"/>
        <v>14643.414787465945</v>
      </c>
      <c r="AJ154" s="158">
        <f t="shared" ref="AJ154:AJ180" si="131">SUM($AI$368:$AL$368,$BK$368)</f>
        <v>657.44476798848643</v>
      </c>
      <c r="AK154" s="362">
        <f t="shared" si="108"/>
        <v>13985.970019477458</v>
      </c>
      <c r="AL154" s="433">
        <f t="shared" si="93"/>
        <v>4.6179169938397804</v>
      </c>
      <c r="AM154" s="382">
        <f t="shared" si="94"/>
        <v>0.20733042194528112</v>
      </c>
      <c r="AN154" s="382">
        <f t="shared" si="95"/>
        <v>4.4105865718944992</v>
      </c>
      <c r="AO154" s="384">
        <f t="shared" si="96"/>
        <v>4.4399904823737977</v>
      </c>
      <c r="BN154"/>
      <c r="BO154"/>
      <c r="BP154"/>
      <c r="BQ154"/>
      <c r="BR154"/>
      <c r="BS154"/>
      <c r="BT154"/>
      <c r="BU154"/>
      <c r="BV154"/>
      <c r="BW154"/>
      <c r="BX154"/>
      <c r="BY154"/>
      <c r="BZ154"/>
      <c r="CA154"/>
    </row>
    <row r="155" spans="4:79" x14ac:dyDescent="0.3">
      <c r="D155"/>
      <c r="E155" s="145"/>
      <c r="F155" s="145"/>
      <c r="G155" s="145"/>
      <c r="H155" s="145"/>
      <c r="I155" s="145"/>
      <c r="J155" s="145"/>
      <c r="K155" s="145"/>
      <c r="AE155" s="367">
        <f t="shared" si="111"/>
        <v>3192000000</v>
      </c>
      <c r="AF155" s="158">
        <f t="shared" ref="AF155" si="132">AF337</f>
        <v>3800</v>
      </c>
      <c r="AG155" s="41">
        <v>152</v>
      </c>
      <c r="AH155" s="41" t="s">
        <v>376</v>
      </c>
      <c r="AI155" s="158">
        <f t="shared" si="91"/>
        <v>14736.654587595795</v>
      </c>
      <c r="AJ155" s="158">
        <f t="shared" si="131"/>
        <v>657.44476798848643</v>
      </c>
      <c r="AK155" s="362">
        <f t="shared" si="108"/>
        <v>14079.209819607308</v>
      </c>
      <c r="AL155" s="433">
        <f t="shared" si="93"/>
        <v>4.6167464246853989</v>
      </c>
      <c r="AM155" s="382">
        <f t="shared" si="94"/>
        <v>0.20596640601143057</v>
      </c>
      <c r="AN155" s="382">
        <f t="shared" si="95"/>
        <v>4.4107800186739681</v>
      </c>
      <c r="AO155" s="384">
        <f t="shared" si="96"/>
        <v>4.4399904823737977</v>
      </c>
      <c r="BN155"/>
      <c r="BO155"/>
      <c r="BP155"/>
      <c r="BQ155"/>
      <c r="BR155"/>
      <c r="BS155"/>
      <c r="BT155"/>
      <c r="BU155"/>
      <c r="BV155"/>
      <c r="BW155"/>
      <c r="BX155"/>
      <c r="BY155"/>
      <c r="BZ155"/>
      <c r="CA155"/>
    </row>
    <row r="156" spans="4:79" x14ac:dyDescent="0.3">
      <c r="D156"/>
      <c r="E156" s="145"/>
      <c r="F156" s="145"/>
      <c r="G156" s="145"/>
      <c r="H156" s="145"/>
      <c r="I156" s="145"/>
      <c r="J156" s="145"/>
      <c r="K156" s="145"/>
      <c r="AE156" s="367">
        <f t="shared" si="111"/>
        <v>3213000000</v>
      </c>
      <c r="AF156" s="158">
        <f t="shared" ref="AF156" si="133">AF338</f>
        <v>3825</v>
      </c>
      <c r="AG156" s="41">
        <v>153</v>
      </c>
      <c r="AH156" s="41" t="s">
        <v>376</v>
      </c>
      <c r="AI156" s="158">
        <f t="shared" si="91"/>
        <v>14829.894387725644</v>
      </c>
      <c r="AJ156" s="158">
        <f t="shared" si="131"/>
        <v>657.44476798848643</v>
      </c>
      <c r="AK156" s="362">
        <f t="shared" si="108"/>
        <v>14172.449619737157</v>
      </c>
      <c r="AL156" s="433">
        <f t="shared" si="93"/>
        <v>4.6155911570885912</v>
      </c>
      <c r="AM156" s="382">
        <f t="shared" si="94"/>
        <v>0.20462022035122518</v>
      </c>
      <c r="AN156" s="382">
        <f t="shared" si="95"/>
        <v>4.4109709367373657</v>
      </c>
      <c r="AO156" s="384">
        <f t="shared" si="96"/>
        <v>4.4399904823737977</v>
      </c>
      <c r="BN156"/>
      <c r="BO156"/>
      <c r="BP156"/>
      <c r="BQ156"/>
      <c r="BR156"/>
      <c r="BS156"/>
      <c r="BT156"/>
      <c r="BU156"/>
      <c r="BV156"/>
      <c r="BW156"/>
      <c r="BX156"/>
      <c r="BY156"/>
      <c r="BZ156"/>
      <c r="CA156"/>
    </row>
    <row r="157" spans="4:79" x14ac:dyDescent="0.3">
      <c r="D157"/>
      <c r="E157" s="145"/>
      <c r="F157" s="145"/>
      <c r="G157" s="145"/>
      <c r="H157" s="145"/>
      <c r="I157" s="145"/>
      <c r="J157" s="145"/>
      <c r="K157" s="145"/>
      <c r="AE157" s="367">
        <f t="shared" si="111"/>
        <v>3234000000</v>
      </c>
      <c r="AF157" s="158">
        <f t="shared" ref="AF157" si="134">AF339</f>
        <v>3850</v>
      </c>
      <c r="AG157" s="41">
        <v>154</v>
      </c>
      <c r="AH157" s="41" t="s">
        <v>376</v>
      </c>
      <c r="AI157" s="158">
        <f t="shared" si="91"/>
        <v>14923.134187855494</v>
      </c>
      <c r="AJ157" s="158">
        <f t="shared" si="131"/>
        <v>657.44476798848643</v>
      </c>
      <c r="AK157" s="362">
        <f t="shared" si="108"/>
        <v>14265.689419867007</v>
      </c>
      <c r="AL157" s="433">
        <f t="shared" si="93"/>
        <v>4.6144508929670662</v>
      </c>
      <c r="AM157" s="382">
        <f t="shared" si="94"/>
        <v>0.20329151762167175</v>
      </c>
      <c r="AN157" s="382">
        <f t="shared" si="95"/>
        <v>4.4111593753453944</v>
      </c>
      <c r="AO157" s="384">
        <f t="shared" si="96"/>
        <v>4.4399904823737977</v>
      </c>
      <c r="BN157"/>
      <c r="BO157"/>
      <c r="BP157"/>
      <c r="BQ157"/>
      <c r="BR157"/>
      <c r="BS157"/>
      <c r="BT157"/>
      <c r="BU157"/>
      <c r="BV157"/>
      <c r="BW157"/>
      <c r="BX157"/>
      <c r="BY157"/>
      <c r="BZ157"/>
      <c r="CA157"/>
    </row>
    <row r="158" spans="4:79" x14ac:dyDescent="0.3">
      <c r="D158"/>
      <c r="E158" s="145"/>
      <c r="F158" s="145"/>
      <c r="G158" s="145"/>
      <c r="H158" s="145"/>
      <c r="I158" s="145"/>
      <c r="J158" s="145"/>
      <c r="K158" s="145"/>
      <c r="AE158" s="367">
        <f t="shared" si="111"/>
        <v>3255000000</v>
      </c>
      <c r="AF158" s="158">
        <f t="shared" ref="AF158" si="135">AF340</f>
        <v>3875</v>
      </c>
      <c r="AG158" s="41">
        <v>155</v>
      </c>
      <c r="AH158" s="41" t="s">
        <v>376</v>
      </c>
      <c r="AI158" s="158">
        <f t="shared" si="91"/>
        <v>15016.373987985344</v>
      </c>
      <c r="AJ158" s="158">
        <f t="shared" si="131"/>
        <v>657.44476798848643</v>
      </c>
      <c r="AK158" s="362">
        <f t="shared" si="108"/>
        <v>14358.929219996857</v>
      </c>
      <c r="AL158" s="433">
        <f t="shared" si="93"/>
        <v>4.613325341930981</v>
      </c>
      <c r="AM158" s="382">
        <f t="shared" si="94"/>
        <v>0.20197995944346742</v>
      </c>
      <c r="AN158" s="382">
        <f t="shared" si="95"/>
        <v>4.4113453824875135</v>
      </c>
      <c r="AO158" s="384">
        <f t="shared" si="96"/>
        <v>4.4399904823737977</v>
      </c>
      <c r="BN158"/>
      <c r="BO158"/>
      <c r="BP158"/>
      <c r="BQ158"/>
      <c r="BR158"/>
      <c r="BS158"/>
      <c r="BT158"/>
      <c r="BU158"/>
      <c r="BV158"/>
      <c r="BW158"/>
      <c r="BX158"/>
      <c r="BY158"/>
      <c r="BZ158"/>
      <c r="CA158"/>
    </row>
    <row r="159" spans="4:79" x14ac:dyDescent="0.3">
      <c r="D159"/>
      <c r="E159" s="145"/>
      <c r="F159" s="145"/>
      <c r="G159" s="145"/>
      <c r="H159" s="145"/>
      <c r="I159" s="145"/>
      <c r="J159" s="145"/>
      <c r="K159" s="145"/>
      <c r="AE159" s="367">
        <f t="shared" si="111"/>
        <v>3276000000</v>
      </c>
      <c r="AF159" s="158">
        <f t="shared" ref="AF159" si="136">AF341</f>
        <v>3900</v>
      </c>
      <c r="AG159" s="41">
        <v>156</v>
      </c>
      <c r="AH159" s="41" t="s">
        <v>376</v>
      </c>
      <c r="AI159" s="158">
        <f t="shared" si="91"/>
        <v>15109.613788115194</v>
      </c>
      <c r="AJ159" s="158">
        <f t="shared" si="131"/>
        <v>657.44476798848643</v>
      </c>
      <c r="AK159" s="362">
        <f t="shared" si="108"/>
        <v>14452.169020126707</v>
      </c>
      <c r="AL159" s="433">
        <f t="shared" si="93"/>
        <v>4.6122142210363837</v>
      </c>
      <c r="AM159" s="382">
        <f t="shared" si="94"/>
        <v>0.2006852161137016</v>
      </c>
      <c r="AN159" s="382">
        <f t="shared" si="95"/>
        <v>4.4115290049226825</v>
      </c>
      <c r="AO159" s="384">
        <f t="shared" si="96"/>
        <v>4.4399904823737977</v>
      </c>
      <c r="BN159"/>
      <c r="BO159"/>
      <c r="BP159"/>
      <c r="BQ159"/>
      <c r="BR159"/>
      <c r="BS159"/>
      <c r="BT159"/>
      <c r="BU159"/>
      <c r="BV159"/>
      <c r="BW159"/>
      <c r="BX159"/>
      <c r="BY159"/>
      <c r="BZ159"/>
      <c r="CA159"/>
    </row>
    <row r="160" spans="4:79" x14ac:dyDescent="0.3">
      <c r="D160"/>
      <c r="E160" s="145"/>
      <c r="F160" s="145"/>
      <c r="G160" s="145"/>
      <c r="H160" s="145"/>
      <c r="I160" s="145"/>
      <c r="J160" s="145"/>
      <c r="K160" s="145"/>
      <c r="AE160" s="367">
        <f t="shared" si="111"/>
        <v>3297000000</v>
      </c>
      <c r="AF160" s="158">
        <f t="shared" ref="AF160" si="137">AF342</f>
        <v>3925</v>
      </c>
      <c r="AG160" s="41">
        <v>157</v>
      </c>
      <c r="AH160" s="41" t="s">
        <v>376</v>
      </c>
      <c r="AI160" s="158">
        <f t="shared" si="91"/>
        <v>15202.853588245043</v>
      </c>
      <c r="AJ160" s="158">
        <f t="shared" si="131"/>
        <v>657.44476798848643</v>
      </c>
      <c r="AK160" s="362">
        <f t="shared" si="108"/>
        <v>14545.408820256556</v>
      </c>
      <c r="AL160" s="433">
        <f t="shared" si="93"/>
        <v>4.6111172545480876</v>
      </c>
      <c r="AM160" s="382">
        <f t="shared" si="94"/>
        <v>0.19940696632953789</v>
      </c>
      <c r="AN160" s="382">
        <f t="shared" si="95"/>
        <v>4.4117102882185497</v>
      </c>
      <c r="AO160" s="384">
        <f t="shared" si="96"/>
        <v>4.4399904823737977</v>
      </c>
      <c r="BN160"/>
      <c r="BO160"/>
      <c r="BP160"/>
      <c r="BQ160"/>
      <c r="BR160"/>
      <c r="BS160"/>
      <c r="BT160"/>
      <c r="BU160"/>
      <c r="BV160"/>
      <c r="BW160"/>
      <c r="BX160"/>
      <c r="BY160"/>
      <c r="BZ160"/>
      <c r="CA160"/>
    </row>
    <row r="161" spans="4:79" x14ac:dyDescent="0.3">
      <c r="D161"/>
      <c r="E161" s="145"/>
      <c r="F161" s="145"/>
      <c r="G161" s="145"/>
      <c r="H161" s="145"/>
      <c r="I161" s="145"/>
      <c r="J161" s="145"/>
      <c r="K161" s="145"/>
      <c r="AE161" s="367">
        <f t="shared" si="111"/>
        <v>3318000000</v>
      </c>
      <c r="AF161" s="158">
        <f t="shared" ref="AF161" si="138">AF343</f>
        <v>3950</v>
      </c>
      <c r="AG161" s="41">
        <v>158</v>
      </c>
      <c r="AH161" s="41" t="s">
        <v>376</v>
      </c>
      <c r="AI161" s="158">
        <f t="shared" si="91"/>
        <v>15296.093388374893</v>
      </c>
      <c r="AJ161" s="158">
        <f t="shared" si="131"/>
        <v>657.44476798848643</v>
      </c>
      <c r="AK161" s="362">
        <f t="shared" si="108"/>
        <v>14638.648620386406</v>
      </c>
      <c r="AL161" s="433">
        <f t="shared" si="93"/>
        <v>4.61003417371154</v>
      </c>
      <c r="AM161" s="382">
        <f t="shared" si="94"/>
        <v>0.1981448969223889</v>
      </c>
      <c r="AN161" s="382">
        <f t="shared" si="95"/>
        <v>4.4118892767891511</v>
      </c>
      <c r="AO161" s="384">
        <f t="shared" si="96"/>
        <v>4.4399904823737977</v>
      </c>
      <c r="BN161"/>
      <c r="BO161"/>
      <c r="BP161"/>
      <c r="BQ161"/>
      <c r="BR161"/>
      <c r="BS161"/>
      <c r="BT161"/>
      <c r="BU161"/>
      <c r="BV161"/>
      <c r="BW161"/>
      <c r="BX161"/>
      <c r="BY161"/>
      <c r="BZ161"/>
      <c r="CA161"/>
    </row>
    <row r="162" spans="4:79" x14ac:dyDescent="0.3">
      <c r="D162"/>
      <c r="E162" s="145"/>
      <c r="F162" s="145"/>
      <c r="G162" s="145"/>
      <c r="H162" s="145"/>
      <c r="I162" s="145"/>
      <c r="J162" s="145"/>
      <c r="K162" s="145"/>
      <c r="AE162" s="367">
        <f t="shared" si="111"/>
        <v>3339000000</v>
      </c>
      <c r="AF162" s="158">
        <f t="shared" ref="AF162" si="139">AF344</f>
        <v>3975</v>
      </c>
      <c r="AG162" s="41">
        <v>159</v>
      </c>
      <c r="AH162" s="41" t="s">
        <v>376</v>
      </c>
      <c r="AI162" s="158">
        <f t="shared" si="91"/>
        <v>15389.333188504743</v>
      </c>
      <c r="AJ162" s="158">
        <f t="shared" si="131"/>
        <v>657.44476798848643</v>
      </c>
      <c r="AK162" s="362">
        <f t="shared" si="108"/>
        <v>14731.888420516256</v>
      </c>
      <c r="AL162" s="433">
        <f t="shared" si="93"/>
        <v>4.6089647165333165</v>
      </c>
      <c r="AM162" s="382">
        <f t="shared" si="94"/>
        <v>0.19689870260212231</v>
      </c>
      <c r="AN162" s="382">
        <f t="shared" si="95"/>
        <v>4.4120660139311942</v>
      </c>
      <c r="AO162" s="384">
        <f t="shared" si="96"/>
        <v>4.4399904823737977</v>
      </c>
      <c r="BN162"/>
      <c r="BO162"/>
      <c r="BP162"/>
      <c r="BQ162"/>
      <c r="BR162"/>
      <c r="BS162"/>
      <c r="BT162"/>
      <c r="BU162"/>
      <c r="BV162"/>
      <c r="BW162"/>
      <c r="BX162"/>
      <c r="BY162"/>
      <c r="BZ162"/>
      <c r="CA162"/>
    </row>
    <row r="163" spans="4:79" x14ac:dyDescent="0.3">
      <c r="D163"/>
      <c r="E163" s="145"/>
      <c r="F163" s="145"/>
      <c r="G163" s="145"/>
      <c r="H163" s="145"/>
      <c r="I163" s="145"/>
      <c r="J163" s="145"/>
      <c r="K163" s="145"/>
      <c r="AE163" s="367">
        <f t="shared" si="111"/>
        <v>3360000000</v>
      </c>
      <c r="AF163" s="158">
        <f t="shared" ref="AF163" si="140">AF345</f>
        <v>4000</v>
      </c>
      <c r="AG163" s="41">
        <v>160</v>
      </c>
      <c r="AH163" s="41" t="s">
        <v>376</v>
      </c>
      <c r="AI163" s="158">
        <f t="shared" si="91"/>
        <v>15482.572988634593</v>
      </c>
      <c r="AJ163" s="158">
        <f t="shared" si="131"/>
        <v>657.44476798848643</v>
      </c>
      <c r="AK163" s="362">
        <f t="shared" si="108"/>
        <v>14825.128220646106</v>
      </c>
      <c r="AL163" s="433">
        <f t="shared" si="93"/>
        <v>4.6079086275698193</v>
      </c>
      <c r="AM163" s="382">
        <f t="shared" si="94"/>
        <v>0.19566808571085906</v>
      </c>
      <c r="AN163" s="382">
        <f t="shared" si="95"/>
        <v>4.4122405418589601</v>
      </c>
      <c r="AO163" s="384">
        <f t="shared" si="96"/>
        <v>4.4399904823737977</v>
      </c>
      <c r="BN163"/>
      <c r="BO163"/>
      <c r="BP163"/>
      <c r="BQ163"/>
      <c r="BR163"/>
      <c r="BS163"/>
      <c r="BT163"/>
      <c r="BU163"/>
      <c r="BV163"/>
      <c r="BW163"/>
      <c r="BX163"/>
      <c r="BY163"/>
      <c r="BZ163"/>
      <c r="CA163"/>
    </row>
    <row r="164" spans="4:79" x14ac:dyDescent="0.3">
      <c r="D164"/>
      <c r="E164" s="145"/>
      <c r="F164" s="145"/>
      <c r="G164" s="145"/>
      <c r="H164" s="145"/>
      <c r="I164" s="145"/>
      <c r="J164" s="145"/>
      <c r="K164" s="145"/>
      <c r="AE164" s="367">
        <f t="shared" si="111"/>
        <v>3381000000</v>
      </c>
      <c r="AF164" s="158">
        <f t="shared" ref="AF164" si="141">AF346</f>
        <v>4025</v>
      </c>
      <c r="AG164" s="41">
        <v>161</v>
      </c>
      <c r="AH164" s="41" t="s">
        <v>376</v>
      </c>
      <c r="AI164" s="158">
        <f t="shared" si="91"/>
        <v>15575.812788764442</v>
      </c>
      <c r="AJ164" s="158">
        <f t="shared" si="131"/>
        <v>657.44476798848643</v>
      </c>
      <c r="AK164" s="362">
        <f t="shared" si="108"/>
        <v>14918.368020775955</v>
      </c>
      <c r="AL164" s="433">
        <f t="shared" si="93"/>
        <v>4.6068656577238807</v>
      </c>
      <c r="AM164" s="382">
        <f t="shared" si="94"/>
        <v>0.19445275598594688</v>
      </c>
      <c r="AN164" s="382">
        <f t="shared" si="95"/>
        <v>4.4124129017379339</v>
      </c>
      <c r="AO164" s="384">
        <f t="shared" si="96"/>
        <v>4.4399904823737977</v>
      </c>
      <c r="BN164"/>
      <c r="BO164"/>
      <c r="BP164"/>
      <c r="BQ164"/>
      <c r="BR164"/>
      <c r="BS164"/>
      <c r="BT164"/>
      <c r="BU164"/>
      <c r="BV164"/>
      <c r="BW164"/>
      <c r="BX164"/>
      <c r="BY164"/>
      <c r="BZ164"/>
      <c r="CA164"/>
    </row>
    <row r="165" spans="4:79" x14ac:dyDescent="0.3">
      <c r="D165"/>
      <c r="E165" s="145"/>
      <c r="F165" s="145"/>
      <c r="G165" s="145"/>
      <c r="H165" s="145"/>
      <c r="I165" s="145"/>
      <c r="J165" s="145"/>
      <c r="K165" s="145"/>
      <c r="AE165" s="367">
        <f t="shared" si="111"/>
        <v>3402000000</v>
      </c>
      <c r="AF165" s="158">
        <f t="shared" ref="AF165" si="142">AF347</f>
        <v>4050</v>
      </c>
      <c r="AG165" s="41">
        <v>162</v>
      </c>
      <c r="AH165" s="41" t="s">
        <v>376</v>
      </c>
      <c r="AI165" s="158">
        <f t="shared" si="91"/>
        <v>15669.052588894292</v>
      </c>
      <c r="AJ165" s="158">
        <f t="shared" si="131"/>
        <v>657.44476798848643</v>
      </c>
      <c r="AK165" s="362">
        <f t="shared" ref="AK165:AK196" si="143">AK164+SUM(AI529:AJ529,BK529)</f>
        <v>15011.607820905805</v>
      </c>
      <c r="AL165" s="433">
        <f t="shared" si="93"/>
        <v>4.6058355640488804</v>
      </c>
      <c r="AM165" s="382">
        <f t="shared" si="94"/>
        <v>0.19325243033171266</v>
      </c>
      <c r="AN165" s="382">
        <f t="shared" si="95"/>
        <v>4.4125831337171677</v>
      </c>
      <c r="AO165" s="384">
        <f t="shared" si="96"/>
        <v>4.4399904823737977</v>
      </c>
      <c r="BN165"/>
      <c r="BO165"/>
      <c r="BP165"/>
      <c r="BQ165"/>
      <c r="BR165"/>
      <c r="BS165"/>
      <c r="BT165"/>
      <c r="BU165"/>
      <c r="BV165"/>
      <c r="BW165"/>
      <c r="BX165"/>
      <c r="BY165"/>
      <c r="BZ165"/>
      <c r="CA165"/>
    </row>
    <row r="166" spans="4:79" x14ac:dyDescent="0.3">
      <c r="D166"/>
      <c r="E166" s="145"/>
      <c r="F166" s="145"/>
      <c r="G166" s="145"/>
      <c r="H166" s="145"/>
      <c r="I166" s="145"/>
      <c r="J166" s="145"/>
      <c r="K166" s="145"/>
      <c r="AE166" s="367">
        <f t="shared" si="111"/>
        <v>3423000000</v>
      </c>
      <c r="AF166" s="158">
        <f t="shared" ref="AF166" si="144">AF348</f>
        <v>4075</v>
      </c>
      <c r="AG166" s="41">
        <v>163</v>
      </c>
      <c r="AH166" s="41" t="s">
        <v>376</v>
      </c>
      <c r="AI166" s="158">
        <f t="shared" si="91"/>
        <v>15762.292389024142</v>
      </c>
      <c r="AJ166" s="158">
        <f t="shared" si="131"/>
        <v>657.44476798848643</v>
      </c>
      <c r="AK166" s="362">
        <f t="shared" si="143"/>
        <v>15104.847621035655</v>
      </c>
      <c r="AL166" s="433">
        <f t="shared" si="93"/>
        <v>4.6048181095600764</v>
      </c>
      <c r="AM166" s="382">
        <f t="shared" si="94"/>
        <v>0.19206683259961627</v>
      </c>
      <c r="AN166" s="382">
        <f t="shared" si="95"/>
        <v>4.41275127696046</v>
      </c>
      <c r="AO166" s="384">
        <f t="shared" si="96"/>
        <v>4.4399904823737977</v>
      </c>
      <c r="BN166"/>
      <c r="BO166"/>
      <c r="BP166"/>
      <c r="BQ166"/>
      <c r="BR166"/>
      <c r="BS166"/>
      <c r="BT166"/>
      <c r="BU166"/>
      <c r="BV166"/>
      <c r="BW166"/>
      <c r="BX166"/>
      <c r="BY166"/>
      <c r="BZ166"/>
      <c r="CA166"/>
    </row>
    <row r="167" spans="4:79" x14ac:dyDescent="0.3">
      <c r="D167"/>
      <c r="E167" s="145"/>
      <c r="F167" s="145"/>
      <c r="G167" s="145"/>
      <c r="H167" s="145"/>
      <c r="I167" s="145"/>
      <c r="J167" s="145"/>
      <c r="K167" s="145"/>
      <c r="AE167" s="367">
        <f t="shared" si="111"/>
        <v>3444000000</v>
      </c>
      <c r="AF167" s="158">
        <f t="shared" ref="AF167" si="145">AF349</f>
        <v>4100</v>
      </c>
      <c r="AG167" s="41">
        <v>164</v>
      </c>
      <c r="AH167" s="41" t="s">
        <v>376</v>
      </c>
      <c r="AI167" s="158">
        <f t="shared" si="91"/>
        <v>15855.532189153992</v>
      </c>
      <c r="AJ167" s="158">
        <f t="shared" si="131"/>
        <v>657.44476798848643</v>
      </c>
      <c r="AK167" s="362">
        <f t="shared" si="143"/>
        <v>15198.087421165505</v>
      </c>
      <c r="AL167" s="433">
        <f t="shared" si="93"/>
        <v>4.6038130630528435</v>
      </c>
      <c r="AM167" s="382">
        <f t="shared" si="94"/>
        <v>0.19089569337644785</v>
      </c>
      <c r="AN167" s="382">
        <f t="shared" si="95"/>
        <v>4.4129173696763955</v>
      </c>
      <c r="AO167" s="384">
        <f t="shared" si="96"/>
        <v>4.4399904823737977</v>
      </c>
      <c r="BN167"/>
      <c r="BO167"/>
      <c r="BP167"/>
      <c r="BQ167"/>
      <c r="BR167"/>
      <c r="BS167"/>
      <c r="BT167"/>
      <c r="BU167"/>
      <c r="BV167"/>
      <c r="BW167"/>
      <c r="BX167"/>
      <c r="BY167"/>
      <c r="BZ167"/>
      <c r="CA167"/>
    </row>
    <row r="168" spans="4:79" ht="13.8" x14ac:dyDescent="0.25">
      <c r="AE168" s="367">
        <f t="shared" si="111"/>
        <v>3465000000</v>
      </c>
      <c r="AF168" s="158">
        <f t="shared" ref="AF168" si="146">AF350</f>
        <v>4125</v>
      </c>
      <c r="AG168" s="41">
        <v>165</v>
      </c>
      <c r="AH168" s="41" t="s">
        <v>376</v>
      </c>
      <c r="AI168" s="158">
        <f t="shared" si="91"/>
        <v>15948.771989283841</v>
      </c>
      <c r="AJ168" s="158">
        <f t="shared" si="131"/>
        <v>657.44476798848643</v>
      </c>
      <c r="AK168" s="362">
        <f t="shared" si="143"/>
        <v>15291.327221295354</v>
      </c>
      <c r="AL168" s="433">
        <f t="shared" si="93"/>
        <v>4.6028201989275157</v>
      </c>
      <c r="AM168" s="382">
        <f t="shared" si="94"/>
        <v>0.18973874978022698</v>
      </c>
      <c r="AN168" s="382">
        <f t="shared" si="95"/>
        <v>4.4130814491472883</v>
      </c>
      <c r="AO168" s="384">
        <f t="shared" si="96"/>
        <v>4.4399904823737977</v>
      </c>
      <c r="BL168" s="2"/>
      <c r="BM168" s="2"/>
    </row>
    <row r="169" spans="4:79" ht="13.8" x14ac:dyDescent="0.25">
      <c r="AE169" s="367">
        <f t="shared" si="111"/>
        <v>3486000000</v>
      </c>
      <c r="AF169" s="158">
        <f t="shared" ref="AF169" si="147">AF351</f>
        <v>4150</v>
      </c>
      <c r="AG169" s="41">
        <v>166</v>
      </c>
      <c r="AH169" s="41" t="s">
        <v>376</v>
      </c>
      <c r="AI169" s="158">
        <f t="shared" si="91"/>
        <v>16042.011789413691</v>
      </c>
      <c r="AJ169" s="158">
        <f t="shared" si="131"/>
        <v>657.44476798848643</v>
      </c>
      <c r="AK169" s="362">
        <f t="shared" si="143"/>
        <v>15384.567021425204</v>
      </c>
      <c r="AL169" s="433">
        <f t="shared" si="93"/>
        <v>4.6018392970205655</v>
      </c>
      <c r="AM169" s="382">
        <f t="shared" si="94"/>
        <v>0.18859574526347861</v>
      </c>
      <c r="AN169" s="382">
        <f t="shared" si="95"/>
        <v>4.4132435517570867</v>
      </c>
      <c r="AO169" s="384">
        <f t="shared" si="96"/>
        <v>4.4399904823737977</v>
      </c>
      <c r="BL169" s="2"/>
      <c r="BM169" s="2"/>
    </row>
    <row r="170" spans="4:79" ht="13.8" x14ac:dyDescent="0.25">
      <c r="AE170" s="367">
        <f t="shared" si="111"/>
        <v>3507000000</v>
      </c>
      <c r="AF170" s="158">
        <f t="shared" ref="AF170" si="148">AF352</f>
        <v>4175</v>
      </c>
      <c r="AG170" s="41">
        <v>167</v>
      </c>
      <c r="AH170" s="41" t="s">
        <v>376</v>
      </c>
      <c r="AI170" s="158">
        <f t="shared" si="91"/>
        <v>16135.251589543541</v>
      </c>
      <c r="AJ170" s="158">
        <f t="shared" si="131"/>
        <v>657.44476798848643</v>
      </c>
      <c r="AK170" s="362">
        <f t="shared" si="143"/>
        <v>15477.806821555054</v>
      </c>
      <c r="AL170" s="433">
        <f t="shared" si="93"/>
        <v>4.6008701424418419</v>
      </c>
      <c r="AM170" s="382">
        <f t="shared" si="94"/>
        <v>0.18746642942357755</v>
      </c>
      <c r="AN170" s="382">
        <f t="shared" si="95"/>
        <v>4.4134037130182646</v>
      </c>
      <c r="AO170" s="384">
        <f t="shared" si="96"/>
        <v>4.4399904823737977</v>
      </c>
      <c r="BL170" s="2"/>
      <c r="BM170" s="2"/>
    </row>
    <row r="171" spans="4:79" ht="13.8" x14ac:dyDescent="0.25">
      <c r="AE171" s="367">
        <f t="shared" si="111"/>
        <v>3528000000</v>
      </c>
      <c r="AF171" s="158">
        <f t="shared" ref="AF171" si="149">AF353</f>
        <v>4200</v>
      </c>
      <c r="AG171" s="41">
        <v>168</v>
      </c>
      <c r="AH171" s="41" t="s">
        <v>376</v>
      </c>
      <c r="AI171" s="158">
        <f t="shared" si="91"/>
        <v>16228.491389673391</v>
      </c>
      <c r="AJ171" s="158">
        <f t="shared" si="131"/>
        <v>657.44476798848643</v>
      </c>
      <c r="AK171" s="362">
        <f t="shared" si="143"/>
        <v>15571.046621684904</v>
      </c>
      <c r="AL171" s="433">
        <f t="shared" si="93"/>
        <v>4.5999125254176274</v>
      </c>
      <c r="AM171" s="382">
        <f t="shared" si="94"/>
        <v>0.18635055781986579</v>
      </c>
      <c r="AN171" s="382">
        <f t="shared" si="95"/>
        <v>4.4135619675977615</v>
      </c>
      <c r="AO171" s="384">
        <f t="shared" si="96"/>
        <v>4.4399904823737977</v>
      </c>
      <c r="BL171" s="2"/>
      <c r="BM171" s="2"/>
    </row>
    <row r="172" spans="4:79" ht="13.8" x14ac:dyDescent="0.25">
      <c r="AE172" s="367">
        <f t="shared" si="111"/>
        <v>3549000000</v>
      </c>
      <c r="AF172" s="158">
        <f t="shared" ref="AF172" si="150">AF354</f>
        <v>4225</v>
      </c>
      <c r="AG172" s="41">
        <v>169</v>
      </c>
      <c r="AH172" s="41" t="s">
        <v>376</v>
      </c>
      <c r="AI172" s="158">
        <f t="shared" si="91"/>
        <v>16321.73118980324</v>
      </c>
      <c r="AJ172" s="158">
        <f t="shared" si="131"/>
        <v>657.44476798848643</v>
      </c>
      <c r="AK172" s="362">
        <f t="shared" si="143"/>
        <v>15664.286421814753</v>
      </c>
      <c r="AL172" s="433">
        <f t="shared" si="93"/>
        <v>4.5989662411392622</v>
      </c>
      <c r="AM172" s="382">
        <f t="shared" si="94"/>
        <v>0.185247891797263</v>
      </c>
      <c r="AN172" s="382">
        <f t="shared" si="95"/>
        <v>4.4137183493419991</v>
      </c>
      <c r="AO172" s="384">
        <f t="shared" si="96"/>
        <v>4.4399904823737977</v>
      </c>
      <c r="BL172" s="2"/>
      <c r="BM172" s="2"/>
    </row>
    <row r="173" spans="4:79" ht="13.8" x14ac:dyDescent="0.25">
      <c r="AE173" s="367">
        <f t="shared" si="111"/>
        <v>3570000000</v>
      </c>
      <c r="AF173" s="158">
        <f t="shared" ref="AF173" si="151">AF355</f>
        <v>4250</v>
      </c>
      <c r="AG173" s="41">
        <v>170</v>
      </c>
      <c r="AH173" s="41" t="s">
        <v>376</v>
      </c>
      <c r="AI173" s="158">
        <f t="shared" si="91"/>
        <v>16414.970989933088</v>
      </c>
      <c r="AJ173" s="158">
        <f t="shared" si="131"/>
        <v>657.44476798848643</v>
      </c>
      <c r="AK173" s="362">
        <f t="shared" si="143"/>
        <v>15757.526221944603</v>
      </c>
      <c r="AL173" s="433">
        <f t="shared" si="93"/>
        <v>4.5980310896171117</v>
      </c>
      <c r="AM173" s="382">
        <f t="shared" si="94"/>
        <v>0.18415819831610264</v>
      </c>
      <c r="AN173" s="382">
        <f t="shared" si="95"/>
        <v>4.4138728913010095</v>
      </c>
      <c r="AO173" s="384">
        <f t="shared" si="96"/>
        <v>4.4399904823737115</v>
      </c>
      <c r="BL173" s="2"/>
      <c r="BM173" s="2"/>
    </row>
    <row r="174" spans="4:79" ht="13.8" x14ac:dyDescent="0.25">
      <c r="AE174" s="367">
        <f t="shared" si="111"/>
        <v>3591000000</v>
      </c>
      <c r="AF174" s="158">
        <f t="shared" ref="AF174" si="152">AF356</f>
        <v>4275</v>
      </c>
      <c r="AG174" s="41">
        <v>171</v>
      </c>
      <c r="AH174" s="41" t="s">
        <v>376</v>
      </c>
      <c r="AI174" s="158">
        <f t="shared" si="91"/>
        <v>16508.210790062938</v>
      </c>
      <c r="AJ174" s="158">
        <f t="shared" si="131"/>
        <v>657.44476798848643</v>
      </c>
      <c r="AK174" s="362">
        <f t="shared" si="143"/>
        <v>15850.766022074453</v>
      </c>
      <c r="AL174" s="433">
        <f t="shared" si="93"/>
        <v>4.5971068755396658</v>
      </c>
      <c r="AM174" s="382">
        <f t="shared" si="94"/>
        <v>0.1830812497879383</v>
      </c>
      <c r="AN174" s="382">
        <f t="shared" si="95"/>
        <v>4.4140256257517274</v>
      </c>
      <c r="AO174" s="384">
        <f t="shared" si="96"/>
        <v>4.4399904823737977</v>
      </c>
      <c r="BL174" s="2"/>
      <c r="BM174" s="2"/>
    </row>
    <row r="175" spans="4:79" ht="13.8" x14ac:dyDescent="0.25">
      <c r="AE175" s="367">
        <f t="shared" si="111"/>
        <v>3612000000</v>
      </c>
      <c r="AF175" s="158">
        <f t="shared" ref="AF175" si="153">AF357</f>
        <v>4300</v>
      </c>
      <c r="AG175" s="41">
        <v>172</v>
      </c>
      <c r="AH175" s="41" t="s">
        <v>376</v>
      </c>
      <c r="AI175" s="158">
        <f t="shared" si="91"/>
        <v>16601.450590192788</v>
      </c>
      <c r="AJ175" s="158">
        <f t="shared" si="131"/>
        <v>657.44476798848643</v>
      </c>
      <c r="AK175" s="362">
        <f t="shared" si="143"/>
        <v>15944.005822204303</v>
      </c>
      <c r="AL175" s="433">
        <f t="shared" si="93"/>
        <v>4.5961934081375393</v>
      </c>
      <c r="AM175" s="382">
        <f t="shared" si="94"/>
        <v>0.18201682391707821</v>
      </c>
      <c r="AN175" s="382">
        <f t="shared" si="95"/>
        <v>4.4141765842204608</v>
      </c>
      <c r="AO175" s="384">
        <f t="shared" si="96"/>
        <v>4.4399904823737977</v>
      </c>
      <c r="BL175" s="2"/>
      <c r="BM175" s="2"/>
    </row>
    <row r="176" spans="4:79" ht="13.8" x14ac:dyDescent="0.25">
      <c r="AE176" s="367">
        <f t="shared" si="111"/>
        <v>3633000000</v>
      </c>
      <c r="AF176" s="158">
        <f t="shared" ref="AF176" si="154">AF358</f>
        <v>4325</v>
      </c>
      <c r="AG176" s="41">
        <v>173</v>
      </c>
      <c r="AH176" s="41" t="s">
        <v>376</v>
      </c>
      <c r="AI176" s="158">
        <f t="shared" si="91"/>
        <v>16694.690390322638</v>
      </c>
      <c r="AJ176" s="158">
        <f t="shared" si="131"/>
        <v>657.44476798848643</v>
      </c>
      <c r="AK176" s="362">
        <f t="shared" si="143"/>
        <v>16037.245622334152</v>
      </c>
      <c r="AL176" s="433">
        <f t="shared" si="93"/>
        <v>4.5952905010521992</v>
      </c>
      <c r="AM176" s="382">
        <f t="shared" si="94"/>
        <v>0.18096470354761532</v>
      </c>
      <c r="AN176" s="382">
        <f t="shared" si="95"/>
        <v>4.414325797504584</v>
      </c>
      <c r="AO176" s="384">
        <f t="shared" si="96"/>
        <v>4.4399904823737977</v>
      </c>
      <c r="BL176" s="2"/>
      <c r="BM176" s="2"/>
    </row>
    <row r="177" spans="31:65" ht="13.8" x14ac:dyDescent="0.25">
      <c r="AE177" s="367">
        <f t="shared" si="111"/>
        <v>3654000000</v>
      </c>
      <c r="AF177" s="158">
        <f t="shared" ref="AF177" si="155">AF359</f>
        <v>4350</v>
      </c>
      <c r="AG177" s="41">
        <v>174</v>
      </c>
      <c r="AH177" s="41" t="s">
        <v>376</v>
      </c>
      <c r="AI177" s="158">
        <f t="shared" si="91"/>
        <v>16787.930190452487</v>
      </c>
      <c r="AJ177" s="158">
        <f t="shared" si="131"/>
        <v>657.44476798848643</v>
      </c>
      <c r="AK177" s="362">
        <f t="shared" si="143"/>
        <v>16130.485422464002</v>
      </c>
      <c r="AL177" s="433">
        <f t="shared" si="93"/>
        <v>4.5943979722092188</v>
      </c>
      <c r="AM177" s="382">
        <f t="shared" si="94"/>
        <v>0.17992467651573246</v>
      </c>
      <c r="AN177" s="382">
        <f t="shared" si="95"/>
        <v>4.4144732956934867</v>
      </c>
      <c r="AO177" s="384">
        <f t="shared" si="96"/>
        <v>4.4399904823737977</v>
      </c>
      <c r="AX177" s="2"/>
      <c r="AY177" s="2"/>
      <c r="AZ177" s="2"/>
      <c r="BA177" s="2"/>
      <c r="BB177" s="2"/>
      <c r="BL177" s="2"/>
      <c r="BM177" s="2"/>
    </row>
    <row r="178" spans="31:65" ht="13.8" x14ac:dyDescent="0.25">
      <c r="AE178" s="367">
        <f t="shared" si="111"/>
        <v>3675000000</v>
      </c>
      <c r="AF178" s="158">
        <f t="shared" ref="AF178" si="156">AF360</f>
        <v>4375</v>
      </c>
      <c r="AG178" s="41">
        <v>175</v>
      </c>
      <c r="AH178" s="41" t="s">
        <v>376</v>
      </c>
      <c r="AI178" s="158">
        <f t="shared" si="91"/>
        <v>16881.169990582337</v>
      </c>
      <c r="AJ178" s="158">
        <f t="shared" si="131"/>
        <v>657.44476798848643</v>
      </c>
      <c r="AK178" s="362">
        <f t="shared" si="143"/>
        <v>16223.725222593852</v>
      </c>
      <c r="AL178" s="433">
        <f t="shared" si="93"/>
        <v>4.5935156436958744</v>
      </c>
      <c r="AM178" s="382">
        <f t="shared" si="94"/>
        <v>0.17889653550707113</v>
      </c>
      <c r="AN178" s="382">
        <f t="shared" si="95"/>
        <v>4.4146191081888029</v>
      </c>
      <c r="AO178" s="384">
        <f t="shared" si="96"/>
        <v>4.4399904823737977</v>
      </c>
      <c r="AX178" s="2"/>
      <c r="AY178" s="2"/>
      <c r="AZ178" s="2"/>
      <c r="BA178" s="2"/>
      <c r="BB178" s="2"/>
      <c r="BL178" s="2"/>
      <c r="BM178" s="2"/>
    </row>
    <row r="179" spans="31:65" ht="13.8" x14ac:dyDescent="0.25">
      <c r="AE179" s="367">
        <f t="shared" si="111"/>
        <v>3696000000</v>
      </c>
      <c r="AF179" s="158">
        <f t="shared" ref="AF179" si="157">AF361</f>
        <v>4400</v>
      </c>
      <c r="AG179" s="41">
        <v>176</v>
      </c>
      <c r="AH179" s="41" t="s">
        <v>376</v>
      </c>
      <c r="AI179" s="158">
        <f t="shared" si="91"/>
        <v>16974.409790712187</v>
      </c>
      <c r="AJ179" s="158">
        <f t="shared" si="131"/>
        <v>657.44476798848643</v>
      </c>
      <c r="AK179" s="362">
        <f t="shared" si="143"/>
        <v>16316.965022723702</v>
      </c>
      <c r="AL179" s="433">
        <f t="shared" si="93"/>
        <v>4.5926433416429084</v>
      </c>
      <c r="AM179" s="382">
        <f t="shared" si="94"/>
        <v>0.17788007791896279</v>
      </c>
      <c r="AN179" s="382">
        <f t="shared" si="95"/>
        <v>4.4147632637239456</v>
      </c>
      <c r="AO179" s="384">
        <f t="shared" si="96"/>
        <v>4.4399904823737977</v>
      </c>
      <c r="AX179" s="2"/>
      <c r="AY179" s="2"/>
      <c r="AZ179" s="2"/>
      <c r="BA179" s="2"/>
      <c r="BB179" s="2"/>
      <c r="BL179" s="2"/>
      <c r="BM179" s="2"/>
    </row>
    <row r="180" spans="31:65" thickBot="1" x14ac:dyDescent="0.3">
      <c r="AE180" s="375">
        <f t="shared" si="111"/>
        <v>3717000000</v>
      </c>
      <c r="AF180" s="157">
        <f t="shared" ref="AF180" si="158">AF362</f>
        <v>4425</v>
      </c>
      <c r="AG180" s="229">
        <v>177</v>
      </c>
      <c r="AH180" s="229" t="s">
        <v>376</v>
      </c>
      <c r="AI180" s="157">
        <f t="shared" si="91"/>
        <v>17067.649590842037</v>
      </c>
      <c r="AJ180" s="157">
        <f t="shared" si="131"/>
        <v>657.44476798848643</v>
      </c>
      <c r="AK180" s="364">
        <f t="shared" si="143"/>
        <v>16410.20482285355</v>
      </c>
      <c r="AL180" s="434">
        <f t="shared" si="93"/>
        <v>4.591780896110313</v>
      </c>
      <c r="AM180" s="385">
        <f t="shared" si="94"/>
        <v>0.1768751057273302</v>
      </c>
      <c r="AN180" s="385">
        <f t="shared" si="95"/>
        <v>4.4149057903829831</v>
      </c>
      <c r="AO180" s="386">
        <f t="shared" si="96"/>
        <v>4.4399904823737977</v>
      </c>
      <c r="AX180" s="2"/>
      <c r="AY180" s="2"/>
      <c r="AZ180" s="2"/>
      <c r="BA180" s="2"/>
      <c r="BB180" s="2"/>
      <c r="BL180" s="2"/>
      <c r="BM180" s="2"/>
    </row>
    <row r="181" spans="31:65" x14ac:dyDescent="0.3">
      <c r="AE181" s="193"/>
      <c r="AF181" s="32"/>
      <c r="AG181"/>
      <c r="AH181"/>
      <c r="AI181"/>
      <c r="AJ181"/>
      <c r="AK181"/>
      <c r="AL181" s="427"/>
      <c r="AM181"/>
      <c r="AN181"/>
      <c r="AO181"/>
      <c r="AX181" s="2"/>
      <c r="AY181" s="2"/>
      <c r="AZ181" s="2"/>
      <c r="BA181" s="2"/>
      <c r="BB181" s="2"/>
      <c r="BL181" s="2"/>
      <c r="BM181" s="2"/>
    </row>
    <row r="182" spans="31:65" x14ac:dyDescent="0.3">
      <c r="AE182" s="193"/>
      <c r="AF182" s="32"/>
      <c r="AG182"/>
      <c r="AH182"/>
      <c r="AI182"/>
      <c r="AJ182"/>
      <c r="AK182"/>
      <c r="AL182" s="427"/>
      <c r="AM182"/>
      <c r="AN182"/>
      <c r="AO182"/>
    </row>
    <row r="183" spans="31:65" ht="16.2" thickBot="1" x14ac:dyDescent="0.35">
      <c r="AE183" s="505" t="s">
        <v>522</v>
      </c>
      <c r="AF183" s="505"/>
      <c r="AG183" s="505"/>
      <c r="AH183" s="505"/>
      <c r="AI183" s="505"/>
      <c r="AJ183" s="505"/>
      <c r="AK183" s="505"/>
      <c r="AL183" s="505"/>
      <c r="AM183" s="505"/>
      <c r="AN183" s="505"/>
      <c r="AO183" s="505"/>
      <c r="AP183" s="378"/>
      <c r="AQ183" s="22"/>
      <c r="AW183" s="22"/>
      <c r="AX183" s="241"/>
      <c r="AY183" s="22"/>
      <c r="AZ183" s="222"/>
      <c r="BA183" s="19"/>
      <c r="BB183" s="2"/>
    </row>
    <row r="184" spans="31:65" x14ac:dyDescent="0.3">
      <c r="AE184" s="429" t="s">
        <v>354</v>
      </c>
      <c r="AF184" s="407" t="s">
        <v>513</v>
      </c>
      <c r="AG184" s="407" t="s">
        <v>367</v>
      </c>
      <c r="AH184" s="407" t="s">
        <v>328</v>
      </c>
      <c r="AI184" s="407" t="s">
        <v>368</v>
      </c>
      <c r="AJ184" s="407" t="s">
        <v>369</v>
      </c>
      <c r="AK184" s="407" t="s">
        <v>394</v>
      </c>
      <c r="AL184" s="432" t="s">
        <v>371</v>
      </c>
      <c r="AM184" s="407" t="s">
        <v>372</v>
      </c>
      <c r="AN184" s="366" t="s">
        <v>511</v>
      </c>
      <c r="AO184" s="408" t="s">
        <v>512</v>
      </c>
      <c r="AQ184" s="22"/>
      <c r="AW184" s="22"/>
      <c r="AX184" s="241"/>
      <c r="AY184" s="22"/>
      <c r="AZ184" s="222"/>
      <c r="BA184" s="19"/>
      <c r="BB184" s="2"/>
    </row>
    <row r="185" spans="31:65" x14ac:dyDescent="0.3">
      <c r="AE185" s="367">
        <v>0</v>
      </c>
      <c r="AF185" s="41">
        <v>0</v>
      </c>
      <c r="AG185" s="41">
        <v>0</v>
      </c>
      <c r="AH185" s="41" t="s">
        <v>376</v>
      </c>
      <c r="AI185" s="41">
        <v>0</v>
      </c>
      <c r="AJ185" s="41">
        <v>0</v>
      </c>
      <c r="AK185" s="41">
        <v>0</v>
      </c>
      <c r="AL185" s="433">
        <v>0</v>
      </c>
      <c r="AM185" s="41">
        <v>0</v>
      </c>
      <c r="AN185" s="41">
        <v>0</v>
      </c>
      <c r="AO185" s="387">
        <v>0</v>
      </c>
      <c r="AQ185" s="22"/>
      <c r="AW185" s="22"/>
      <c r="AX185" s="241"/>
      <c r="AY185" s="22"/>
      <c r="AZ185" s="222"/>
      <c r="BA185" s="19"/>
      <c r="BB185" s="2"/>
    </row>
    <row r="186" spans="31:65" x14ac:dyDescent="0.3">
      <c r="AE186" s="367">
        <f>AE4</f>
        <v>21000000</v>
      </c>
      <c r="AF186" s="158">
        <v>25</v>
      </c>
      <c r="AG186" s="41">
        <v>1</v>
      </c>
      <c r="AH186" s="41" t="s">
        <v>376</v>
      </c>
      <c r="AI186" s="362">
        <f>(AF186-AF185)*4</f>
        <v>100</v>
      </c>
      <c r="AJ186" s="362">
        <f>AI186</f>
        <v>100</v>
      </c>
      <c r="AK186" s="370">
        <v>10</v>
      </c>
      <c r="AL186" s="433">
        <f>AK186*10</f>
        <v>100</v>
      </c>
      <c r="AM186" s="370">
        <f>(AF186/100)+2</f>
        <v>2.25</v>
      </c>
      <c r="AN186" s="158">
        <f t="shared" ref="AN186:AN249" si="159">$B$8</f>
        <v>10</v>
      </c>
      <c r="AO186" s="384">
        <v>200</v>
      </c>
      <c r="AQ186" s="22"/>
      <c r="AW186" s="22"/>
      <c r="AX186" s="241"/>
      <c r="AY186" s="22"/>
      <c r="AZ186" s="222"/>
      <c r="BA186" s="19"/>
      <c r="BB186" s="2"/>
    </row>
    <row r="187" spans="31:65" x14ac:dyDescent="0.3">
      <c r="AE187" s="367">
        <f t="shared" ref="AE187:AE250" si="160">AE5</f>
        <v>42000000</v>
      </c>
      <c r="AF187" s="158">
        <v>50</v>
      </c>
      <c r="AG187" s="41">
        <v>2</v>
      </c>
      <c r="AH187" s="41" t="s">
        <v>376</v>
      </c>
      <c r="AI187" s="362">
        <f>(AF187-AF186)*4</f>
        <v>100</v>
      </c>
      <c r="AJ187" s="41">
        <f t="shared" ref="AJ187:AJ205" si="161">AI187</f>
        <v>100</v>
      </c>
      <c r="AK187" s="231">
        <v>0.79500000000000004</v>
      </c>
      <c r="AL187" s="433">
        <f>AK187*10</f>
        <v>7.95</v>
      </c>
      <c r="AM187" s="41">
        <v>0.13</v>
      </c>
      <c r="AN187" s="158">
        <f t="shared" si="159"/>
        <v>10</v>
      </c>
      <c r="AO187" s="384">
        <f t="shared" ref="AO187:AO250" si="162">(AF187-AF186)*$D$50</f>
        <v>12.145924930488421</v>
      </c>
      <c r="AQ187" s="22"/>
      <c r="AW187" s="22"/>
      <c r="AX187" s="241"/>
      <c r="AY187" s="22"/>
      <c r="AZ187" s="222"/>
      <c r="BA187" s="19"/>
      <c r="BB187" s="2"/>
    </row>
    <row r="188" spans="31:65" x14ac:dyDescent="0.3">
      <c r="AE188" s="367">
        <f t="shared" si="160"/>
        <v>63000000</v>
      </c>
      <c r="AF188" s="158">
        <v>75</v>
      </c>
      <c r="AG188" s="41">
        <v>3</v>
      </c>
      <c r="AH188" s="41" t="s">
        <v>376</v>
      </c>
      <c r="AI188" s="362">
        <f>(AF188-AF187)*4</f>
        <v>100</v>
      </c>
      <c r="AJ188" s="41">
        <f t="shared" si="161"/>
        <v>100</v>
      </c>
      <c r="AK188" s="231">
        <v>0.79500000000000004</v>
      </c>
      <c r="AL188" s="433">
        <f t="shared" ref="AL188:AL204" si="163">AK188*10</f>
        <v>7.95</v>
      </c>
      <c r="AM188" s="41">
        <v>0.13</v>
      </c>
      <c r="AN188" s="158">
        <f t="shared" si="159"/>
        <v>10</v>
      </c>
      <c r="AO188" s="384">
        <f t="shared" si="162"/>
        <v>12.145924930488421</v>
      </c>
      <c r="AQ188" s="22"/>
      <c r="AW188" s="22"/>
      <c r="AX188" s="241"/>
      <c r="AY188" s="22"/>
      <c r="AZ188" s="222"/>
      <c r="BA188" s="19"/>
      <c r="BB188" s="2"/>
    </row>
    <row r="189" spans="31:65" x14ac:dyDescent="0.3">
      <c r="AE189" s="367">
        <f t="shared" si="160"/>
        <v>84000000</v>
      </c>
      <c r="AF189" s="158">
        <v>100</v>
      </c>
      <c r="AG189" s="41">
        <v>4</v>
      </c>
      <c r="AH189" s="41" t="s">
        <v>376</v>
      </c>
      <c r="AI189" s="362">
        <f>(AF189-AF188)*4</f>
        <v>100</v>
      </c>
      <c r="AJ189" s="41">
        <f t="shared" si="161"/>
        <v>100</v>
      </c>
      <c r="AK189" s="231">
        <v>0.79500000000000004</v>
      </c>
      <c r="AL189" s="433">
        <f t="shared" si="163"/>
        <v>7.95</v>
      </c>
      <c r="AM189" s="41">
        <v>0.13</v>
      </c>
      <c r="AN189" s="158">
        <f t="shared" si="159"/>
        <v>10</v>
      </c>
      <c r="AO189" s="384">
        <f t="shared" si="162"/>
        <v>12.145924930488421</v>
      </c>
      <c r="AQ189" s="22"/>
      <c r="AW189" s="22"/>
      <c r="AX189" s="241"/>
      <c r="AY189" s="22"/>
      <c r="AZ189" s="222"/>
      <c r="BA189" s="19"/>
      <c r="BB189" s="2"/>
    </row>
    <row r="190" spans="31:65" x14ac:dyDescent="0.3">
      <c r="AE190" s="367">
        <f t="shared" si="160"/>
        <v>105000000</v>
      </c>
      <c r="AF190" s="158">
        <v>125</v>
      </c>
      <c r="AG190" s="41">
        <v>5</v>
      </c>
      <c r="AH190" s="41" t="s">
        <v>376</v>
      </c>
      <c r="AI190" s="362">
        <f t="shared" ref="AI190:AI205" si="164">(AF190-AF189)*4</f>
        <v>100</v>
      </c>
      <c r="AJ190" s="41">
        <f t="shared" si="161"/>
        <v>100</v>
      </c>
      <c r="AK190" s="231">
        <v>0.79500000000000004</v>
      </c>
      <c r="AL190" s="433">
        <f t="shared" si="163"/>
        <v>7.95</v>
      </c>
      <c r="AM190" s="41">
        <v>0.13</v>
      </c>
      <c r="AN190" s="158">
        <f t="shared" si="159"/>
        <v>10</v>
      </c>
      <c r="AO190" s="384">
        <f t="shared" si="162"/>
        <v>12.145924930488421</v>
      </c>
      <c r="AQ190" s="22"/>
      <c r="AW190" s="22"/>
      <c r="AX190" s="241"/>
      <c r="AY190" s="22"/>
      <c r="AZ190" s="222"/>
      <c r="BA190" s="19"/>
      <c r="BB190" s="2"/>
    </row>
    <row r="191" spans="31:65" x14ac:dyDescent="0.3">
      <c r="AE191" s="367">
        <f t="shared" si="160"/>
        <v>126000000</v>
      </c>
      <c r="AF191" s="158">
        <v>150</v>
      </c>
      <c r="AG191" s="41">
        <v>6</v>
      </c>
      <c r="AH191" s="41" t="s">
        <v>376</v>
      </c>
      <c r="AI191" s="362">
        <f t="shared" si="164"/>
        <v>100</v>
      </c>
      <c r="AJ191" s="41">
        <f t="shared" si="161"/>
        <v>100</v>
      </c>
      <c r="AK191" s="231">
        <v>0.79500000000000004</v>
      </c>
      <c r="AL191" s="433">
        <f t="shared" si="163"/>
        <v>7.95</v>
      </c>
      <c r="AM191" s="41">
        <v>0.13</v>
      </c>
      <c r="AN191" s="158">
        <f t="shared" si="159"/>
        <v>10</v>
      </c>
      <c r="AO191" s="384">
        <f t="shared" si="162"/>
        <v>12.145924930488421</v>
      </c>
      <c r="AQ191" s="22"/>
      <c r="AW191" s="22"/>
      <c r="AX191" s="241"/>
      <c r="AY191" s="22"/>
      <c r="AZ191" s="222"/>
      <c r="BA191" s="19"/>
      <c r="BB191" s="2"/>
    </row>
    <row r="192" spans="31:65" x14ac:dyDescent="0.3">
      <c r="AE192" s="367">
        <f t="shared" si="160"/>
        <v>147000000</v>
      </c>
      <c r="AF192" s="158">
        <v>175</v>
      </c>
      <c r="AG192" s="41">
        <v>7</v>
      </c>
      <c r="AH192" s="41" t="s">
        <v>376</v>
      </c>
      <c r="AI192" s="362">
        <f t="shared" si="164"/>
        <v>100</v>
      </c>
      <c r="AJ192" s="41">
        <f t="shared" si="161"/>
        <v>100</v>
      </c>
      <c r="AK192" s="231">
        <v>0.79500000000000004</v>
      </c>
      <c r="AL192" s="433">
        <f t="shared" si="163"/>
        <v>7.95</v>
      </c>
      <c r="AM192" s="41">
        <v>0.13</v>
      </c>
      <c r="AN192" s="158">
        <f t="shared" si="159"/>
        <v>10</v>
      </c>
      <c r="AO192" s="384">
        <f t="shared" si="162"/>
        <v>12.145924930488421</v>
      </c>
      <c r="AQ192" s="22"/>
      <c r="AW192" s="22"/>
      <c r="AX192" s="241"/>
      <c r="AY192" s="22"/>
      <c r="AZ192" s="222"/>
      <c r="BA192" s="19"/>
      <c r="BB192" s="2"/>
    </row>
    <row r="193" spans="31:63" x14ac:dyDescent="0.3">
      <c r="AE193" s="367">
        <f t="shared" si="160"/>
        <v>168000000</v>
      </c>
      <c r="AF193" s="158">
        <v>200</v>
      </c>
      <c r="AG193" s="41">
        <v>8</v>
      </c>
      <c r="AH193" s="41" t="s">
        <v>376</v>
      </c>
      <c r="AI193" s="362">
        <f t="shared" si="164"/>
        <v>100</v>
      </c>
      <c r="AJ193" s="41">
        <f t="shared" si="161"/>
        <v>100</v>
      </c>
      <c r="AK193" s="231">
        <v>0.79500000000000004</v>
      </c>
      <c r="AL193" s="433">
        <f t="shared" si="163"/>
        <v>7.95</v>
      </c>
      <c r="AM193" s="41">
        <v>0.13</v>
      </c>
      <c r="AN193" s="158">
        <f t="shared" si="159"/>
        <v>10</v>
      </c>
      <c r="AO193" s="384">
        <f t="shared" si="162"/>
        <v>12.145924930488421</v>
      </c>
      <c r="AQ193" s="22"/>
      <c r="AW193" s="22"/>
      <c r="AX193" s="241"/>
      <c r="AY193" s="22"/>
      <c r="AZ193" s="222"/>
      <c r="BA193" s="19"/>
      <c r="BB193" s="2"/>
    </row>
    <row r="194" spans="31:63" x14ac:dyDescent="0.3">
      <c r="AE194" s="367">
        <f t="shared" si="160"/>
        <v>189000000</v>
      </c>
      <c r="AF194" s="158">
        <v>225</v>
      </c>
      <c r="AG194" s="41">
        <v>9</v>
      </c>
      <c r="AH194" s="41" t="s">
        <v>376</v>
      </c>
      <c r="AI194" s="362">
        <f t="shared" si="164"/>
        <v>100</v>
      </c>
      <c r="AJ194" s="41">
        <f t="shared" si="161"/>
        <v>100</v>
      </c>
      <c r="AK194" s="231">
        <v>0.79500000000000004</v>
      </c>
      <c r="AL194" s="433">
        <f t="shared" si="163"/>
        <v>7.95</v>
      </c>
      <c r="AM194" s="41">
        <v>0.13</v>
      </c>
      <c r="AN194" s="158">
        <f t="shared" si="159"/>
        <v>10</v>
      </c>
      <c r="AO194" s="384">
        <f t="shared" si="162"/>
        <v>12.145924930488421</v>
      </c>
      <c r="AQ194" s="22"/>
    </row>
    <row r="195" spans="31:63" x14ac:dyDescent="0.3">
      <c r="AE195" s="367">
        <f t="shared" si="160"/>
        <v>210000000</v>
      </c>
      <c r="AF195" s="158">
        <v>250</v>
      </c>
      <c r="AG195" s="41">
        <v>10</v>
      </c>
      <c r="AH195" s="41" t="s">
        <v>376</v>
      </c>
      <c r="AI195" s="362">
        <f t="shared" si="164"/>
        <v>100</v>
      </c>
      <c r="AJ195" s="41">
        <f t="shared" si="161"/>
        <v>100</v>
      </c>
      <c r="AK195" s="231">
        <v>0.79500000000000004</v>
      </c>
      <c r="AL195" s="433">
        <f t="shared" si="163"/>
        <v>7.95</v>
      </c>
      <c r="AM195" s="41">
        <v>0.13</v>
      </c>
      <c r="AN195" s="158">
        <f t="shared" si="159"/>
        <v>10</v>
      </c>
      <c r="AO195" s="384">
        <f t="shared" si="162"/>
        <v>12.145924930488421</v>
      </c>
      <c r="AQ195" s="22"/>
    </row>
    <row r="196" spans="31:63" x14ac:dyDescent="0.3">
      <c r="AE196" s="367">
        <f t="shared" si="160"/>
        <v>231000000</v>
      </c>
      <c r="AF196" s="158">
        <v>275</v>
      </c>
      <c r="AG196" s="41">
        <v>11</v>
      </c>
      <c r="AH196" s="41" t="s">
        <v>376</v>
      </c>
      <c r="AI196" s="362">
        <f t="shared" si="164"/>
        <v>100</v>
      </c>
      <c r="AJ196" s="41">
        <f t="shared" si="161"/>
        <v>100</v>
      </c>
      <c r="AK196" s="231">
        <v>0.79500000000000004</v>
      </c>
      <c r="AL196" s="433">
        <f t="shared" si="163"/>
        <v>7.95</v>
      </c>
      <c r="AM196" s="41">
        <v>0.13</v>
      </c>
      <c r="AN196" s="158">
        <f t="shared" si="159"/>
        <v>10</v>
      </c>
      <c r="AO196" s="384">
        <f t="shared" si="162"/>
        <v>12.145924930488421</v>
      </c>
      <c r="AQ196" s="22"/>
    </row>
    <row r="197" spans="31:63" x14ac:dyDescent="0.3">
      <c r="AE197" s="367">
        <f t="shared" si="160"/>
        <v>252000000</v>
      </c>
      <c r="AF197" s="158">
        <v>300</v>
      </c>
      <c r="AG197" s="41">
        <v>12</v>
      </c>
      <c r="AH197" s="41" t="s">
        <v>376</v>
      </c>
      <c r="AI197" s="362">
        <f t="shared" si="164"/>
        <v>100</v>
      </c>
      <c r="AJ197" s="41">
        <f t="shared" si="161"/>
        <v>100</v>
      </c>
      <c r="AK197" s="231">
        <v>0.79500000000000004</v>
      </c>
      <c r="AL197" s="433">
        <f t="shared" si="163"/>
        <v>7.95</v>
      </c>
      <c r="AM197" s="41">
        <v>0.13</v>
      </c>
      <c r="AN197" s="158">
        <f t="shared" si="159"/>
        <v>10</v>
      </c>
      <c r="AO197" s="384">
        <f t="shared" si="162"/>
        <v>12.145924930488421</v>
      </c>
    </row>
    <row r="198" spans="31:63" x14ac:dyDescent="0.3">
      <c r="AE198" s="367">
        <f t="shared" si="160"/>
        <v>273000000</v>
      </c>
      <c r="AF198" s="158">
        <v>325</v>
      </c>
      <c r="AG198" s="41">
        <v>13</v>
      </c>
      <c r="AH198" s="41" t="s">
        <v>376</v>
      </c>
      <c r="AI198" s="362">
        <f t="shared" si="164"/>
        <v>100</v>
      </c>
      <c r="AJ198" s="41">
        <f t="shared" si="161"/>
        <v>100</v>
      </c>
      <c r="AK198" s="231">
        <v>0.79500000000000004</v>
      </c>
      <c r="AL198" s="433">
        <f t="shared" si="163"/>
        <v>7.95</v>
      </c>
      <c r="AM198" s="41">
        <v>0.13</v>
      </c>
      <c r="AN198" s="158">
        <f t="shared" si="159"/>
        <v>10</v>
      </c>
      <c r="AO198" s="384">
        <f t="shared" si="162"/>
        <v>12.145924930488421</v>
      </c>
    </row>
    <row r="199" spans="31:63" x14ac:dyDescent="0.3">
      <c r="AE199" s="367">
        <f t="shared" si="160"/>
        <v>294000000</v>
      </c>
      <c r="AF199" s="158">
        <v>350</v>
      </c>
      <c r="AG199" s="41">
        <v>14</v>
      </c>
      <c r="AH199" s="41" t="s">
        <v>376</v>
      </c>
      <c r="AI199" s="362">
        <f t="shared" si="164"/>
        <v>100</v>
      </c>
      <c r="AJ199" s="41">
        <f t="shared" si="161"/>
        <v>100</v>
      </c>
      <c r="AK199" s="231">
        <v>0.79500000000000004</v>
      </c>
      <c r="AL199" s="433">
        <f t="shared" si="163"/>
        <v>7.95</v>
      </c>
      <c r="AM199" s="41">
        <v>0.13</v>
      </c>
      <c r="AN199" s="158">
        <f t="shared" si="159"/>
        <v>10</v>
      </c>
      <c r="AO199" s="384">
        <f t="shared" si="162"/>
        <v>12.145924930488421</v>
      </c>
      <c r="AQ199"/>
      <c r="AR199"/>
      <c r="AS199"/>
      <c r="AT199"/>
      <c r="AU199"/>
      <c r="AV199"/>
      <c r="AW199"/>
      <c r="AX199"/>
      <c r="AY199"/>
      <c r="AZ199"/>
      <c r="BA199"/>
      <c r="BB199"/>
      <c r="BC199"/>
      <c r="BD199"/>
      <c r="BE199"/>
      <c r="BF199"/>
      <c r="BG199"/>
      <c r="BH199"/>
      <c r="BI199"/>
      <c r="BJ199"/>
      <c r="BK199"/>
    </row>
    <row r="200" spans="31:63" x14ac:dyDescent="0.3">
      <c r="AE200" s="367">
        <f t="shared" si="160"/>
        <v>315000000</v>
      </c>
      <c r="AF200" s="158">
        <v>375</v>
      </c>
      <c r="AG200" s="41">
        <v>15</v>
      </c>
      <c r="AH200" s="41" t="s">
        <v>376</v>
      </c>
      <c r="AI200" s="362">
        <f t="shared" si="164"/>
        <v>100</v>
      </c>
      <c r="AJ200" s="41">
        <f t="shared" si="161"/>
        <v>100</v>
      </c>
      <c r="AK200" s="231">
        <v>0.79500000000000004</v>
      </c>
      <c r="AL200" s="433">
        <f t="shared" si="163"/>
        <v>7.95</v>
      </c>
      <c r="AM200" s="41">
        <v>0.13</v>
      </c>
      <c r="AN200" s="158">
        <f t="shared" si="159"/>
        <v>10</v>
      </c>
      <c r="AO200" s="384">
        <f t="shared" si="162"/>
        <v>12.145924930488421</v>
      </c>
      <c r="AQ200"/>
      <c r="AR200"/>
      <c r="AS200"/>
      <c r="AT200"/>
      <c r="AU200"/>
      <c r="AV200"/>
      <c r="AW200"/>
      <c r="AX200"/>
      <c r="AY200"/>
      <c r="AZ200"/>
      <c r="BA200"/>
      <c r="BB200"/>
      <c r="BC200"/>
      <c r="BD200"/>
      <c r="BE200"/>
      <c r="BF200"/>
      <c r="BG200"/>
      <c r="BH200"/>
      <c r="BI200"/>
      <c r="BJ200"/>
      <c r="BK200"/>
    </row>
    <row r="201" spans="31:63" x14ac:dyDescent="0.3">
      <c r="AE201" s="367">
        <f t="shared" si="160"/>
        <v>336000000</v>
      </c>
      <c r="AF201" s="158">
        <v>400</v>
      </c>
      <c r="AG201" s="41">
        <v>16</v>
      </c>
      <c r="AH201" s="41" t="s">
        <v>376</v>
      </c>
      <c r="AI201" s="362">
        <f t="shared" si="164"/>
        <v>100</v>
      </c>
      <c r="AJ201" s="41">
        <f t="shared" si="161"/>
        <v>100</v>
      </c>
      <c r="AK201" s="231">
        <v>0.79500000000000004</v>
      </c>
      <c r="AL201" s="433">
        <f t="shared" si="163"/>
        <v>7.95</v>
      </c>
      <c r="AM201" s="41">
        <v>0.13</v>
      </c>
      <c r="AN201" s="158">
        <f t="shared" si="159"/>
        <v>10</v>
      </c>
      <c r="AO201" s="384">
        <f t="shared" si="162"/>
        <v>12.145924930488421</v>
      </c>
      <c r="AQ201"/>
      <c r="AR201"/>
      <c r="AS201"/>
      <c r="AT201"/>
      <c r="AU201"/>
      <c r="AV201"/>
      <c r="AW201"/>
      <c r="AX201"/>
      <c r="AY201"/>
      <c r="AZ201"/>
      <c r="BA201"/>
      <c r="BB201"/>
      <c r="BC201"/>
      <c r="BD201"/>
      <c r="BE201"/>
      <c r="BF201"/>
      <c r="BG201"/>
      <c r="BH201"/>
      <c r="BI201"/>
      <c r="BJ201"/>
      <c r="BK201"/>
    </row>
    <row r="202" spans="31:63" x14ac:dyDescent="0.3">
      <c r="AE202" s="367">
        <f t="shared" si="160"/>
        <v>357000000</v>
      </c>
      <c r="AF202" s="158">
        <v>425</v>
      </c>
      <c r="AG202" s="41">
        <v>17</v>
      </c>
      <c r="AH202" s="41" t="s">
        <v>376</v>
      </c>
      <c r="AI202" s="362">
        <f t="shared" si="164"/>
        <v>100</v>
      </c>
      <c r="AJ202" s="41">
        <f t="shared" si="161"/>
        <v>100</v>
      </c>
      <c r="AK202" s="231">
        <v>0.79500000000000004</v>
      </c>
      <c r="AL202" s="433">
        <f t="shared" si="163"/>
        <v>7.95</v>
      </c>
      <c r="AM202" s="41">
        <v>0.13</v>
      </c>
      <c r="AN202" s="158">
        <f t="shared" si="159"/>
        <v>10</v>
      </c>
      <c r="AO202" s="384">
        <f t="shared" si="162"/>
        <v>12.145924930488421</v>
      </c>
      <c r="AQ202"/>
      <c r="AR202"/>
      <c r="AS202"/>
      <c r="AT202"/>
      <c r="AU202"/>
      <c r="AV202"/>
      <c r="AW202"/>
      <c r="AX202"/>
      <c r="AY202"/>
      <c r="AZ202"/>
      <c r="BA202"/>
      <c r="BB202"/>
      <c r="BC202"/>
      <c r="BD202"/>
      <c r="BE202"/>
      <c r="BF202"/>
      <c r="BG202"/>
      <c r="BH202"/>
      <c r="BI202"/>
      <c r="BJ202"/>
      <c r="BK202"/>
    </row>
    <row r="203" spans="31:63" x14ac:dyDescent="0.3">
      <c r="AE203" s="367">
        <f t="shared" si="160"/>
        <v>378000000</v>
      </c>
      <c r="AF203" s="158">
        <v>450</v>
      </c>
      <c r="AG203" s="41">
        <v>18</v>
      </c>
      <c r="AH203" s="41" t="s">
        <v>376</v>
      </c>
      <c r="AI203" s="362">
        <f t="shared" si="164"/>
        <v>100</v>
      </c>
      <c r="AJ203" s="41">
        <f t="shared" si="161"/>
        <v>100</v>
      </c>
      <c r="AK203" s="231">
        <v>0.79500000000000004</v>
      </c>
      <c r="AL203" s="433">
        <f t="shared" si="163"/>
        <v>7.95</v>
      </c>
      <c r="AM203" s="41">
        <v>0.13</v>
      </c>
      <c r="AN203" s="158">
        <f t="shared" si="159"/>
        <v>10</v>
      </c>
      <c r="AO203" s="384">
        <f t="shared" si="162"/>
        <v>12.145924930488421</v>
      </c>
      <c r="AQ203"/>
      <c r="AR203"/>
      <c r="AS203"/>
      <c r="AT203"/>
      <c r="AU203"/>
      <c r="AV203"/>
      <c r="AW203"/>
      <c r="AX203"/>
      <c r="AY203"/>
      <c r="AZ203"/>
      <c r="BA203"/>
      <c r="BB203"/>
      <c r="BC203"/>
      <c r="BD203"/>
      <c r="BE203"/>
      <c r="BF203"/>
      <c r="BG203"/>
      <c r="BH203"/>
      <c r="BI203"/>
      <c r="BJ203"/>
      <c r="BK203"/>
    </row>
    <row r="204" spans="31:63" x14ac:dyDescent="0.3">
      <c r="AE204" s="367">
        <f t="shared" si="160"/>
        <v>399000000</v>
      </c>
      <c r="AF204" s="158">
        <v>475</v>
      </c>
      <c r="AG204" s="41">
        <v>19</v>
      </c>
      <c r="AH204" s="41" t="s">
        <v>376</v>
      </c>
      <c r="AI204" s="362">
        <f t="shared" si="164"/>
        <v>100</v>
      </c>
      <c r="AJ204" s="41">
        <f t="shared" si="161"/>
        <v>100</v>
      </c>
      <c r="AK204" s="231">
        <v>0.79500000000000004</v>
      </c>
      <c r="AL204" s="433">
        <f t="shared" si="163"/>
        <v>7.95</v>
      </c>
      <c r="AM204" s="41">
        <v>0.13</v>
      </c>
      <c r="AN204" s="158">
        <f t="shared" si="159"/>
        <v>10</v>
      </c>
      <c r="AO204" s="384">
        <f t="shared" si="162"/>
        <v>12.145924930488421</v>
      </c>
      <c r="AQ204"/>
      <c r="AR204"/>
      <c r="AS204"/>
      <c r="AT204"/>
      <c r="AU204"/>
      <c r="AV204"/>
      <c r="AW204"/>
      <c r="AX204"/>
      <c r="AY204"/>
      <c r="AZ204"/>
      <c r="BA204"/>
      <c r="BB204"/>
      <c r="BC204"/>
      <c r="BD204"/>
      <c r="BE204"/>
      <c r="BF204"/>
      <c r="BG204"/>
      <c r="BH204"/>
      <c r="BI204"/>
      <c r="BJ204"/>
      <c r="BK204"/>
    </row>
    <row r="205" spans="31:63" x14ac:dyDescent="0.3">
      <c r="AE205" s="367">
        <f t="shared" si="160"/>
        <v>420000000</v>
      </c>
      <c r="AF205" s="158">
        <v>500</v>
      </c>
      <c r="AG205" s="41">
        <v>20</v>
      </c>
      <c r="AH205" s="41" t="s">
        <v>376</v>
      </c>
      <c r="AI205" s="362">
        <f t="shared" si="164"/>
        <v>100</v>
      </c>
      <c r="AJ205" s="41">
        <f t="shared" si="161"/>
        <v>100</v>
      </c>
      <c r="AK205" s="231">
        <v>0.79500000000000004</v>
      </c>
      <c r="AL205" s="433">
        <f>AK205*10</f>
        <v>7.95</v>
      </c>
      <c r="AM205" s="41">
        <v>0.13</v>
      </c>
      <c r="AN205" s="158">
        <f t="shared" si="159"/>
        <v>10</v>
      </c>
      <c r="AO205" s="384">
        <f t="shared" si="162"/>
        <v>12.145924930488421</v>
      </c>
      <c r="AQ205"/>
      <c r="AR205"/>
      <c r="AS205"/>
      <c r="AT205"/>
      <c r="AU205"/>
      <c r="AV205"/>
      <c r="AW205"/>
      <c r="AX205"/>
      <c r="AY205"/>
      <c r="AZ205"/>
      <c r="BA205"/>
      <c r="BB205"/>
      <c r="BC205"/>
      <c r="BD205"/>
      <c r="BE205"/>
      <c r="BF205"/>
      <c r="BG205"/>
      <c r="BH205"/>
      <c r="BI205"/>
      <c r="BJ205"/>
      <c r="BK205"/>
    </row>
    <row r="206" spans="31:63" x14ac:dyDescent="0.3">
      <c r="AE206" s="367">
        <f t="shared" si="160"/>
        <v>441000000</v>
      </c>
      <c r="AF206" s="158">
        <v>525</v>
      </c>
      <c r="AG206" s="41">
        <v>20</v>
      </c>
      <c r="AH206" s="41" t="s">
        <v>376</v>
      </c>
      <c r="AI206" s="362">
        <f t="shared" ref="AI206:AI269" si="165">(AF206-AF205)*4</f>
        <v>100</v>
      </c>
      <c r="AJ206" s="41">
        <f t="shared" ref="AJ206:AJ269" si="166">AI206</f>
        <v>100</v>
      </c>
      <c r="AK206" s="231">
        <v>0.79500000000000004</v>
      </c>
      <c r="AL206" s="433">
        <f t="shared" ref="AL206:AL269" si="167">AK206*10</f>
        <v>7.95</v>
      </c>
      <c r="AM206" s="41">
        <v>0.13</v>
      </c>
      <c r="AN206" s="158">
        <f t="shared" si="159"/>
        <v>10</v>
      </c>
      <c r="AO206" s="384">
        <f t="shared" si="162"/>
        <v>12.145924930488421</v>
      </c>
      <c r="AP206"/>
      <c r="AQ206"/>
      <c r="AR206"/>
      <c r="AS206"/>
      <c r="AT206"/>
      <c r="AU206"/>
      <c r="AV206"/>
      <c r="AW206"/>
      <c r="AX206"/>
      <c r="AY206"/>
      <c r="AZ206"/>
      <c r="BA206"/>
      <c r="BB206"/>
      <c r="BC206"/>
      <c r="BD206"/>
      <c r="BE206"/>
      <c r="BF206"/>
      <c r="BG206"/>
      <c r="BH206"/>
      <c r="BI206"/>
      <c r="BJ206"/>
      <c r="BK206"/>
    </row>
    <row r="207" spans="31:63" x14ac:dyDescent="0.3">
      <c r="AE207" s="367">
        <f t="shared" si="160"/>
        <v>462000000</v>
      </c>
      <c r="AF207" s="158">
        <v>550</v>
      </c>
      <c r="AG207" s="41">
        <v>20</v>
      </c>
      <c r="AH207" s="41" t="s">
        <v>376</v>
      </c>
      <c r="AI207" s="362">
        <f t="shared" si="165"/>
        <v>100</v>
      </c>
      <c r="AJ207" s="41">
        <f t="shared" si="166"/>
        <v>100</v>
      </c>
      <c r="AK207" s="231">
        <v>0.79500000000000004</v>
      </c>
      <c r="AL207" s="433">
        <f t="shared" si="167"/>
        <v>7.95</v>
      </c>
      <c r="AM207" s="41">
        <v>0.13</v>
      </c>
      <c r="AN207" s="158">
        <f t="shared" si="159"/>
        <v>10</v>
      </c>
      <c r="AO207" s="384">
        <f t="shared" si="162"/>
        <v>12.145924930488421</v>
      </c>
    </row>
    <row r="208" spans="31:63" x14ac:dyDescent="0.3">
      <c r="AE208" s="367">
        <f t="shared" si="160"/>
        <v>483000000</v>
      </c>
      <c r="AF208" s="158">
        <v>575</v>
      </c>
      <c r="AG208" s="41">
        <v>20</v>
      </c>
      <c r="AH208" s="41" t="s">
        <v>376</v>
      </c>
      <c r="AI208" s="362">
        <f t="shared" si="165"/>
        <v>100</v>
      </c>
      <c r="AJ208" s="41">
        <f t="shared" si="166"/>
        <v>100</v>
      </c>
      <c r="AK208" s="231">
        <v>0.79500000000000004</v>
      </c>
      <c r="AL208" s="433">
        <f t="shared" si="167"/>
        <v>7.95</v>
      </c>
      <c r="AM208" s="41">
        <v>0.13</v>
      </c>
      <c r="AN208" s="158">
        <f t="shared" si="159"/>
        <v>10</v>
      </c>
      <c r="AO208" s="384">
        <f t="shared" si="162"/>
        <v>12.145924930488421</v>
      </c>
    </row>
    <row r="209" spans="31:41" x14ac:dyDescent="0.3">
      <c r="AE209" s="367">
        <f t="shared" si="160"/>
        <v>504000000</v>
      </c>
      <c r="AF209" s="158">
        <v>600</v>
      </c>
      <c r="AG209" s="41">
        <v>20</v>
      </c>
      <c r="AH209" s="41" t="s">
        <v>376</v>
      </c>
      <c r="AI209" s="362">
        <f t="shared" si="165"/>
        <v>100</v>
      </c>
      <c r="AJ209" s="41">
        <f t="shared" si="166"/>
        <v>100</v>
      </c>
      <c r="AK209" s="231">
        <v>0.79500000000000004</v>
      </c>
      <c r="AL209" s="433">
        <f t="shared" si="167"/>
        <v>7.95</v>
      </c>
      <c r="AM209" s="41">
        <v>0.13</v>
      </c>
      <c r="AN209" s="158">
        <f t="shared" si="159"/>
        <v>10</v>
      </c>
      <c r="AO209" s="384">
        <f t="shared" si="162"/>
        <v>12.145924930488421</v>
      </c>
    </row>
    <row r="210" spans="31:41" x14ac:dyDescent="0.3">
      <c r="AE210" s="367">
        <f t="shared" si="160"/>
        <v>525000000</v>
      </c>
      <c r="AF210" s="158">
        <v>625</v>
      </c>
      <c r="AG210" s="41">
        <v>20</v>
      </c>
      <c r="AH210" s="41" t="s">
        <v>376</v>
      </c>
      <c r="AI210" s="362">
        <f t="shared" si="165"/>
        <v>100</v>
      </c>
      <c r="AJ210" s="41">
        <f t="shared" si="166"/>
        <v>100</v>
      </c>
      <c r="AK210" s="231">
        <v>0.79500000000000004</v>
      </c>
      <c r="AL210" s="433">
        <f t="shared" si="167"/>
        <v>7.95</v>
      </c>
      <c r="AM210" s="41">
        <v>0.13</v>
      </c>
      <c r="AN210" s="158">
        <f t="shared" si="159"/>
        <v>10</v>
      </c>
      <c r="AO210" s="384">
        <f t="shared" si="162"/>
        <v>12.145924930488421</v>
      </c>
    </row>
    <row r="211" spans="31:41" x14ac:dyDescent="0.3">
      <c r="AE211" s="367">
        <f t="shared" si="160"/>
        <v>546000000</v>
      </c>
      <c r="AF211" s="158">
        <v>650</v>
      </c>
      <c r="AG211" s="41">
        <v>20</v>
      </c>
      <c r="AH211" s="41" t="s">
        <v>376</v>
      </c>
      <c r="AI211" s="362">
        <f t="shared" si="165"/>
        <v>100</v>
      </c>
      <c r="AJ211" s="41">
        <f t="shared" si="166"/>
        <v>100</v>
      </c>
      <c r="AK211" s="231">
        <v>0.79500000000000004</v>
      </c>
      <c r="AL211" s="433">
        <f t="shared" si="167"/>
        <v>7.95</v>
      </c>
      <c r="AM211" s="41">
        <v>0.13</v>
      </c>
      <c r="AN211" s="158">
        <f t="shared" si="159"/>
        <v>10</v>
      </c>
      <c r="AO211" s="384">
        <f t="shared" si="162"/>
        <v>12.145924930488421</v>
      </c>
    </row>
    <row r="212" spans="31:41" x14ac:dyDescent="0.3">
      <c r="AE212" s="367">
        <f t="shared" si="160"/>
        <v>567000000</v>
      </c>
      <c r="AF212" s="158">
        <v>675</v>
      </c>
      <c r="AG212" s="41">
        <v>20</v>
      </c>
      <c r="AH212" s="41" t="s">
        <v>376</v>
      </c>
      <c r="AI212" s="362">
        <f t="shared" si="165"/>
        <v>100</v>
      </c>
      <c r="AJ212" s="41">
        <f t="shared" si="166"/>
        <v>100</v>
      </c>
      <c r="AK212" s="231">
        <v>0.79500000000000004</v>
      </c>
      <c r="AL212" s="433">
        <f t="shared" si="167"/>
        <v>7.95</v>
      </c>
      <c r="AM212" s="41">
        <v>0.13</v>
      </c>
      <c r="AN212" s="158">
        <f t="shared" si="159"/>
        <v>10</v>
      </c>
      <c r="AO212" s="384">
        <f t="shared" si="162"/>
        <v>12.145924930488421</v>
      </c>
    </row>
    <row r="213" spans="31:41" x14ac:dyDescent="0.3">
      <c r="AE213" s="367">
        <f t="shared" si="160"/>
        <v>588000000</v>
      </c>
      <c r="AF213" s="158">
        <v>700</v>
      </c>
      <c r="AG213" s="41">
        <v>20</v>
      </c>
      <c r="AH213" s="41" t="s">
        <v>376</v>
      </c>
      <c r="AI213" s="362">
        <f t="shared" si="165"/>
        <v>100</v>
      </c>
      <c r="AJ213" s="41">
        <f t="shared" si="166"/>
        <v>100</v>
      </c>
      <c r="AK213" s="231">
        <v>0.79500000000000004</v>
      </c>
      <c r="AL213" s="433">
        <f t="shared" si="167"/>
        <v>7.95</v>
      </c>
      <c r="AM213" s="41">
        <v>0.13</v>
      </c>
      <c r="AN213" s="158">
        <f t="shared" si="159"/>
        <v>10</v>
      </c>
      <c r="AO213" s="384">
        <f t="shared" si="162"/>
        <v>12.145924930488421</v>
      </c>
    </row>
    <row r="214" spans="31:41" x14ac:dyDescent="0.3">
      <c r="AE214" s="367">
        <f t="shared" si="160"/>
        <v>609000000</v>
      </c>
      <c r="AF214" s="158">
        <v>725</v>
      </c>
      <c r="AG214" s="41">
        <v>20</v>
      </c>
      <c r="AH214" s="41" t="s">
        <v>376</v>
      </c>
      <c r="AI214" s="362">
        <f t="shared" si="165"/>
        <v>100</v>
      </c>
      <c r="AJ214" s="41">
        <f t="shared" si="166"/>
        <v>100</v>
      </c>
      <c r="AK214" s="231">
        <v>0.79500000000000004</v>
      </c>
      <c r="AL214" s="433">
        <f t="shared" si="167"/>
        <v>7.95</v>
      </c>
      <c r="AM214" s="41">
        <v>0.13</v>
      </c>
      <c r="AN214" s="158">
        <f t="shared" si="159"/>
        <v>10</v>
      </c>
      <c r="AO214" s="384">
        <f t="shared" si="162"/>
        <v>12.145924930488421</v>
      </c>
    </row>
    <row r="215" spans="31:41" x14ac:dyDescent="0.3">
      <c r="AE215" s="367">
        <f t="shared" si="160"/>
        <v>630000000</v>
      </c>
      <c r="AF215" s="158">
        <v>750</v>
      </c>
      <c r="AG215" s="41">
        <v>20</v>
      </c>
      <c r="AH215" s="41" t="s">
        <v>376</v>
      </c>
      <c r="AI215" s="362">
        <f t="shared" si="165"/>
        <v>100</v>
      </c>
      <c r="AJ215" s="41">
        <f t="shared" si="166"/>
        <v>100</v>
      </c>
      <c r="AK215" s="231">
        <v>0.79500000000000004</v>
      </c>
      <c r="AL215" s="433">
        <f t="shared" si="167"/>
        <v>7.95</v>
      </c>
      <c r="AM215" s="41">
        <v>0.13</v>
      </c>
      <c r="AN215" s="158">
        <f t="shared" si="159"/>
        <v>10</v>
      </c>
      <c r="AO215" s="384">
        <f t="shared" si="162"/>
        <v>12.145924930488421</v>
      </c>
    </row>
    <row r="216" spans="31:41" x14ac:dyDescent="0.3">
      <c r="AE216" s="367">
        <f t="shared" si="160"/>
        <v>651000000</v>
      </c>
      <c r="AF216" s="158">
        <v>775</v>
      </c>
      <c r="AG216" s="41">
        <v>20</v>
      </c>
      <c r="AH216" s="41" t="s">
        <v>376</v>
      </c>
      <c r="AI216" s="362">
        <f t="shared" si="165"/>
        <v>100</v>
      </c>
      <c r="AJ216" s="41">
        <f t="shared" si="166"/>
        <v>100</v>
      </c>
      <c r="AK216" s="231">
        <v>0.79500000000000004</v>
      </c>
      <c r="AL216" s="433">
        <f t="shared" si="167"/>
        <v>7.95</v>
      </c>
      <c r="AM216" s="41">
        <v>0.13</v>
      </c>
      <c r="AN216" s="158">
        <f t="shared" si="159"/>
        <v>10</v>
      </c>
      <c r="AO216" s="384">
        <f t="shared" si="162"/>
        <v>12.145924930488421</v>
      </c>
    </row>
    <row r="217" spans="31:41" x14ac:dyDescent="0.3">
      <c r="AE217" s="367">
        <f t="shared" si="160"/>
        <v>672000000</v>
      </c>
      <c r="AF217" s="158">
        <v>800</v>
      </c>
      <c r="AG217" s="41">
        <v>20</v>
      </c>
      <c r="AH217" s="41" t="s">
        <v>376</v>
      </c>
      <c r="AI217" s="362">
        <f t="shared" si="165"/>
        <v>100</v>
      </c>
      <c r="AJ217" s="41">
        <f t="shared" si="166"/>
        <v>100</v>
      </c>
      <c r="AK217" s="231">
        <v>0.79500000000000004</v>
      </c>
      <c r="AL217" s="433">
        <f t="shared" si="167"/>
        <v>7.95</v>
      </c>
      <c r="AM217" s="41">
        <v>0.13</v>
      </c>
      <c r="AN217" s="158">
        <f t="shared" si="159"/>
        <v>10</v>
      </c>
      <c r="AO217" s="384">
        <f t="shared" si="162"/>
        <v>12.145924930488421</v>
      </c>
    </row>
    <row r="218" spans="31:41" x14ac:dyDescent="0.3">
      <c r="AE218" s="367">
        <f t="shared" si="160"/>
        <v>693000000</v>
      </c>
      <c r="AF218" s="158">
        <v>825</v>
      </c>
      <c r="AG218" s="41">
        <v>20</v>
      </c>
      <c r="AH218" s="41" t="s">
        <v>376</v>
      </c>
      <c r="AI218" s="362">
        <f t="shared" si="165"/>
        <v>100</v>
      </c>
      <c r="AJ218" s="41">
        <f t="shared" si="166"/>
        <v>100</v>
      </c>
      <c r="AK218" s="231">
        <v>0.79500000000000004</v>
      </c>
      <c r="AL218" s="433">
        <f t="shared" si="167"/>
        <v>7.95</v>
      </c>
      <c r="AM218" s="41">
        <v>0.13</v>
      </c>
      <c r="AN218" s="158">
        <f t="shared" si="159"/>
        <v>10</v>
      </c>
      <c r="AO218" s="384">
        <f t="shared" si="162"/>
        <v>12.145924930488421</v>
      </c>
    </row>
    <row r="219" spans="31:41" x14ac:dyDescent="0.3">
      <c r="AE219" s="367">
        <f t="shared" si="160"/>
        <v>714000000</v>
      </c>
      <c r="AF219" s="158">
        <v>850</v>
      </c>
      <c r="AG219" s="41">
        <v>20</v>
      </c>
      <c r="AH219" s="41" t="s">
        <v>376</v>
      </c>
      <c r="AI219" s="362">
        <f t="shared" si="165"/>
        <v>100</v>
      </c>
      <c r="AJ219" s="41">
        <f t="shared" si="166"/>
        <v>100</v>
      </c>
      <c r="AK219" s="231">
        <v>0.79500000000000004</v>
      </c>
      <c r="AL219" s="433">
        <f t="shared" si="167"/>
        <v>7.95</v>
      </c>
      <c r="AM219" s="41">
        <v>0.13</v>
      </c>
      <c r="AN219" s="158">
        <f t="shared" si="159"/>
        <v>10</v>
      </c>
      <c r="AO219" s="384">
        <f t="shared" si="162"/>
        <v>12.145924930488421</v>
      </c>
    </row>
    <row r="220" spans="31:41" x14ac:dyDescent="0.3">
      <c r="AE220" s="367">
        <f t="shared" si="160"/>
        <v>735000000</v>
      </c>
      <c r="AF220" s="158">
        <v>875</v>
      </c>
      <c r="AG220" s="41">
        <v>20</v>
      </c>
      <c r="AH220" s="41" t="s">
        <v>376</v>
      </c>
      <c r="AI220" s="362">
        <f t="shared" si="165"/>
        <v>100</v>
      </c>
      <c r="AJ220" s="41">
        <f t="shared" si="166"/>
        <v>100</v>
      </c>
      <c r="AK220" s="231">
        <v>0.79500000000000004</v>
      </c>
      <c r="AL220" s="433">
        <f t="shared" si="167"/>
        <v>7.95</v>
      </c>
      <c r="AM220" s="41">
        <v>0.13</v>
      </c>
      <c r="AN220" s="158">
        <f t="shared" si="159"/>
        <v>10</v>
      </c>
      <c r="AO220" s="384">
        <f t="shared" si="162"/>
        <v>12.145924930488421</v>
      </c>
    </row>
    <row r="221" spans="31:41" x14ac:dyDescent="0.3">
      <c r="AE221" s="367">
        <f t="shared" si="160"/>
        <v>756000000</v>
      </c>
      <c r="AF221" s="158">
        <v>900</v>
      </c>
      <c r="AG221" s="41">
        <v>20</v>
      </c>
      <c r="AH221" s="41" t="s">
        <v>376</v>
      </c>
      <c r="AI221" s="362">
        <f t="shared" si="165"/>
        <v>100</v>
      </c>
      <c r="AJ221" s="41">
        <f t="shared" si="166"/>
        <v>100</v>
      </c>
      <c r="AK221" s="231">
        <v>0.79500000000000004</v>
      </c>
      <c r="AL221" s="433">
        <f t="shared" si="167"/>
        <v>7.95</v>
      </c>
      <c r="AM221" s="41">
        <v>0.13</v>
      </c>
      <c r="AN221" s="158">
        <f t="shared" si="159"/>
        <v>10</v>
      </c>
      <c r="AO221" s="384">
        <f t="shared" si="162"/>
        <v>12.145924930488421</v>
      </c>
    </row>
    <row r="222" spans="31:41" x14ac:dyDescent="0.3">
      <c r="AE222" s="367">
        <f t="shared" si="160"/>
        <v>777000000</v>
      </c>
      <c r="AF222" s="158">
        <v>925</v>
      </c>
      <c r="AG222" s="41">
        <v>20</v>
      </c>
      <c r="AH222" s="41" t="s">
        <v>376</v>
      </c>
      <c r="AI222" s="362">
        <f t="shared" si="165"/>
        <v>100</v>
      </c>
      <c r="AJ222" s="41">
        <f t="shared" si="166"/>
        <v>100</v>
      </c>
      <c r="AK222" s="231">
        <v>0.79500000000000004</v>
      </c>
      <c r="AL222" s="433">
        <f t="shared" si="167"/>
        <v>7.95</v>
      </c>
      <c r="AM222" s="41">
        <v>0.13</v>
      </c>
      <c r="AN222" s="158">
        <f t="shared" si="159"/>
        <v>10</v>
      </c>
      <c r="AO222" s="384">
        <f t="shared" si="162"/>
        <v>12.145924930488421</v>
      </c>
    </row>
    <row r="223" spans="31:41" x14ac:dyDescent="0.3">
      <c r="AE223" s="367">
        <f t="shared" si="160"/>
        <v>798000000</v>
      </c>
      <c r="AF223" s="158">
        <v>950</v>
      </c>
      <c r="AG223" s="41">
        <v>20</v>
      </c>
      <c r="AH223" s="41" t="s">
        <v>376</v>
      </c>
      <c r="AI223" s="362">
        <f t="shared" si="165"/>
        <v>100</v>
      </c>
      <c r="AJ223" s="41">
        <f t="shared" si="166"/>
        <v>100</v>
      </c>
      <c r="AK223" s="231">
        <v>0.79500000000000004</v>
      </c>
      <c r="AL223" s="433">
        <f t="shared" si="167"/>
        <v>7.95</v>
      </c>
      <c r="AM223" s="41">
        <v>0.13</v>
      </c>
      <c r="AN223" s="158">
        <f t="shared" si="159"/>
        <v>10</v>
      </c>
      <c r="AO223" s="384">
        <f t="shared" si="162"/>
        <v>12.145924930488421</v>
      </c>
    </row>
    <row r="224" spans="31:41" x14ac:dyDescent="0.3">
      <c r="AE224" s="367">
        <f t="shared" si="160"/>
        <v>819000000</v>
      </c>
      <c r="AF224" s="158">
        <v>975</v>
      </c>
      <c r="AG224" s="41">
        <v>20</v>
      </c>
      <c r="AH224" s="41" t="s">
        <v>376</v>
      </c>
      <c r="AI224" s="362">
        <f t="shared" si="165"/>
        <v>100</v>
      </c>
      <c r="AJ224" s="41">
        <f t="shared" si="166"/>
        <v>100</v>
      </c>
      <c r="AK224" s="231">
        <v>0.79500000000000004</v>
      </c>
      <c r="AL224" s="433">
        <f t="shared" si="167"/>
        <v>7.95</v>
      </c>
      <c r="AM224" s="41">
        <v>0.13</v>
      </c>
      <c r="AN224" s="158">
        <f t="shared" si="159"/>
        <v>10</v>
      </c>
      <c r="AO224" s="384">
        <f t="shared" si="162"/>
        <v>12.145924930488421</v>
      </c>
    </row>
    <row r="225" spans="31:63" x14ac:dyDescent="0.3">
      <c r="AE225" s="367">
        <f t="shared" si="160"/>
        <v>840000000</v>
      </c>
      <c r="AF225" s="158">
        <v>1000</v>
      </c>
      <c r="AG225" s="41">
        <v>20</v>
      </c>
      <c r="AH225" s="41" t="s">
        <v>376</v>
      </c>
      <c r="AI225" s="362">
        <f t="shared" si="165"/>
        <v>100</v>
      </c>
      <c r="AJ225" s="41">
        <f t="shared" si="166"/>
        <v>100</v>
      </c>
      <c r="AK225" s="231">
        <v>0.79500000000000004</v>
      </c>
      <c r="AL225" s="433">
        <f t="shared" si="167"/>
        <v>7.95</v>
      </c>
      <c r="AM225" s="41">
        <v>0.13</v>
      </c>
      <c r="AN225" s="158">
        <f t="shared" si="159"/>
        <v>10</v>
      </c>
      <c r="AO225" s="384">
        <f t="shared" si="162"/>
        <v>12.145924930488421</v>
      </c>
    </row>
    <row r="226" spans="31:63" x14ac:dyDescent="0.3">
      <c r="AE226" s="367">
        <f t="shared" si="160"/>
        <v>861000000</v>
      </c>
      <c r="AF226" s="158">
        <v>1025</v>
      </c>
      <c r="AG226" s="41">
        <v>20</v>
      </c>
      <c r="AH226" s="41" t="s">
        <v>376</v>
      </c>
      <c r="AI226" s="362">
        <f t="shared" si="165"/>
        <v>100</v>
      </c>
      <c r="AJ226" s="41">
        <f t="shared" si="166"/>
        <v>100</v>
      </c>
      <c r="AK226" s="231">
        <v>0.79500000000000004</v>
      </c>
      <c r="AL226" s="433">
        <f t="shared" si="167"/>
        <v>7.95</v>
      </c>
      <c r="AM226" s="41">
        <v>0.13</v>
      </c>
      <c r="AN226" s="158">
        <f t="shared" si="159"/>
        <v>10</v>
      </c>
      <c r="AO226" s="384">
        <f t="shared" si="162"/>
        <v>12.145924930488421</v>
      </c>
    </row>
    <row r="227" spans="31:63" x14ac:dyDescent="0.3">
      <c r="AE227" s="367">
        <f t="shared" si="160"/>
        <v>882000000</v>
      </c>
      <c r="AF227" s="158">
        <v>1050</v>
      </c>
      <c r="AG227" s="41">
        <v>20</v>
      </c>
      <c r="AH227" s="41" t="s">
        <v>376</v>
      </c>
      <c r="AI227" s="362">
        <f t="shared" si="165"/>
        <v>100</v>
      </c>
      <c r="AJ227" s="41">
        <f t="shared" si="166"/>
        <v>100</v>
      </c>
      <c r="AK227" s="231">
        <v>0.79500000000000004</v>
      </c>
      <c r="AL227" s="433">
        <f t="shared" si="167"/>
        <v>7.95</v>
      </c>
      <c r="AM227" s="41">
        <v>0.13</v>
      </c>
      <c r="AN227" s="158">
        <f t="shared" si="159"/>
        <v>10</v>
      </c>
      <c r="AO227" s="384">
        <f t="shared" si="162"/>
        <v>12.145924930488421</v>
      </c>
    </row>
    <row r="228" spans="31:63" x14ac:dyDescent="0.3">
      <c r="AE228" s="367">
        <f t="shared" si="160"/>
        <v>903000000</v>
      </c>
      <c r="AF228" s="158">
        <v>1075</v>
      </c>
      <c r="AG228" s="41">
        <v>20</v>
      </c>
      <c r="AH228" s="41" t="s">
        <v>376</v>
      </c>
      <c r="AI228" s="362">
        <f t="shared" si="165"/>
        <v>100</v>
      </c>
      <c r="AJ228" s="41">
        <f t="shared" si="166"/>
        <v>100</v>
      </c>
      <c r="AK228" s="231">
        <v>0.79500000000000004</v>
      </c>
      <c r="AL228" s="433">
        <f t="shared" si="167"/>
        <v>7.95</v>
      </c>
      <c r="AM228" s="41">
        <v>0.13</v>
      </c>
      <c r="AN228" s="158">
        <f t="shared" si="159"/>
        <v>10</v>
      </c>
      <c r="AO228" s="384">
        <f t="shared" si="162"/>
        <v>12.145924930488421</v>
      </c>
    </row>
    <row r="229" spans="31:63" x14ac:dyDescent="0.3">
      <c r="AE229" s="367">
        <f t="shared" si="160"/>
        <v>924000000</v>
      </c>
      <c r="AF229" s="158">
        <v>1100</v>
      </c>
      <c r="AG229" s="41">
        <v>20</v>
      </c>
      <c r="AH229" s="41" t="s">
        <v>376</v>
      </c>
      <c r="AI229" s="362">
        <f t="shared" si="165"/>
        <v>100</v>
      </c>
      <c r="AJ229" s="41">
        <f t="shared" si="166"/>
        <v>100</v>
      </c>
      <c r="AK229" s="231">
        <v>0.79500000000000004</v>
      </c>
      <c r="AL229" s="433">
        <f t="shared" si="167"/>
        <v>7.95</v>
      </c>
      <c r="AM229" s="41">
        <v>0.13</v>
      </c>
      <c r="AN229" s="158">
        <f t="shared" si="159"/>
        <v>10</v>
      </c>
      <c r="AO229" s="384">
        <f t="shared" si="162"/>
        <v>12.145924930488421</v>
      </c>
    </row>
    <row r="230" spans="31:63" x14ac:dyDescent="0.3">
      <c r="AE230" s="367">
        <f t="shared" si="160"/>
        <v>945000000</v>
      </c>
      <c r="AF230" s="158">
        <v>1125</v>
      </c>
      <c r="AG230" s="41">
        <v>20</v>
      </c>
      <c r="AH230" s="41" t="s">
        <v>376</v>
      </c>
      <c r="AI230" s="362">
        <f t="shared" si="165"/>
        <v>100</v>
      </c>
      <c r="AJ230" s="41">
        <f t="shared" si="166"/>
        <v>100</v>
      </c>
      <c r="AK230" s="231">
        <v>0.79500000000000004</v>
      </c>
      <c r="AL230" s="433">
        <f t="shared" si="167"/>
        <v>7.95</v>
      </c>
      <c r="AM230" s="41">
        <v>0.13</v>
      </c>
      <c r="AN230" s="158">
        <f t="shared" si="159"/>
        <v>10</v>
      </c>
      <c r="AO230" s="384">
        <f t="shared" si="162"/>
        <v>12.145924930488421</v>
      </c>
      <c r="AP230"/>
      <c r="AQ230"/>
      <c r="AR230"/>
      <c r="AS230"/>
      <c r="AT230"/>
      <c r="AU230"/>
      <c r="AV230"/>
      <c r="AW230"/>
      <c r="AX230"/>
      <c r="AY230"/>
      <c r="AZ230"/>
      <c r="BA230"/>
      <c r="BB230"/>
      <c r="BC230"/>
      <c r="BD230"/>
      <c r="BE230"/>
      <c r="BF230"/>
      <c r="BG230"/>
      <c r="BH230"/>
      <c r="BI230"/>
      <c r="BJ230"/>
      <c r="BK230"/>
    </row>
    <row r="231" spans="31:63" x14ac:dyDescent="0.3">
      <c r="AE231" s="367">
        <f t="shared" si="160"/>
        <v>966000000</v>
      </c>
      <c r="AF231" s="158">
        <v>1150</v>
      </c>
      <c r="AG231" s="41">
        <v>20</v>
      </c>
      <c r="AH231" s="41" t="s">
        <v>376</v>
      </c>
      <c r="AI231" s="362">
        <f t="shared" si="165"/>
        <v>100</v>
      </c>
      <c r="AJ231" s="41">
        <f t="shared" si="166"/>
        <v>100</v>
      </c>
      <c r="AK231" s="231">
        <v>0.79500000000000004</v>
      </c>
      <c r="AL231" s="433">
        <f t="shared" si="167"/>
        <v>7.95</v>
      </c>
      <c r="AM231" s="41">
        <v>0.13</v>
      </c>
      <c r="AN231" s="158">
        <f t="shared" si="159"/>
        <v>10</v>
      </c>
      <c r="AO231" s="384">
        <f t="shared" si="162"/>
        <v>12.145924930488421</v>
      </c>
      <c r="AP231"/>
      <c r="AQ231"/>
      <c r="AR231"/>
      <c r="AS231"/>
      <c r="AT231"/>
      <c r="AU231"/>
      <c r="AV231"/>
      <c r="AW231"/>
      <c r="AX231"/>
      <c r="AY231"/>
      <c r="AZ231"/>
      <c r="BA231"/>
      <c r="BB231"/>
      <c r="BC231"/>
      <c r="BD231"/>
      <c r="BE231"/>
      <c r="BF231"/>
      <c r="BG231"/>
      <c r="BH231"/>
      <c r="BI231"/>
      <c r="BJ231"/>
      <c r="BK231"/>
    </row>
    <row r="232" spans="31:63" x14ac:dyDescent="0.3">
      <c r="AE232" s="367">
        <f t="shared" si="160"/>
        <v>987000000</v>
      </c>
      <c r="AF232" s="158">
        <v>1175</v>
      </c>
      <c r="AG232" s="41">
        <v>20</v>
      </c>
      <c r="AH232" s="41" t="s">
        <v>376</v>
      </c>
      <c r="AI232" s="362">
        <f t="shared" si="165"/>
        <v>100</v>
      </c>
      <c r="AJ232" s="41">
        <f t="shared" si="166"/>
        <v>100</v>
      </c>
      <c r="AK232" s="231">
        <v>0.79500000000000004</v>
      </c>
      <c r="AL232" s="433">
        <f t="shared" si="167"/>
        <v>7.95</v>
      </c>
      <c r="AM232" s="41">
        <v>0.13</v>
      </c>
      <c r="AN232" s="158">
        <f t="shared" si="159"/>
        <v>10</v>
      </c>
      <c r="AO232" s="384">
        <f t="shared" si="162"/>
        <v>12.145924930488421</v>
      </c>
    </row>
    <row r="233" spans="31:63" x14ac:dyDescent="0.3">
      <c r="AE233" s="367">
        <f t="shared" si="160"/>
        <v>1008000000</v>
      </c>
      <c r="AF233" s="158">
        <v>1200</v>
      </c>
      <c r="AG233" s="41">
        <v>20</v>
      </c>
      <c r="AH233" s="41" t="s">
        <v>376</v>
      </c>
      <c r="AI233" s="362">
        <f t="shared" si="165"/>
        <v>100</v>
      </c>
      <c r="AJ233" s="41">
        <f t="shared" si="166"/>
        <v>100</v>
      </c>
      <c r="AK233" s="231">
        <v>0.79500000000000004</v>
      </c>
      <c r="AL233" s="433">
        <f t="shared" si="167"/>
        <v>7.95</v>
      </c>
      <c r="AM233" s="41">
        <v>0.13</v>
      </c>
      <c r="AN233" s="158">
        <f t="shared" si="159"/>
        <v>10</v>
      </c>
      <c r="AO233" s="384">
        <f t="shared" si="162"/>
        <v>12.145924930488421</v>
      </c>
    </row>
    <row r="234" spans="31:63" x14ac:dyDescent="0.3">
      <c r="AE234" s="367">
        <f t="shared" si="160"/>
        <v>1029000000</v>
      </c>
      <c r="AF234" s="158">
        <v>1225</v>
      </c>
      <c r="AG234" s="41">
        <v>20</v>
      </c>
      <c r="AH234" s="41" t="s">
        <v>376</v>
      </c>
      <c r="AI234" s="362">
        <f t="shared" si="165"/>
        <v>100</v>
      </c>
      <c r="AJ234" s="41">
        <f t="shared" si="166"/>
        <v>100</v>
      </c>
      <c r="AK234" s="231">
        <v>0.79500000000000004</v>
      </c>
      <c r="AL234" s="433">
        <f t="shared" si="167"/>
        <v>7.95</v>
      </c>
      <c r="AM234" s="41">
        <v>0.13</v>
      </c>
      <c r="AN234" s="158">
        <f t="shared" si="159"/>
        <v>10</v>
      </c>
      <c r="AO234" s="384">
        <f t="shared" si="162"/>
        <v>12.145924930488421</v>
      </c>
    </row>
    <row r="235" spans="31:63" x14ac:dyDescent="0.3">
      <c r="AE235" s="367">
        <f t="shared" si="160"/>
        <v>1050000000</v>
      </c>
      <c r="AF235" s="158">
        <v>1250</v>
      </c>
      <c r="AG235" s="41">
        <v>20</v>
      </c>
      <c r="AH235" s="41" t="s">
        <v>376</v>
      </c>
      <c r="AI235" s="362">
        <f t="shared" si="165"/>
        <v>100</v>
      </c>
      <c r="AJ235" s="41">
        <f t="shared" si="166"/>
        <v>100</v>
      </c>
      <c r="AK235" s="231">
        <v>0.79500000000000004</v>
      </c>
      <c r="AL235" s="433">
        <f t="shared" si="167"/>
        <v>7.95</v>
      </c>
      <c r="AM235" s="41">
        <v>0.13</v>
      </c>
      <c r="AN235" s="158">
        <f t="shared" si="159"/>
        <v>10</v>
      </c>
      <c r="AO235" s="384">
        <f t="shared" si="162"/>
        <v>12.145924930488421</v>
      </c>
    </row>
    <row r="236" spans="31:63" x14ac:dyDescent="0.3">
      <c r="AE236" s="367">
        <f t="shared" si="160"/>
        <v>1071000000</v>
      </c>
      <c r="AF236" s="158">
        <v>1275</v>
      </c>
      <c r="AG236" s="41">
        <v>20</v>
      </c>
      <c r="AH236" s="41" t="s">
        <v>376</v>
      </c>
      <c r="AI236" s="362">
        <f t="shared" si="165"/>
        <v>100</v>
      </c>
      <c r="AJ236" s="41">
        <f t="shared" si="166"/>
        <v>100</v>
      </c>
      <c r="AK236" s="231">
        <v>0.79500000000000004</v>
      </c>
      <c r="AL236" s="433">
        <f t="shared" si="167"/>
        <v>7.95</v>
      </c>
      <c r="AM236" s="41">
        <v>0.13</v>
      </c>
      <c r="AN236" s="158">
        <f t="shared" si="159"/>
        <v>10</v>
      </c>
      <c r="AO236" s="384">
        <f t="shared" si="162"/>
        <v>12.145924930488421</v>
      </c>
    </row>
    <row r="237" spans="31:63" x14ac:dyDescent="0.3">
      <c r="AE237" s="367">
        <f t="shared" si="160"/>
        <v>1092000000</v>
      </c>
      <c r="AF237" s="158">
        <v>1300</v>
      </c>
      <c r="AG237" s="41">
        <v>20</v>
      </c>
      <c r="AH237" s="41" t="s">
        <v>376</v>
      </c>
      <c r="AI237" s="362">
        <f t="shared" si="165"/>
        <v>100</v>
      </c>
      <c r="AJ237" s="41">
        <f t="shared" si="166"/>
        <v>100</v>
      </c>
      <c r="AK237" s="231">
        <v>0.79500000000000004</v>
      </c>
      <c r="AL237" s="433">
        <f t="shared" si="167"/>
        <v>7.95</v>
      </c>
      <c r="AM237" s="41">
        <v>0.13</v>
      </c>
      <c r="AN237" s="158">
        <f t="shared" si="159"/>
        <v>10</v>
      </c>
      <c r="AO237" s="384">
        <f t="shared" si="162"/>
        <v>12.145924930488421</v>
      </c>
    </row>
    <row r="238" spans="31:63" x14ac:dyDescent="0.3">
      <c r="AE238" s="367">
        <f t="shared" si="160"/>
        <v>1113000000</v>
      </c>
      <c r="AF238" s="158">
        <v>1325</v>
      </c>
      <c r="AG238" s="41">
        <v>20</v>
      </c>
      <c r="AH238" s="41" t="s">
        <v>376</v>
      </c>
      <c r="AI238" s="362">
        <f t="shared" si="165"/>
        <v>100</v>
      </c>
      <c r="AJ238" s="41">
        <f t="shared" si="166"/>
        <v>100</v>
      </c>
      <c r="AK238" s="231">
        <v>0.79500000000000004</v>
      </c>
      <c r="AL238" s="433">
        <f t="shared" si="167"/>
        <v>7.95</v>
      </c>
      <c r="AM238" s="41">
        <v>0.13</v>
      </c>
      <c r="AN238" s="158">
        <f t="shared" si="159"/>
        <v>10</v>
      </c>
      <c r="AO238" s="384">
        <f t="shared" si="162"/>
        <v>12.145924930488421</v>
      </c>
    </row>
    <row r="239" spans="31:63" x14ac:dyDescent="0.3">
      <c r="AE239" s="367">
        <f t="shared" si="160"/>
        <v>1134000000</v>
      </c>
      <c r="AF239" s="158">
        <v>1350</v>
      </c>
      <c r="AG239" s="41">
        <v>20</v>
      </c>
      <c r="AH239" s="41" t="s">
        <v>376</v>
      </c>
      <c r="AI239" s="362">
        <f t="shared" si="165"/>
        <v>100</v>
      </c>
      <c r="AJ239" s="41">
        <f t="shared" si="166"/>
        <v>100</v>
      </c>
      <c r="AK239" s="231">
        <v>0.79500000000000004</v>
      </c>
      <c r="AL239" s="433">
        <f t="shared" si="167"/>
        <v>7.95</v>
      </c>
      <c r="AM239" s="41">
        <v>0.13</v>
      </c>
      <c r="AN239" s="158">
        <f t="shared" si="159"/>
        <v>10</v>
      </c>
      <c r="AO239" s="384">
        <f t="shared" si="162"/>
        <v>12.145924930488421</v>
      </c>
    </row>
    <row r="240" spans="31:63" x14ac:dyDescent="0.3">
      <c r="AE240" s="367">
        <f t="shared" si="160"/>
        <v>1155000000</v>
      </c>
      <c r="AF240" s="158">
        <v>1375</v>
      </c>
      <c r="AG240" s="41">
        <v>20</v>
      </c>
      <c r="AH240" s="41" t="s">
        <v>376</v>
      </c>
      <c r="AI240" s="362">
        <f t="shared" si="165"/>
        <v>100</v>
      </c>
      <c r="AJ240" s="41">
        <f t="shared" si="166"/>
        <v>100</v>
      </c>
      <c r="AK240" s="231">
        <v>0.79500000000000004</v>
      </c>
      <c r="AL240" s="433">
        <f t="shared" si="167"/>
        <v>7.95</v>
      </c>
      <c r="AM240" s="41">
        <v>0.13</v>
      </c>
      <c r="AN240" s="158">
        <f t="shared" si="159"/>
        <v>10</v>
      </c>
      <c r="AO240" s="384">
        <f t="shared" si="162"/>
        <v>12.145924930488421</v>
      </c>
    </row>
    <row r="241" spans="31:63" x14ac:dyDescent="0.3">
      <c r="AE241" s="367">
        <f t="shared" si="160"/>
        <v>1176000000</v>
      </c>
      <c r="AF241" s="158">
        <v>1400</v>
      </c>
      <c r="AG241" s="41">
        <v>20</v>
      </c>
      <c r="AH241" s="41" t="s">
        <v>376</v>
      </c>
      <c r="AI241" s="362">
        <f t="shared" si="165"/>
        <v>100</v>
      </c>
      <c r="AJ241" s="41">
        <f t="shared" si="166"/>
        <v>100</v>
      </c>
      <c r="AK241" s="231">
        <v>0.79500000000000004</v>
      </c>
      <c r="AL241" s="433">
        <f t="shared" si="167"/>
        <v>7.95</v>
      </c>
      <c r="AM241" s="41">
        <v>0.13</v>
      </c>
      <c r="AN241" s="158">
        <f t="shared" si="159"/>
        <v>10</v>
      </c>
      <c r="AO241" s="384">
        <f t="shared" si="162"/>
        <v>12.145924930488421</v>
      </c>
    </row>
    <row r="242" spans="31:63" x14ac:dyDescent="0.3">
      <c r="AE242" s="367">
        <f t="shared" si="160"/>
        <v>1197000000</v>
      </c>
      <c r="AF242" s="158">
        <v>1425</v>
      </c>
      <c r="AG242" s="41">
        <v>20</v>
      </c>
      <c r="AH242" s="41" t="s">
        <v>376</v>
      </c>
      <c r="AI242" s="362">
        <f t="shared" si="165"/>
        <v>100</v>
      </c>
      <c r="AJ242" s="41">
        <f t="shared" si="166"/>
        <v>100</v>
      </c>
      <c r="AK242" s="231">
        <v>0.79500000000000004</v>
      </c>
      <c r="AL242" s="433">
        <f t="shared" si="167"/>
        <v>7.95</v>
      </c>
      <c r="AM242" s="41">
        <v>0.13</v>
      </c>
      <c r="AN242" s="158">
        <f t="shared" si="159"/>
        <v>10</v>
      </c>
      <c r="AO242" s="384">
        <f t="shared" si="162"/>
        <v>12.145924930488421</v>
      </c>
    </row>
    <row r="243" spans="31:63" x14ac:dyDescent="0.3">
      <c r="AE243" s="367">
        <f t="shared" si="160"/>
        <v>1218000000</v>
      </c>
      <c r="AF243" s="158">
        <v>1450</v>
      </c>
      <c r="AG243" s="41">
        <v>20</v>
      </c>
      <c r="AH243" s="41" t="s">
        <v>376</v>
      </c>
      <c r="AI243" s="362">
        <f t="shared" si="165"/>
        <v>100</v>
      </c>
      <c r="AJ243" s="41">
        <f t="shared" si="166"/>
        <v>100</v>
      </c>
      <c r="AK243" s="231">
        <v>0.79500000000000004</v>
      </c>
      <c r="AL243" s="433">
        <f t="shared" si="167"/>
        <v>7.95</v>
      </c>
      <c r="AM243" s="41">
        <v>0.13</v>
      </c>
      <c r="AN243" s="158">
        <f t="shared" si="159"/>
        <v>10</v>
      </c>
      <c r="AO243" s="384">
        <f t="shared" si="162"/>
        <v>12.145924930488421</v>
      </c>
    </row>
    <row r="244" spans="31:63" x14ac:dyDescent="0.3">
      <c r="AE244" s="367">
        <f t="shared" si="160"/>
        <v>1239000000</v>
      </c>
      <c r="AF244" s="158">
        <v>1475</v>
      </c>
      <c r="AG244" s="41">
        <v>20</v>
      </c>
      <c r="AH244" s="41" t="s">
        <v>376</v>
      </c>
      <c r="AI244" s="362">
        <f t="shared" si="165"/>
        <v>100</v>
      </c>
      <c r="AJ244" s="41">
        <f t="shared" si="166"/>
        <v>100</v>
      </c>
      <c r="AK244" s="231">
        <v>0.79500000000000004</v>
      </c>
      <c r="AL244" s="433">
        <f t="shared" si="167"/>
        <v>7.95</v>
      </c>
      <c r="AM244" s="41">
        <v>0.13</v>
      </c>
      <c r="AN244" s="158">
        <f t="shared" si="159"/>
        <v>10</v>
      </c>
      <c r="AO244" s="384">
        <f t="shared" si="162"/>
        <v>12.145924930488421</v>
      </c>
    </row>
    <row r="245" spans="31:63" x14ac:dyDescent="0.3">
      <c r="AE245" s="367">
        <f t="shared" si="160"/>
        <v>1260000000</v>
      </c>
      <c r="AF245" s="158">
        <v>1500</v>
      </c>
      <c r="AG245" s="41">
        <v>20</v>
      </c>
      <c r="AH245" s="41" t="s">
        <v>376</v>
      </c>
      <c r="AI245" s="362">
        <f t="shared" si="165"/>
        <v>100</v>
      </c>
      <c r="AJ245" s="41">
        <f t="shared" si="166"/>
        <v>100</v>
      </c>
      <c r="AK245" s="231">
        <v>0.79500000000000004</v>
      </c>
      <c r="AL245" s="433">
        <f t="shared" si="167"/>
        <v>7.95</v>
      </c>
      <c r="AM245" s="41">
        <v>0.13</v>
      </c>
      <c r="AN245" s="158">
        <f t="shared" si="159"/>
        <v>10</v>
      </c>
      <c r="AO245" s="384">
        <f t="shared" si="162"/>
        <v>12.145924930488421</v>
      </c>
    </row>
    <row r="246" spans="31:63" x14ac:dyDescent="0.3">
      <c r="AE246" s="367">
        <f t="shared" si="160"/>
        <v>1281000000</v>
      </c>
      <c r="AF246" s="158">
        <v>1525</v>
      </c>
      <c r="AG246" s="41">
        <v>20</v>
      </c>
      <c r="AH246" s="41" t="s">
        <v>376</v>
      </c>
      <c r="AI246" s="362">
        <f t="shared" si="165"/>
        <v>100</v>
      </c>
      <c r="AJ246" s="41">
        <f t="shared" si="166"/>
        <v>100</v>
      </c>
      <c r="AK246" s="231">
        <v>0.79500000000000004</v>
      </c>
      <c r="AL246" s="433">
        <f t="shared" si="167"/>
        <v>7.95</v>
      </c>
      <c r="AM246" s="41">
        <v>0.13</v>
      </c>
      <c r="AN246" s="158">
        <f t="shared" si="159"/>
        <v>10</v>
      </c>
      <c r="AO246" s="384">
        <f t="shared" si="162"/>
        <v>12.145924930488421</v>
      </c>
    </row>
    <row r="247" spans="31:63" x14ac:dyDescent="0.3">
      <c r="AE247" s="367">
        <f t="shared" si="160"/>
        <v>1302000000</v>
      </c>
      <c r="AF247" s="158">
        <v>1550</v>
      </c>
      <c r="AG247" s="41">
        <v>20</v>
      </c>
      <c r="AH247" s="41" t="s">
        <v>376</v>
      </c>
      <c r="AI247" s="362">
        <f t="shared" si="165"/>
        <v>100</v>
      </c>
      <c r="AJ247" s="41">
        <f t="shared" si="166"/>
        <v>100</v>
      </c>
      <c r="AK247" s="231">
        <v>0.79500000000000004</v>
      </c>
      <c r="AL247" s="433">
        <f t="shared" si="167"/>
        <v>7.95</v>
      </c>
      <c r="AM247" s="41">
        <v>0.13</v>
      </c>
      <c r="AN247" s="158">
        <f t="shared" si="159"/>
        <v>10</v>
      </c>
      <c r="AO247" s="384">
        <f t="shared" si="162"/>
        <v>12.145924930488421</v>
      </c>
    </row>
    <row r="248" spans="31:63" x14ac:dyDescent="0.3">
      <c r="AE248" s="367">
        <f t="shared" si="160"/>
        <v>1323000000</v>
      </c>
      <c r="AF248" s="158">
        <v>1575</v>
      </c>
      <c r="AG248" s="41">
        <v>20</v>
      </c>
      <c r="AH248" s="41" t="s">
        <v>376</v>
      </c>
      <c r="AI248" s="362">
        <f t="shared" si="165"/>
        <v>100</v>
      </c>
      <c r="AJ248" s="41">
        <f t="shared" si="166"/>
        <v>100</v>
      </c>
      <c r="AK248" s="231">
        <v>0.79500000000000004</v>
      </c>
      <c r="AL248" s="433">
        <f t="shared" si="167"/>
        <v>7.95</v>
      </c>
      <c r="AM248" s="41">
        <v>0.13</v>
      </c>
      <c r="AN248" s="158">
        <f t="shared" si="159"/>
        <v>10</v>
      </c>
      <c r="AO248" s="384">
        <f t="shared" si="162"/>
        <v>12.145924930488421</v>
      </c>
    </row>
    <row r="249" spans="31:63" x14ac:dyDescent="0.3">
      <c r="AE249" s="367">
        <f t="shared" si="160"/>
        <v>1344000000</v>
      </c>
      <c r="AF249" s="158">
        <v>1600</v>
      </c>
      <c r="AG249" s="41">
        <v>20</v>
      </c>
      <c r="AH249" s="41" t="s">
        <v>376</v>
      </c>
      <c r="AI249" s="362">
        <f t="shared" si="165"/>
        <v>100</v>
      </c>
      <c r="AJ249" s="41">
        <f t="shared" si="166"/>
        <v>100</v>
      </c>
      <c r="AK249" s="231">
        <v>0.79500000000000004</v>
      </c>
      <c r="AL249" s="433">
        <f t="shared" si="167"/>
        <v>7.95</v>
      </c>
      <c r="AM249" s="41">
        <v>0.13</v>
      </c>
      <c r="AN249" s="158">
        <f t="shared" si="159"/>
        <v>10</v>
      </c>
      <c r="AO249" s="384">
        <f t="shared" si="162"/>
        <v>12.145924930488421</v>
      </c>
    </row>
    <row r="250" spans="31:63" x14ac:dyDescent="0.3">
      <c r="AE250" s="367">
        <f t="shared" si="160"/>
        <v>1365000000</v>
      </c>
      <c r="AF250" s="158">
        <v>1625</v>
      </c>
      <c r="AG250" s="41">
        <v>20</v>
      </c>
      <c r="AH250" s="41" t="s">
        <v>376</v>
      </c>
      <c r="AI250" s="362">
        <f t="shared" si="165"/>
        <v>100</v>
      </c>
      <c r="AJ250" s="41">
        <f t="shared" si="166"/>
        <v>100</v>
      </c>
      <c r="AK250" s="231">
        <v>0.79500000000000004</v>
      </c>
      <c r="AL250" s="433">
        <f t="shared" si="167"/>
        <v>7.95</v>
      </c>
      <c r="AM250" s="41">
        <v>0.13</v>
      </c>
      <c r="AN250" s="158">
        <f t="shared" ref="AN250:AN313" si="168">$B$8</f>
        <v>10</v>
      </c>
      <c r="AO250" s="384">
        <f t="shared" si="162"/>
        <v>12.145924930488421</v>
      </c>
    </row>
    <row r="251" spans="31:63" x14ac:dyDescent="0.3">
      <c r="AE251" s="367">
        <f t="shared" ref="AE251:AE314" si="169">AE69</f>
        <v>1386000000</v>
      </c>
      <c r="AF251" s="158">
        <v>1650</v>
      </c>
      <c r="AG251" s="41">
        <v>20</v>
      </c>
      <c r="AH251" s="41" t="s">
        <v>376</v>
      </c>
      <c r="AI251" s="362">
        <f t="shared" si="165"/>
        <v>100</v>
      </c>
      <c r="AJ251" s="41">
        <f t="shared" si="166"/>
        <v>100</v>
      </c>
      <c r="AK251" s="231">
        <v>0.79500000000000004</v>
      </c>
      <c r="AL251" s="433">
        <f t="shared" si="167"/>
        <v>7.95</v>
      </c>
      <c r="AM251" s="41">
        <v>0.13</v>
      </c>
      <c r="AN251" s="158">
        <f t="shared" si="168"/>
        <v>10</v>
      </c>
      <c r="AO251" s="384">
        <f t="shared" ref="AO251:AO307" si="170">(AF251-AF250)*$D$50</f>
        <v>12.145924930488421</v>
      </c>
    </row>
    <row r="252" spans="31:63" x14ac:dyDescent="0.3">
      <c r="AE252" s="367">
        <f t="shared" si="169"/>
        <v>1407000000</v>
      </c>
      <c r="AF252" s="158">
        <v>1675</v>
      </c>
      <c r="AG252" s="41">
        <v>20</v>
      </c>
      <c r="AH252" s="41" t="s">
        <v>376</v>
      </c>
      <c r="AI252" s="362">
        <f t="shared" si="165"/>
        <v>100</v>
      </c>
      <c r="AJ252" s="41">
        <f t="shared" si="166"/>
        <v>100</v>
      </c>
      <c r="AK252" s="231">
        <v>0.79500000000000004</v>
      </c>
      <c r="AL252" s="433">
        <f t="shared" si="167"/>
        <v>7.95</v>
      </c>
      <c r="AM252" s="41">
        <v>0.13</v>
      </c>
      <c r="AN252" s="158">
        <f t="shared" si="168"/>
        <v>10</v>
      </c>
      <c r="AO252" s="384">
        <f t="shared" si="170"/>
        <v>12.145924930488421</v>
      </c>
    </row>
    <row r="253" spans="31:63" x14ac:dyDescent="0.3">
      <c r="AE253" s="367">
        <f t="shared" si="169"/>
        <v>1428000000</v>
      </c>
      <c r="AF253" s="158">
        <v>1700</v>
      </c>
      <c r="AG253" s="41">
        <v>20</v>
      </c>
      <c r="AH253" s="41" t="s">
        <v>376</v>
      </c>
      <c r="AI253" s="362">
        <f t="shared" si="165"/>
        <v>100</v>
      </c>
      <c r="AJ253" s="41">
        <f t="shared" si="166"/>
        <v>100</v>
      </c>
      <c r="AK253" s="231">
        <v>0.79500000000000004</v>
      </c>
      <c r="AL253" s="433">
        <f t="shared" si="167"/>
        <v>7.95</v>
      </c>
      <c r="AM253" s="41">
        <v>0.13</v>
      </c>
      <c r="AN253" s="158">
        <f t="shared" si="168"/>
        <v>10</v>
      </c>
      <c r="AO253" s="384">
        <f t="shared" si="170"/>
        <v>12.145924930488421</v>
      </c>
    </row>
    <row r="254" spans="31:63" x14ac:dyDescent="0.3">
      <c r="AE254" s="367">
        <f t="shared" si="169"/>
        <v>1449000000</v>
      </c>
      <c r="AF254" s="158">
        <v>1725</v>
      </c>
      <c r="AG254" s="41">
        <v>20</v>
      </c>
      <c r="AH254" s="41" t="s">
        <v>376</v>
      </c>
      <c r="AI254" s="362">
        <f t="shared" si="165"/>
        <v>100</v>
      </c>
      <c r="AJ254" s="41">
        <f t="shared" si="166"/>
        <v>100</v>
      </c>
      <c r="AK254" s="231">
        <v>0.79500000000000004</v>
      </c>
      <c r="AL254" s="433">
        <f t="shared" si="167"/>
        <v>7.95</v>
      </c>
      <c r="AM254" s="41">
        <v>0.13</v>
      </c>
      <c r="AN254" s="158">
        <f t="shared" si="168"/>
        <v>10</v>
      </c>
      <c r="AO254" s="384">
        <f t="shared" si="170"/>
        <v>12.145924930488421</v>
      </c>
    </row>
    <row r="255" spans="31:63" x14ac:dyDescent="0.3">
      <c r="AE255" s="367">
        <f t="shared" si="169"/>
        <v>1470000000</v>
      </c>
      <c r="AF255" s="158">
        <v>1750</v>
      </c>
      <c r="AG255" s="41">
        <v>20</v>
      </c>
      <c r="AH255" s="41" t="s">
        <v>376</v>
      </c>
      <c r="AI255" s="362">
        <f t="shared" si="165"/>
        <v>100</v>
      </c>
      <c r="AJ255" s="41">
        <f t="shared" si="166"/>
        <v>100</v>
      </c>
      <c r="AK255" s="231">
        <v>0.79500000000000004</v>
      </c>
      <c r="AL255" s="433">
        <f t="shared" si="167"/>
        <v>7.95</v>
      </c>
      <c r="AM255" s="41">
        <v>0.13</v>
      </c>
      <c r="AN255" s="158">
        <f t="shared" si="168"/>
        <v>10</v>
      </c>
      <c r="AO255" s="384">
        <f t="shared" si="170"/>
        <v>12.145924930488421</v>
      </c>
    </row>
    <row r="256" spans="31:63" x14ac:dyDescent="0.3">
      <c r="AE256" s="367">
        <f t="shared" si="169"/>
        <v>1491000000</v>
      </c>
      <c r="AF256" s="158">
        <v>1775</v>
      </c>
      <c r="AG256" s="41">
        <v>20</v>
      </c>
      <c r="AH256" s="41" t="s">
        <v>376</v>
      </c>
      <c r="AI256" s="362">
        <f t="shared" si="165"/>
        <v>100</v>
      </c>
      <c r="AJ256" s="41">
        <f t="shared" si="166"/>
        <v>100</v>
      </c>
      <c r="AK256" s="231">
        <v>0.79500000000000004</v>
      </c>
      <c r="AL256" s="433">
        <f t="shared" si="167"/>
        <v>7.95</v>
      </c>
      <c r="AM256" s="41">
        <v>0.13</v>
      </c>
      <c r="AN256" s="158">
        <f t="shared" si="168"/>
        <v>10</v>
      </c>
      <c r="AO256" s="384">
        <f t="shared" si="170"/>
        <v>12.145924930488421</v>
      </c>
      <c r="AP256"/>
      <c r="AQ256"/>
      <c r="AR256"/>
      <c r="AS256"/>
      <c r="AT256"/>
      <c r="AU256"/>
      <c r="AV256"/>
      <c r="AW256"/>
      <c r="AX256"/>
      <c r="AY256"/>
      <c r="AZ256"/>
      <c r="BA256"/>
      <c r="BB256"/>
      <c r="BC256"/>
      <c r="BD256"/>
      <c r="BE256"/>
      <c r="BF256"/>
      <c r="BG256"/>
      <c r="BH256"/>
      <c r="BI256"/>
      <c r="BJ256"/>
      <c r="BK256"/>
    </row>
    <row r="257" spans="31:63" x14ac:dyDescent="0.3">
      <c r="AE257" s="367">
        <f t="shared" si="169"/>
        <v>1512000000</v>
      </c>
      <c r="AF257" s="158">
        <v>1800</v>
      </c>
      <c r="AG257" s="41">
        <v>20</v>
      </c>
      <c r="AH257" s="41" t="s">
        <v>376</v>
      </c>
      <c r="AI257" s="362">
        <f t="shared" si="165"/>
        <v>100</v>
      </c>
      <c r="AJ257" s="41">
        <f t="shared" si="166"/>
        <v>100</v>
      </c>
      <c r="AK257" s="231">
        <v>0.79500000000000004</v>
      </c>
      <c r="AL257" s="433">
        <f t="shared" si="167"/>
        <v>7.95</v>
      </c>
      <c r="AM257" s="41">
        <v>0.13</v>
      </c>
      <c r="AN257" s="158">
        <f t="shared" si="168"/>
        <v>10</v>
      </c>
      <c r="AO257" s="384">
        <f t="shared" si="170"/>
        <v>12.145924930488421</v>
      </c>
      <c r="AP257"/>
      <c r="AQ257"/>
      <c r="AR257"/>
      <c r="AS257"/>
      <c r="AT257"/>
      <c r="AU257"/>
      <c r="AV257"/>
      <c r="AW257"/>
      <c r="AX257"/>
      <c r="AY257"/>
      <c r="AZ257"/>
      <c r="BA257"/>
      <c r="BB257"/>
      <c r="BC257"/>
      <c r="BD257"/>
      <c r="BE257"/>
      <c r="BF257"/>
      <c r="BG257"/>
      <c r="BH257"/>
      <c r="BI257"/>
      <c r="BJ257"/>
      <c r="BK257"/>
    </row>
    <row r="258" spans="31:63" x14ac:dyDescent="0.3">
      <c r="AE258" s="367">
        <f t="shared" si="169"/>
        <v>1533000000</v>
      </c>
      <c r="AF258" s="158">
        <v>1825</v>
      </c>
      <c r="AG258" s="41">
        <v>20</v>
      </c>
      <c r="AH258" s="41" t="s">
        <v>376</v>
      </c>
      <c r="AI258" s="362">
        <f t="shared" si="165"/>
        <v>100</v>
      </c>
      <c r="AJ258" s="41">
        <f t="shared" si="166"/>
        <v>100</v>
      </c>
      <c r="AK258" s="231">
        <v>0.79500000000000004</v>
      </c>
      <c r="AL258" s="433">
        <f t="shared" si="167"/>
        <v>7.95</v>
      </c>
      <c r="AM258" s="41">
        <v>0.13</v>
      </c>
      <c r="AN258" s="158">
        <f t="shared" si="168"/>
        <v>10</v>
      </c>
      <c r="AO258" s="384">
        <f t="shared" si="170"/>
        <v>12.145924930488421</v>
      </c>
      <c r="AP258"/>
      <c r="AQ258"/>
      <c r="AR258"/>
      <c r="AS258"/>
      <c r="AT258"/>
      <c r="AU258"/>
      <c r="AV258"/>
      <c r="AW258"/>
      <c r="AX258"/>
      <c r="AY258"/>
      <c r="AZ258"/>
      <c r="BA258"/>
      <c r="BB258"/>
      <c r="BC258"/>
      <c r="BD258"/>
      <c r="BE258"/>
      <c r="BF258"/>
      <c r="BG258"/>
      <c r="BH258"/>
      <c r="BI258"/>
      <c r="BJ258"/>
      <c r="BK258"/>
    </row>
    <row r="259" spans="31:63" x14ac:dyDescent="0.3">
      <c r="AE259" s="367">
        <f t="shared" si="169"/>
        <v>1554000000</v>
      </c>
      <c r="AF259" s="158">
        <v>1850</v>
      </c>
      <c r="AG259" s="41">
        <v>20</v>
      </c>
      <c r="AH259" s="41" t="s">
        <v>376</v>
      </c>
      <c r="AI259" s="362">
        <f t="shared" si="165"/>
        <v>100</v>
      </c>
      <c r="AJ259" s="41">
        <f t="shared" si="166"/>
        <v>100</v>
      </c>
      <c r="AK259" s="231">
        <v>0.79500000000000004</v>
      </c>
      <c r="AL259" s="433">
        <f t="shared" si="167"/>
        <v>7.95</v>
      </c>
      <c r="AM259" s="41">
        <v>0.13</v>
      </c>
      <c r="AN259" s="158">
        <f t="shared" si="168"/>
        <v>10</v>
      </c>
      <c r="AO259" s="384">
        <f t="shared" si="170"/>
        <v>12.145924930488421</v>
      </c>
      <c r="AP259"/>
      <c r="AQ259"/>
      <c r="AR259"/>
      <c r="AS259"/>
      <c r="AT259"/>
      <c r="AU259"/>
      <c r="AV259"/>
      <c r="AW259"/>
      <c r="AX259"/>
      <c r="AY259"/>
      <c r="AZ259"/>
      <c r="BA259"/>
      <c r="BB259"/>
      <c r="BC259"/>
      <c r="BD259"/>
      <c r="BE259"/>
      <c r="BF259"/>
      <c r="BG259"/>
      <c r="BH259"/>
      <c r="BI259"/>
      <c r="BJ259"/>
      <c r="BK259"/>
    </row>
    <row r="260" spans="31:63" x14ac:dyDescent="0.3">
      <c r="AE260" s="367">
        <f t="shared" si="169"/>
        <v>1575000000</v>
      </c>
      <c r="AF260" s="158">
        <v>1875</v>
      </c>
      <c r="AG260" s="41">
        <v>20</v>
      </c>
      <c r="AH260" s="41" t="s">
        <v>376</v>
      </c>
      <c r="AI260" s="362">
        <f t="shared" si="165"/>
        <v>100</v>
      </c>
      <c r="AJ260" s="41">
        <f t="shared" si="166"/>
        <v>100</v>
      </c>
      <c r="AK260" s="231">
        <v>0.79500000000000004</v>
      </c>
      <c r="AL260" s="433">
        <f t="shared" si="167"/>
        <v>7.95</v>
      </c>
      <c r="AM260" s="41">
        <v>0.13</v>
      </c>
      <c r="AN260" s="158">
        <f t="shared" si="168"/>
        <v>10</v>
      </c>
      <c r="AO260" s="384">
        <f t="shared" si="170"/>
        <v>12.145924930488421</v>
      </c>
      <c r="AP260"/>
      <c r="AQ260"/>
      <c r="AR260"/>
      <c r="AS260"/>
      <c r="AT260"/>
      <c r="AU260"/>
      <c r="AV260"/>
      <c r="AW260"/>
      <c r="AX260"/>
      <c r="AY260"/>
      <c r="AZ260"/>
      <c r="BA260"/>
      <c r="BB260"/>
      <c r="BC260"/>
      <c r="BD260"/>
      <c r="BE260"/>
      <c r="BF260"/>
      <c r="BG260"/>
      <c r="BH260"/>
      <c r="BI260"/>
      <c r="BJ260"/>
      <c r="BK260"/>
    </row>
    <row r="261" spans="31:63" x14ac:dyDescent="0.3">
      <c r="AE261" s="367">
        <f t="shared" si="169"/>
        <v>1596000000</v>
      </c>
      <c r="AF261" s="158">
        <v>1900</v>
      </c>
      <c r="AG261" s="41">
        <v>20</v>
      </c>
      <c r="AH261" s="41" t="s">
        <v>376</v>
      </c>
      <c r="AI261" s="362">
        <f t="shared" si="165"/>
        <v>100</v>
      </c>
      <c r="AJ261" s="41">
        <f t="shared" si="166"/>
        <v>100</v>
      </c>
      <c r="AK261" s="231">
        <v>0.79500000000000004</v>
      </c>
      <c r="AL261" s="433">
        <f t="shared" si="167"/>
        <v>7.95</v>
      </c>
      <c r="AM261" s="41">
        <v>0.13</v>
      </c>
      <c r="AN261" s="158">
        <f t="shared" si="168"/>
        <v>10</v>
      </c>
      <c r="AO261" s="384">
        <f t="shared" si="170"/>
        <v>12.145924930488421</v>
      </c>
      <c r="AP261"/>
      <c r="AQ261"/>
      <c r="AR261"/>
      <c r="AS261"/>
      <c r="AT261"/>
      <c r="AU261"/>
      <c r="AV261"/>
      <c r="AW261"/>
      <c r="AX261"/>
      <c r="AY261"/>
      <c r="AZ261"/>
      <c r="BA261"/>
      <c r="BB261"/>
      <c r="BC261"/>
      <c r="BD261"/>
      <c r="BE261"/>
      <c r="BF261"/>
      <c r="BG261"/>
      <c r="BH261"/>
      <c r="BI261"/>
      <c r="BJ261"/>
      <c r="BK261"/>
    </row>
    <row r="262" spans="31:63" x14ac:dyDescent="0.3">
      <c r="AE262" s="367">
        <f t="shared" si="169"/>
        <v>1617000000</v>
      </c>
      <c r="AF262" s="158">
        <v>1925</v>
      </c>
      <c r="AG262" s="41">
        <v>20</v>
      </c>
      <c r="AH262" s="41" t="s">
        <v>376</v>
      </c>
      <c r="AI262" s="362">
        <f t="shared" si="165"/>
        <v>100</v>
      </c>
      <c r="AJ262" s="41">
        <f t="shared" si="166"/>
        <v>100</v>
      </c>
      <c r="AK262" s="231">
        <v>0.79500000000000004</v>
      </c>
      <c r="AL262" s="433">
        <f t="shared" si="167"/>
        <v>7.95</v>
      </c>
      <c r="AM262" s="41">
        <v>0.13</v>
      </c>
      <c r="AN262" s="158">
        <f t="shared" si="168"/>
        <v>10</v>
      </c>
      <c r="AO262" s="384">
        <f t="shared" si="170"/>
        <v>12.145924930488421</v>
      </c>
      <c r="AP262"/>
      <c r="AQ262"/>
      <c r="AR262"/>
      <c r="AS262"/>
      <c r="AT262"/>
      <c r="AU262"/>
      <c r="AV262"/>
      <c r="AW262"/>
      <c r="AX262"/>
      <c r="AY262"/>
      <c r="AZ262"/>
      <c r="BA262"/>
      <c r="BB262"/>
      <c r="BC262"/>
      <c r="BD262"/>
      <c r="BE262"/>
      <c r="BF262"/>
      <c r="BG262"/>
      <c r="BH262"/>
      <c r="BI262"/>
      <c r="BJ262"/>
      <c r="BK262"/>
    </row>
    <row r="263" spans="31:63" x14ac:dyDescent="0.3">
      <c r="AE263" s="367">
        <f t="shared" si="169"/>
        <v>1638000000</v>
      </c>
      <c r="AF263" s="158">
        <v>1950</v>
      </c>
      <c r="AG263" s="41">
        <v>20</v>
      </c>
      <c r="AH263" s="41" t="s">
        <v>376</v>
      </c>
      <c r="AI263" s="362">
        <f t="shared" si="165"/>
        <v>100</v>
      </c>
      <c r="AJ263" s="41">
        <f t="shared" si="166"/>
        <v>100</v>
      </c>
      <c r="AK263" s="231">
        <v>0.79500000000000004</v>
      </c>
      <c r="AL263" s="433">
        <f t="shared" si="167"/>
        <v>7.95</v>
      </c>
      <c r="AM263" s="41">
        <v>0.13</v>
      </c>
      <c r="AN263" s="158">
        <f t="shared" si="168"/>
        <v>10</v>
      </c>
      <c r="AO263" s="384">
        <f t="shared" si="170"/>
        <v>12.145924930488421</v>
      </c>
      <c r="AP263"/>
      <c r="AQ263"/>
      <c r="AR263"/>
      <c r="AS263"/>
      <c r="AT263"/>
      <c r="AU263"/>
      <c r="AV263"/>
      <c r="AW263"/>
      <c r="AX263"/>
      <c r="AY263"/>
      <c r="AZ263"/>
      <c r="BA263"/>
      <c r="BB263"/>
      <c r="BC263"/>
      <c r="BD263"/>
      <c r="BE263"/>
      <c r="BF263"/>
      <c r="BG263"/>
      <c r="BH263"/>
      <c r="BI263"/>
      <c r="BJ263"/>
      <c r="BK263"/>
    </row>
    <row r="264" spans="31:63" x14ac:dyDescent="0.3">
      <c r="AE264" s="367">
        <f t="shared" si="169"/>
        <v>1659000000</v>
      </c>
      <c r="AF264" s="158">
        <v>1975</v>
      </c>
      <c r="AG264" s="41">
        <v>20</v>
      </c>
      <c r="AH264" s="41" t="s">
        <v>376</v>
      </c>
      <c r="AI264" s="362">
        <f t="shared" si="165"/>
        <v>100</v>
      </c>
      <c r="AJ264" s="41">
        <f t="shared" si="166"/>
        <v>100</v>
      </c>
      <c r="AK264" s="231">
        <v>0.79500000000000004</v>
      </c>
      <c r="AL264" s="433">
        <f t="shared" si="167"/>
        <v>7.95</v>
      </c>
      <c r="AM264" s="41">
        <v>0.13</v>
      </c>
      <c r="AN264" s="158">
        <f t="shared" si="168"/>
        <v>10</v>
      </c>
      <c r="AO264" s="384">
        <f t="shared" si="170"/>
        <v>12.145924930488421</v>
      </c>
      <c r="AP264"/>
      <c r="AQ264"/>
      <c r="AR264"/>
      <c r="AS264"/>
      <c r="AT264"/>
      <c r="AU264"/>
      <c r="AV264"/>
      <c r="AW264"/>
      <c r="AX264"/>
      <c r="AY264"/>
      <c r="AZ264"/>
      <c r="BA264"/>
      <c r="BB264"/>
      <c r="BC264"/>
      <c r="BD264"/>
      <c r="BE264"/>
      <c r="BF264"/>
      <c r="BG264"/>
      <c r="BH264"/>
      <c r="BI264"/>
      <c r="BJ264"/>
      <c r="BK264"/>
    </row>
    <row r="265" spans="31:63" x14ac:dyDescent="0.3">
      <c r="AE265" s="367">
        <f t="shared" si="169"/>
        <v>1680000000</v>
      </c>
      <c r="AF265" s="158">
        <v>2000</v>
      </c>
      <c r="AG265" s="41">
        <v>20</v>
      </c>
      <c r="AH265" s="41" t="s">
        <v>376</v>
      </c>
      <c r="AI265" s="362">
        <f t="shared" si="165"/>
        <v>100</v>
      </c>
      <c r="AJ265" s="41">
        <f t="shared" si="166"/>
        <v>100</v>
      </c>
      <c r="AK265" s="231">
        <v>0.79500000000000004</v>
      </c>
      <c r="AL265" s="433">
        <f t="shared" si="167"/>
        <v>7.95</v>
      </c>
      <c r="AM265" s="41">
        <v>0.13</v>
      </c>
      <c r="AN265" s="158">
        <f t="shared" si="168"/>
        <v>10</v>
      </c>
      <c r="AO265" s="384">
        <f t="shared" si="170"/>
        <v>12.145924930488421</v>
      </c>
      <c r="AP265"/>
      <c r="AQ265"/>
      <c r="AR265"/>
      <c r="AS265"/>
      <c r="AT265"/>
      <c r="AU265"/>
      <c r="AV265"/>
      <c r="AW265"/>
      <c r="AX265"/>
      <c r="AY265"/>
      <c r="AZ265"/>
      <c r="BA265"/>
      <c r="BB265"/>
      <c r="BC265"/>
      <c r="BD265"/>
      <c r="BE265"/>
      <c r="BF265"/>
      <c r="BG265"/>
      <c r="BH265"/>
      <c r="BI265"/>
      <c r="BJ265"/>
      <c r="BK265"/>
    </row>
    <row r="266" spans="31:63" x14ac:dyDescent="0.3">
      <c r="AE266" s="367">
        <f t="shared" si="169"/>
        <v>1701000000</v>
      </c>
      <c r="AF266" s="158">
        <v>2025</v>
      </c>
      <c r="AG266" s="41">
        <v>20</v>
      </c>
      <c r="AH266" s="41" t="s">
        <v>376</v>
      </c>
      <c r="AI266" s="362">
        <f t="shared" si="165"/>
        <v>100</v>
      </c>
      <c r="AJ266" s="41">
        <f t="shared" si="166"/>
        <v>100</v>
      </c>
      <c r="AK266" s="231">
        <v>0.79500000000000004</v>
      </c>
      <c r="AL266" s="433">
        <f t="shared" si="167"/>
        <v>7.95</v>
      </c>
      <c r="AM266" s="41">
        <v>0.13</v>
      </c>
      <c r="AN266" s="158">
        <f t="shared" si="168"/>
        <v>10</v>
      </c>
      <c r="AO266" s="384">
        <f t="shared" si="170"/>
        <v>12.145924930488421</v>
      </c>
      <c r="AP266"/>
      <c r="AQ266"/>
      <c r="AR266"/>
      <c r="AS266"/>
      <c r="AT266"/>
      <c r="AU266"/>
      <c r="AV266"/>
      <c r="AW266"/>
      <c r="AX266"/>
      <c r="AY266"/>
      <c r="AZ266"/>
      <c r="BA266"/>
      <c r="BB266"/>
      <c r="BC266"/>
      <c r="BD266"/>
      <c r="BE266"/>
      <c r="BF266"/>
      <c r="BG266"/>
      <c r="BH266"/>
      <c r="BI266"/>
      <c r="BJ266"/>
      <c r="BK266"/>
    </row>
    <row r="267" spans="31:63" x14ac:dyDescent="0.3">
      <c r="AE267" s="367">
        <f t="shared" si="169"/>
        <v>1722000000</v>
      </c>
      <c r="AF267" s="158">
        <v>2050</v>
      </c>
      <c r="AG267" s="41">
        <v>20</v>
      </c>
      <c r="AH267" s="41" t="s">
        <v>376</v>
      </c>
      <c r="AI267" s="362">
        <f t="shared" si="165"/>
        <v>100</v>
      </c>
      <c r="AJ267" s="41">
        <f t="shared" si="166"/>
        <v>100</v>
      </c>
      <c r="AK267" s="231">
        <v>0.79500000000000004</v>
      </c>
      <c r="AL267" s="433">
        <f t="shared" si="167"/>
        <v>7.95</v>
      </c>
      <c r="AM267" s="41">
        <v>0.13</v>
      </c>
      <c r="AN267" s="158">
        <f t="shared" si="168"/>
        <v>10</v>
      </c>
      <c r="AO267" s="384">
        <f t="shared" si="170"/>
        <v>12.145924930488421</v>
      </c>
      <c r="AP267"/>
      <c r="AQ267"/>
      <c r="AR267"/>
      <c r="AS267"/>
      <c r="AT267"/>
      <c r="AU267"/>
      <c r="AV267"/>
      <c r="AW267"/>
      <c r="AX267"/>
      <c r="AY267"/>
      <c r="AZ267"/>
      <c r="BA267"/>
      <c r="BB267"/>
      <c r="BC267"/>
      <c r="BD267"/>
      <c r="BE267"/>
      <c r="BF267"/>
      <c r="BG267"/>
      <c r="BH267"/>
      <c r="BI267"/>
      <c r="BJ267"/>
      <c r="BK267"/>
    </row>
    <row r="268" spans="31:63" x14ac:dyDescent="0.3">
      <c r="AE268" s="367">
        <f t="shared" si="169"/>
        <v>1743000000</v>
      </c>
      <c r="AF268" s="158">
        <v>2075</v>
      </c>
      <c r="AG268" s="41">
        <v>20</v>
      </c>
      <c r="AH268" s="41" t="s">
        <v>376</v>
      </c>
      <c r="AI268" s="362">
        <f t="shared" si="165"/>
        <v>100</v>
      </c>
      <c r="AJ268" s="41">
        <f t="shared" si="166"/>
        <v>100</v>
      </c>
      <c r="AK268" s="231">
        <v>0.79500000000000004</v>
      </c>
      <c r="AL268" s="433">
        <f t="shared" si="167"/>
        <v>7.95</v>
      </c>
      <c r="AM268" s="41">
        <v>0.13</v>
      </c>
      <c r="AN268" s="158">
        <f t="shared" si="168"/>
        <v>10</v>
      </c>
      <c r="AO268" s="384">
        <f t="shared" si="170"/>
        <v>12.145924930488421</v>
      </c>
      <c r="AP268"/>
      <c r="AQ268"/>
      <c r="AR268"/>
      <c r="AS268"/>
      <c r="AT268"/>
      <c r="AU268"/>
      <c r="AV268"/>
      <c r="AW268"/>
      <c r="AX268"/>
      <c r="AY268"/>
      <c r="AZ268"/>
      <c r="BA268"/>
      <c r="BB268"/>
      <c r="BC268"/>
      <c r="BD268"/>
      <c r="BE268"/>
      <c r="BF268"/>
      <c r="BG268"/>
      <c r="BH268"/>
      <c r="BI268"/>
      <c r="BJ268"/>
      <c r="BK268"/>
    </row>
    <row r="269" spans="31:63" x14ac:dyDescent="0.3">
      <c r="AE269" s="367">
        <f t="shared" si="169"/>
        <v>1764000000</v>
      </c>
      <c r="AF269" s="158">
        <v>2100</v>
      </c>
      <c r="AG269" s="41">
        <v>20</v>
      </c>
      <c r="AH269" s="41" t="s">
        <v>376</v>
      </c>
      <c r="AI269" s="362">
        <f t="shared" si="165"/>
        <v>100</v>
      </c>
      <c r="AJ269" s="41">
        <f t="shared" si="166"/>
        <v>100</v>
      </c>
      <c r="AK269" s="231">
        <v>0.79500000000000004</v>
      </c>
      <c r="AL269" s="433">
        <f t="shared" si="167"/>
        <v>7.95</v>
      </c>
      <c r="AM269" s="41">
        <v>0.13</v>
      </c>
      <c r="AN269" s="158">
        <f t="shared" si="168"/>
        <v>10</v>
      </c>
      <c r="AO269" s="384">
        <f t="shared" si="170"/>
        <v>12.145924930488421</v>
      </c>
      <c r="AP269"/>
      <c r="AQ269"/>
      <c r="AR269"/>
      <c r="AS269"/>
      <c r="AT269"/>
      <c r="AU269"/>
      <c r="AV269"/>
      <c r="AW269"/>
      <c r="AX269"/>
      <c r="AY269"/>
      <c r="AZ269"/>
      <c r="BA269"/>
      <c r="BB269"/>
      <c r="BC269"/>
      <c r="BD269"/>
      <c r="BE269"/>
      <c r="BF269"/>
      <c r="BG269"/>
      <c r="BH269"/>
      <c r="BI269"/>
      <c r="BJ269"/>
      <c r="BK269"/>
    </row>
    <row r="270" spans="31:63" x14ac:dyDescent="0.3">
      <c r="AE270" s="367">
        <f t="shared" si="169"/>
        <v>1785000000</v>
      </c>
      <c r="AF270" s="158">
        <v>2125</v>
      </c>
      <c r="AG270" s="41">
        <v>20</v>
      </c>
      <c r="AH270" s="41" t="s">
        <v>376</v>
      </c>
      <c r="AI270" s="362">
        <f t="shared" ref="AI270:AI307" si="171">(AF270-AF269)*4</f>
        <v>100</v>
      </c>
      <c r="AJ270" s="41">
        <f t="shared" ref="AJ270:AJ307" si="172">AI270</f>
        <v>100</v>
      </c>
      <c r="AK270" s="231">
        <v>0.79500000000000004</v>
      </c>
      <c r="AL270" s="433">
        <f t="shared" ref="AL270:AL333" si="173">AK270*10</f>
        <v>7.95</v>
      </c>
      <c r="AM270" s="41">
        <v>0.13</v>
      </c>
      <c r="AN270" s="158">
        <f t="shared" si="168"/>
        <v>10</v>
      </c>
      <c r="AO270" s="384">
        <f t="shared" si="170"/>
        <v>12.145924930488421</v>
      </c>
      <c r="AP270"/>
      <c r="AQ270"/>
      <c r="AR270"/>
      <c r="AS270"/>
      <c r="AT270"/>
      <c r="AU270"/>
      <c r="AV270"/>
      <c r="AW270"/>
      <c r="AX270"/>
      <c r="AY270"/>
      <c r="AZ270"/>
      <c r="BA270"/>
      <c r="BB270"/>
      <c r="BC270"/>
      <c r="BD270"/>
      <c r="BE270"/>
      <c r="BF270"/>
      <c r="BG270"/>
      <c r="BH270"/>
      <c r="BI270"/>
      <c r="BJ270"/>
      <c r="BK270"/>
    </row>
    <row r="271" spans="31:63" x14ac:dyDescent="0.3">
      <c r="AE271" s="367">
        <f t="shared" si="169"/>
        <v>1806000000</v>
      </c>
      <c r="AF271" s="158">
        <v>2150</v>
      </c>
      <c r="AG271" s="41">
        <v>20</v>
      </c>
      <c r="AH271" s="41" t="s">
        <v>376</v>
      </c>
      <c r="AI271" s="362">
        <f t="shared" si="171"/>
        <v>100</v>
      </c>
      <c r="AJ271" s="41">
        <f t="shared" si="172"/>
        <v>100</v>
      </c>
      <c r="AK271" s="231">
        <v>0.79500000000000004</v>
      </c>
      <c r="AL271" s="433">
        <f t="shared" si="173"/>
        <v>7.95</v>
      </c>
      <c r="AM271" s="41">
        <v>0.13</v>
      </c>
      <c r="AN271" s="158">
        <f t="shared" si="168"/>
        <v>10</v>
      </c>
      <c r="AO271" s="384">
        <f t="shared" si="170"/>
        <v>12.145924930488421</v>
      </c>
      <c r="AP271"/>
      <c r="AQ271"/>
      <c r="AR271"/>
      <c r="AS271"/>
      <c r="AT271"/>
      <c r="AU271"/>
      <c r="AV271"/>
      <c r="AW271"/>
      <c r="AX271"/>
      <c r="AY271"/>
      <c r="AZ271"/>
      <c r="BA271"/>
      <c r="BB271"/>
      <c r="BC271"/>
      <c r="BD271"/>
      <c r="BE271"/>
      <c r="BF271"/>
      <c r="BG271"/>
      <c r="BH271"/>
      <c r="BI271"/>
      <c r="BJ271"/>
      <c r="BK271"/>
    </row>
    <row r="272" spans="31:63" x14ac:dyDescent="0.3">
      <c r="AE272" s="367">
        <f t="shared" si="169"/>
        <v>1827000000</v>
      </c>
      <c r="AF272" s="158">
        <v>2175</v>
      </c>
      <c r="AG272" s="41">
        <v>20</v>
      </c>
      <c r="AH272" s="41" t="s">
        <v>376</v>
      </c>
      <c r="AI272" s="362">
        <f t="shared" si="171"/>
        <v>100</v>
      </c>
      <c r="AJ272" s="41">
        <f t="shared" si="172"/>
        <v>100</v>
      </c>
      <c r="AK272" s="231">
        <v>0.79500000000000004</v>
      </c>
      <c r="AL272" s="433">
        <f t="shared" si="173"/>
        <v>7.95</v>
      </c>
      <c r="AM272" s="41">
        <v>0.13</v>
      </c>
      <c r="AN272" s="158">
        <f t="shared" si="168"/>
        <v>10</v>
      </c>
      <c r="AO272" s="384">
        <f t="shared" si="170"/>
        <v>12.145924930488421</v>
      </c>
      <c r="AP272"/>
      <c r="AQ272"/>
      <c r="AR272"/>
      <c r="AS272"/>
      <c r="AT272"/>
      <c r="AU272"/>
      <c r="AV272"/>
      <c r="AW272"/>
      <c r="AX272"/>
      <c r="AY272"/>
      <c r="AZ272"/>
      <c r="BA272"/>
      <c r="BB272"/>
      <c r="BC272"/>
      <c r="BD272"/>
      <c r="BE272"/>
      <c r="BF272"/>
      <c r="BG272"/>
      <c r="BH272"/>
      <c r="BI272"/>
      <c r="BJ272"/>
      <c r="BK272"/>
    </row>
    <row r="273" spans="31:63" x14ac:dyDescent="0.3">
      <c r="AE273" s="367">
        <f t="shared" si="169"/>
        <v>1848000000</v>
      </c>
      <c r="AF273" s="158">
        <v>2200</v>
      </c>
      <c r="AG273" s="41">
        <v>20</v>
      </c>
      <c r="AH273" s="41" t="s">
        <v>376</v>
      </c>
      <c r="AI273" s="362">
        <f t="shared" si="171"/>
        <v>100</v>
      </c>
      <c r="AJ273" s="41">
        <f t="shared" si="172"/>
        <v>100</v>
      </c>
      <c r="AK273" s="231">
        <v>0.79500000000000004</v>
      </c>
      <c r="AL273" s="433">
        <f t="shared" si="173"/>
        <v>7.95</v>
      </c>
      <c r="AM273" s="41">
        <v>0.13</v>
      </c>
      <c r="AN273" s="158">
        <f t="shared" si="168"/>
        <v>10</v>
      </c>
      <c r="AO273" s="384">
        <f t="shared" si="170"/>
        <v>12.145924930488421</v>
      </c>
      <c r="AP273"/>
      <c r="AQ273"/>
      <c r="AR273"/>
      <c r="AS273"/>
      <c r="AT273"/>
      <c r="AU273"/>
      <c r="AV273"/>
      <c r="AW273"/>
      <c r="AX273"/>
      <c r="AY273"/>
      <c r="AZ273"/>
      <c r="BA273"/>
      <c r="BB273"/>
      <c r="BC273"/>
      <c r="BD273"/>
      <c r="BE273"/>
      <c r="BF273"/>
      <c r="BG273"/>
      <c r="BH273"/>
      <c r="BI273"/>
      <c r="BJ273"/>
      <c r="BK273"/>
    </row>
    <row r="274" spans="31:63" x14ac:dyDescent="0.3">
      <c r="AE274" s="367">
        <f t="shared" si="169"/>
        <v>1869000000</v>
      </c>
      <c r="AF274" s="158">
        <v>2225</v>
      </c>
      <c r="AG274" s="41">
        <v>20</v>
      </c>
      <c r="AH274" s="41" t="s">
        <v>376</v>
      </c>
      <c r="AI274" s="362">
        <f t="shared" si="171"/>
        <v>100</v>
      </c>
      <c r="AJ274" s="41">
        <f t="shared" si="172"/>
        <v>100</v>
      </c>
      <c r="AK274" s="231">
        <v>0.79500000000000004</v>
      </c>
      <c r="AL274" s="433">
        <f t="shared" si="173"/>
        <v>7.95</v>
      </c>
      <c r="AM274" s="41">
        <v>0.13</v>
      </c>
      <c r="AN274" s="158">
        <f t="shared" si="168"/>
        <v>10</v>
      </c>
      <c r="AO274" s="384">
        <f t="shared" si="170"/>
        <v>12.145924930488421</v>
      </c>
      <c r="AP274"/>
      <c r="AQ274"/>
      <c r="AR274"/>
      <c r="AS274"/>
      <c r="AT274"/>
      <c r="AU274"/>
      <c r="AV274"/>
      <c r="AW274"/>
      <c r="AX274"/>
      <c r="AY274"/>
      <c r="AZ274"/>
      <c r="BA274"/>
      <c r="BB274"/>
      <c r="BC274"/>
      <c r="BD274"/>
      <c r="BE274"/>
      <c r="BF274"/>
      <c r="BG274"/>
      <c r="BH274"/>
      <c r="BI274"/>
      <c r="BJ274"/>
      <c r="BK274"/>
    </row>
    <row r="275" spans="31:63" x14ac:dyDescent="0.3">
      <c r="AE275" s="367">
        <f t="shared" si="169"/>
        <v>1890000000</v>
      </c>
      <c r="AF275" s="158">
        <v>2250</v>
      </c>
      <c r="AG275" s="41">
        <v>20</v>
      </c>
      <c r="AH275" s="41" t="s">
        <v>376</v>
      </c>
      <c r="AI275" s="362">
        <f t="shared" si="171"/>
        <v>100</v>
      </c>
      <c r="AJ275" s="41">
        <f t="shared" si="172"/>
        <v>100</v>
      </c>
      <c r="AK275" s="231">
        <v>0.79500000000000004</v>
      </c>
      <c r="AL275" s="433">
        <f t="shared" si="173"/>
        <v>7.95</v>
      </c>
      <c r="AM275" s="41">
        <v>0.13</v>
      </c>
      <c r="AN275" s="158">
        <f t="shared" si="168"/>
        <v>10</v>
      </c>
      <c r="AO275" s="384">
        <f t="shared" si="170"/>
        <v>12.145924930488421</v>
      </c>
      <c r="AP275"/>
      <c r="AQ275"/>
      <c r="AR275"/>
      <c r="AS275"/>
      <c r="AT275"/>
      <c r="AU275"/>
      <c r="AV275"/>
      <c r="AW275"/>
      <c r="AX275"/>
      <c r="AY275"/>
      <c r="AZ275"/>
      <c r="BA275"/>
      <c r="BB275"/>
      <c r="BC275"/>
      <c r="BD275"/>
      <c r="BE275"/>
      <c r="BF275"/>
      <c r="BG275"/>
      <c r="BH275"/>
      <c r="BI275"/>
      <c r="BJ275"/>
      <c r="BK275"/>
    </row>
    <row r="276" spans="31:63" x14ac:dyDescent="0.3">
      <c r="AE276" s="367">
        <f t="shared" si="169"/>
        <v>1911000000</v>
      </c>
      <c r="AF276" s="158">
        <v>2275</v>
      </c>
      <c r="AG276" s="41">
        <v>20</v>
      </c>
      <c r="AH276" s="41" t="s">
        <v>376</v>
      </c>
      <c r="AI276" s="362">
        <f t="shared" si="171"/>
        <v>100</v>
      </c>
      <c r="AJ276" s="41">
        <f t="shared" si="172"/>
        <v>100</v>
      </c>
      <c r="AK276" s="231">
        <v>0.79500000000000004</v>
      </c>
      <c r="AL276" s="433">
        <f t="shared" si="173"/>
        <v>7.95</v>
      </c>
      <c r="AM276" s="41">
        <v>0.13</v>
      </c>
      <c r="AN276" s="158">
        <f t="shared" si="168"/>
        <v>10</v>
      </c>
      <c r="AO276" s="384">
        <f t="shared" si="170"/>
        <v>12.145924930488421</v>
      </c>
      <c r="AP276"/>
      <c r="AQ276"/>
      <c r="AR276"/>
      <c r="AS276"/>
      <c r="AT276"/>
      <c r="AU276"/>
      <c r="AV276"/>
      <c r="AW276"/>
      <c r="AX276"/>
      <c r="AY276"/>
      <c r="AZ276"/>
      <c r="BA276"/>
      <c r="BB276"/>
      <c r="BC276"/>
      <c r="BD276"/>
      <c r="BE276"/>
      <c r="BF276"/>
      <c r="BG276"/>
      <c r="BH276"/>
      <c r="BI276"/>
      <c r="BJ276"/>
      <c r="BK276"/>
    </row>
    <row r="277" spans="31:63" x14ac:dyDescent="0.3">
      <c r="AE277" s="367">
        <f t="shared" si="169"/>
        <v>1932000000</v>
      </c>
      <c r="AF277" s="158">
        <v>2300</v>
      </c>
      <c r="AG277" s="41">
        <v>20</v>
      </c>
      <c r="AH277" s="41" t="s">
        <v>376</v>
      </c>
      <c r="AI277" s="362">
        <f t="shared" si="171"/>
        <v>100</v>
      </c>
      <c r="AJ277" s="41">
        <f t="shared" si="172"/>
        <v>100</v>
      </c>
      <c r="AK277" s="231">
        <v>0.79500000000000004</v>
      </c>
      <c r="AL277" s="433">
        <f t="shared" si="173"/>
        <v>7.95</v>
      </c>
      <c r="AM277" s="41">
        <v>0.13</v>
      </c>
      <c r="AN277" s="158">
        <f t="shared" si="168"/>
        <v>10</v>
      </c>
      <c r="AO277" s="384">
        <f t="shared" si="170"/>
        <v>12.145924930488421</v>
      </c>
      <c r="AP277"/>
      <c r="AQ277"/>
      <c r="AR277"/>
      <c r="AS277"/>
      <c r="AT277"/>
      <c r="AU277"/>
      <c r="AV277"/>
      <c r="AW277"/>
      <c r="AX277"/>
      <c r="AY277"/>
      <c r="AZ277"/>
      <c r="BA277"/>
      <c r="BB277"/>
      <c r="BC277"/>
      <c r="BD277"/>
      <c r="BE277"/>
      <c r="BF277"/>
      <c r="BG277"/>
      <c r="BH277"/>
      <c r="BI277"/>
      <c r="BJ277"/>
      <c r="BK277"/>
    </row>
    <row r="278" spans="31:63" x14ac:dyDescent="0.3">
      <c r="AE278" s="367">
        <f t="shared" si="169"/>
        <v>1953000000</v>
      </c>
      <c r="AF278" s="158">
        <v>2325</v>
      </c>
      <c r="AG278" s="41">
        <v>20</v>
      </c>
      <c r="AH278" s="41" t="s">
        <v>376</v>
      </c>
      <c r="AI278" s="362">
        <f t="shared" si="171"/>
        <v>100</v>
      </c>
      <c r="AJ278" s="41">
        <f t="shared" si="172"/>
        <v>100</v>
      </c>
      <c r="AK278" s="231">
        <v>0.79500000000000004</v>
      </c>
      <c r="AL278" s="433">
        <f t="shared" si="173"/>
        <v>7.95</v>
      </c>
      <c r="AM278" s="41">
        <v>0.13</v>
      </c>
      <c r="AN278" s="158">
        <f t="shared" si="168"/>
        <v>10</v>
      </c>
      <c r="AO278" s="384">
        <f t="shared" si="170"/>
        <v>12.145924930488421</v>
      </c>
      <c r="AP278"/>
      <c r="AQ278"/>
      <c r="AR278"/>
      <c r="AS278"/>
      <c r="AT278"/>
      <c r="AU278"/>
      <c r="AV278"/>
      <c r="AW278"/>
      <c r="AX278"/>
      <c r="AY278"/>
      <c r="AZ278"/>
      <c r="BA278"/>
      <c r="BB278"/>
      <c r="BC278"/>
      <c r="BD278"/>
      <c r="BE278"/>
      <c r="BF278"/>
      <c r="BG278"/>
      <c r="BH278"/>
      <c r="BI278"/>
      <c r="BJ278"/>
      <c r="BK278"/>
    </row>
    <row r="279" spans="31:63" x14ac:dyDescent="0.3">
      <c r="AE279" s="367">
        <f t="shared" si="169"/>
        <v>1974000000</v>
      </c>
      <c r="AF279" s="158">
        <v>2350</v>
      </c>
      <c r="AG279" s="41">
        <v>20</v>
      </c>
      <c r="AH279" s="41" t="s">
        <v>376</v>
      </c>
      <c r="AI279" s="362">
        <f t="shared" si="171"/>
        <v>100</v>
      </c>
      <c r="AJ279" s="41">
        <f t="shared" si="172"/>
        <v>100</v>
      </c>
      <c r="AK279" s="231">
        <v>0.79500000000000004</v>
      </c>
      <c r="AL279" s="433">
        <f t="shared" si="173"/>
        <v>7.95</v>
      </c>
      <c r="AM279" s="41">
        <v>0.13</v>
      </c>
      <c r="AN279" s="158">
        <f t="shared" si="168"/>
        <v>10</v>
      </c>
      <c r="AO279" s="384">
        <f t="shared" si="170"/>
        <v>12.145924930488421</v>
      </c>
    </row>
    <row r="280" spans="31:63" x14ac:dyDescent="0.3">
      <c r="AE280" s="367">
        <f t="shared" si="169"/>
        <v>1995000000</v>
      </c>
      <c r="AF280" s="158">
        <v>2375</v>
      </c>
      <c r="AG280" s="41">
        <v>20</v>
      </c>
      <c r="AH280" s="41" t="s">
        <v>376</v>
      </c>
      <c r="AI280" s="362">
        <f t="shared" si="171"/>
        <v>100</v>
      </c>
      <c r="AJ280" s="41">
        <f t="shared" si="172"/>
        <v>100</v>
      </c>
      <c r="AK280" s="231">
        <v>0.79500000000000004</v>
      </c>
      <c r="AL280" s="433">
        <f t="shared" si="173"/>
        <v>7.95</v>
      </c>
      <c r="AM280" s="41">
        <v>0.13</v>
      </c>
      <c r="AN280" s="158">
        <f t="shared" si="168"/>
        <v>10</v>
      </c>
      <c r="AO280" s="384">
        <f t="shared" si="170"/>
        <v>12.145924930488421</v>
      </c>
    </row>
    <row r="281" spans="31:63" x14ac:dyDescent="0.3">
      <c r="AE281" s="367">
        <f t="shared" si="169"/>
        <v>2016000000</v>
      </c>
      <c r="AF281" s="158">
        <v>2400</v>
      </c>
      <c r="AG281" s="41">
        <v>20</v>
      </c>
      <c r="AH281" s="41" t="s">
        <v>376</v>
      </c>
      <c r="AI281" s="362">
        <f t="shared" si="171"/>
        <v>100</v>
      </c>
      <c r="AJ281" s="41">
        <f t="shared" si="172"/>
        <v>100</v>
      </c>
      <c r="AK281" s="231">
        <v>0.79500000000000004</v>
      </c>
      <c r="AL281" s="433">
        <f t="shared" si="173"/>
        <v>7.95</v>
      </c>
      <c r="AM281" s="41">
        <v>0.13</v>
      </c>
      <c r="AN281" s="158">
        <f t="shared" si="168"/>
        <v>10</v>
      </c>
      <c r="AO281" s="384">
        <f t="shared" si="170"/>
        <v>12.145924930488421</v>
      </c>
    </row>
    <row r="282" spans="31:63" x14ac:dyDescent="0.3">
      <c r="AE282" s="367">
        <f t="shared" si="169"/>
        <v>2037000000</v>
      </c>
      <c r="AF282" s="158">
        <v>2425</v>
      </c>
      <c r="AG282" s="41">
        <v>20</v>
      </c>
      <c r="AH282" s="41" t="s">
        <v>376</v>
      </c>
      <c r="AI282" s="362">
        <f t="shared" si="171"/>
        <v>100</v>
      </c>
      <c r="AJ282" s="41">
        <f t="shared" si="172"/>
        <v>100</v>
      </c>
      <c r="AK282" s="231">
        <v>0.79500000000000004</v>
      </c>
      <c r="AL282" s="433">
        <f t="shared" si="173"/>
        <v>7.95</v>
      </c>
      <c r="AM282" s="41">
        <v>0.13</v>
      </c>
      <c r="AN282" s="158">
        <f t="shared" si="168"/>
        <v>10</v>
      </c>
      <c r="AO282" s="384">
        <f t="shared" si="170"/>
        <v>12.145924930488421</v>
      </c>
    </row>
    <row r="283" spans="31:63" x14ac:dyDescent="0.3">
      <c r="AE283" s="367">
        <f t="shared" si="169"/>
        <v>2058000000</v>
      </c>
      <c r="AF283" s="158">
        <v>2450</v>
      </c>
      <c r="AG283" s="41">
        <v>20</v>
      </c>
      <c r="AH283" s="41" t="s">
        <v>376</v>
      </c>
      <c r="AI283" s="362">
        <f t="shared" si="171"/>
        <v>100</v>
      </c>
      <c r="AJ283" s="41">
        <f t="shared" si="172"/>
        <v>100</v>
      </c>
      <c r="AK283" s="231">
        <v>0.79500000000000004</v>
      </c>
      <c r="AL283" s="433">
        <f t="shared" si="173"/>
        <v>7.95</v>
      </c>
      <c r="AM283" s="41">
        <v>0.13</v>
      </c>
      <c r="AN283" s="158">
        <f t="shared" si="168"/>
        <v>10</v>
      </c>
      <c r="AO283" s="384">
        <f t="shared" si="170"/>
        <v>12.145924930488421</v>
      </c>
    </row>
    <row r="284" spans="31:63" x14ac:dyDescent="0.3">
      <c r="AE284" s="367">
        <f t="shared" si="169"/>
        <v>2079000000</v>
      </c>
      <c r="AF284" s="158">
        <v>2475</v>
      </c>
      <c r="AG284" s="41">
        <v>20</v>
      </c>
      <c r="AH284" s="41" t="s">
        <v>376</v>
      </c>
      <c r="AI284" s="362">
        <f t="shared" si="171"/>
        <v>100</v>
      </c>
      <c r="AJ284" s="41">
        <f t="shared" si="172"/>
        <v>100</v>
      </c>
      <c r="AK284" s="231">
        <v>0.79500000000000004</v>
      </c>
      <c r="AL284" s="433">
        <f t="shared" si="173"/>
        <v>7.95</v>
      </c>
      <c r="AM284" s="41">
        <v>0.13</v>
      </c>
      <c r="AN284" s="158">
        <f t="shared" si="168"/>
        <v>10</v>
      </c>
      <c r="AO284" s="384">
        <f t="shared" si="170"/>
        <v>12.145924930488421</v>
      </c>
    </row>
    <row r="285" spans="31:63" x14ac:dyDescent="0.3">
      <c r="AE285" s="367">
        <f t="shared" si="169"/>
        <v>2100000000</v>
      </c>
      <c r="AF285" s="158">
        <v>2500</v>
      </c>
      <c r="AG285" s="41">
        <v>20</v>
      </c>
      <c r="AH285" s="41" t="s">
        <v>376</v>
      </c>
      <c r="AI285" s="362">
        <f t="shared" si="171"/>
        <v>100</v>
      </c>
      <c r="AJ285" s="41">
        <f t="shared" si="172"/>
        <v>100</v>
      </c>
      <c r="AK285" s="231">
        <v>0.79500000000000004</v>
      </c>
      <c r="AL285" s="433">
        <f t="shared" si="173"/>
        <v>7.95</v>
      </c>
      <c r="AM285" s="41">
        <v>0.13</v>
      </c>
      <c r="AN285" s="158">
        <f t="shared" si="168"/>
        <v>10</v>
      </c>
      <c r="AO285" s="384">
        <f t="shared" si="170"/>
        <v>12.145924930488421</v>
      </c>
    </row>
    <row r="286" spans="31:63" x14ac:dyDescent="0.3">
      <c r="AE286" s="367">
        <f t="shared" si="169"/>
        <v>2121000000</v>
      </c>
      <c r="AF286" s="158">
        <v>2525</v>
      </c>
      <c r="AG286" s="41">
        <v>20</v>
      </c>
      <c r="AH286" s="41" t="s">
        <v>376</v>
      </c>
      <c r="AI286" s="362">
        <f t="shared" si="171"/>
        <v>100</v>
      </c>
      <c r="AJ286" s="41">
        <f t="shared" si="172"/>
        <v>100</v>
      </c>
      <c r="AK286" s="231">
        <v>0.79500000000000004</v>
      </c>
      <c r="AL286" s="433">
        <f t="shared" si="173"/>
        <v>7.95</v>
      </c>
      <c r="AM286" s="41">
        <v>0.13</v>
      </c>
      <c r="AN286" s="158">
        <f t="shared" si="168"/>
        <v>10</v>
      </c>
      <c r="AO286" s="384">
        <f t="shared" si="170"/>
        <v>12.145924930488421</v>
      </c>
    </row>
    <row r="287" spans="31:63" x14ac:dyDescent="0.3">
      <c r="AE287" s="367">
        <f t="shared" si="169"/>
        <v>2142000000</v>
      </c>
      <c r="AF287" s="158">
        <v>2550</v>
      </c>
      <c r="AG287" s="41">
        <v>20</v>
      </c>
      <c r="AH287" s="41" t="s">
        <v>376</v>
      </c>
      <c r="AI287" s="362">
        <f t="shared" si="171"/>
        <v>100</v>
      </c>
      <c r="AJ287" s="41">
        <f t="shared" si="172"/>
        <v>100</v>
      </c>
      <c r="AK287" s="231">
        <v>0.79500000000000004</v>
      </c>
      <c r="AL287" s="433">
        <f t="shared" si="173"/>
        <v>7.95</v>
      </c>
      <c r="AM287" s="41">
        <v>0.13</v>
      </c>
      <c r="AN287" s="158">
        <f t="shared" si="168"/>
        <v>10</v>
      </c>
      <c r="AO287" s="384">
        <f t="shared" si="170"/>
        <v>12.145924930488421</v>
      </c>
    </row>
    <row r="288" spans="31:63" x14ac:dyDescent="0.3">
      <c r="AE288" s="367">
        <f t="shared" si="169"/>
        <v>2163000000</v>
      </c>
      <c r="AF288" s="158">
        <v>2575</v>
      </c>
      <c r="AG288" s="41">
        <v>20</v>
      </c>
      <c r="AH288" s="41" t="s">
        <v>376</v>
      </c>
      <c r="AI288" s="362">
        <f t="shared" si="171"/>
        <v>100</v>
      </c>
      <c r="AJ288" s="41">
        <f t="shared" si="172"/>
        <v>100</v>
      </c>
      <c r="AK288" s="231">
        <v>0.79500000000000004</v>
      </c>
      <c r="AL288" s="433">
        <f t="shared" si="173"/>
        <v>7.95</v>
      </c>
      <c r="AM288" s="41">
        <v>0.13</v>
      </c>
      <c r="AN288" s="158">
        <f t="shared" si="168"/>
        <v>10</v>
      </c>
      <c r="AO288" s="384">
        <f t="shared" si="170"/>
        <v>12.145924930488421</v>
      </c>
    </row>
    <row r="289" spans="31:41" x14ac:dyDescent="0.3">
      <c r="AE289" s="367">
        <f t="shared" si="169"/>
        <v>2184000000</v>
      </c>
      <c r="AF289" s="158">
        <v>2600</v>
      </c>
      <c r="AG289" s="41">
        <v>20</v>
      </c>
      <c r="AH289" s="41" t="s">
        <v>376</v>
      </c>
      <c r="AI289" s="362">
        <f t="shared" si="171"/>
        <v>100</v>
      </c>
      <c r="AJ289" s="41">
        <f t="shared" si="172"/>
        <v>100</v>
      </c>
      <c r="AK289" s="231">
        <v>0.79500000000000004</v>
      </c>
      <c r="AL289" s="433">
        <f t="shared" si="173"/>
        <v>7.95</v>
      </c>
      <c r="AM289" s="41">
        <v>0.13</v>
      </c>
      <c r="AN289" s="158">
        <f t="shared" si="168"/>
        <v>10</v>
      </c>
      <c r="AO289" s="384">
        <f t="shared" si="170"/>
        <v>12.145924930488421</v>
      </c>
    </row>
    <row r="290" spans="31:41" x14ac:dyDescent="0.3">
      <c r="AE290" s="367">
        <f t="shared" si="169"/>
        <v>2205000000</v>
      </c>
      <c r="AF290" s="158">
        <v>2625</v>
      </c>
      <c r="AG290" s="41">
        <v>20</v>
      </c>
      <c r="AH290" s="41" t="s">
        <v>376</v>
      </c>
      <c r="AI290" s="362">
        <f t="shared" si="171"/>
        <v>100</v>
      </c>
      <c r="AJ290" s="41">
        <f t="shared" si="172"/>
        <v>100</v>
      </c>
      <c r="AK290" s="231">
        <v>0.79500000000000004</v>
      </c>
      <c r="AL290" s="433">
        <f t="shared" si="173"/>
        <v>7.95</v>
      </c>
      <c r="AM290" s="41">
        <v>0.13</v>
      </c>
      <c r="AN290" s="158">
        <f t="shared" si="168"/>
        <v>10</v>
      </c>
      <c r="AO290" s="384">
        <f t="shared" si="170"/>
        <v>12.145924930488421</v>
      </c>
    </row>
    <row r="291" spans="31:41" x14ac:dyDescent="0.3">
      <c r="AE291" s="367">
        <f t="shared" si="169"/>
        <v>2226000000</v>
      </c>
      <c r="AF291" s="158">
        <v>2650</v>
      </c>
      <c r="AG291" s="41">
        <v>20</v>
      </c>
      <c r="AH291" s="41" t="s">
        <v>376</v>
      </c>
      <c r="AI291" s="362">
        <f t="shared" si="171"/>
        <v>100</v>
      </c>
      <c r="AJ291" s="41">
        <f t="shared" si="172"/>
        <v>100</v>
      </c>
      <c r="AK291" s="231">
        <v>0.79500000000000004</v>
      </c>
      <c r="AL291" s="433">
        <f t="shared" si="173"/>
        <v>7.95</v>
      </c>
      <c r="AM291" s="41">
        <v>0.13</v>
      </c>
      <c r="AN291" s="158">
        <f t="shared" si="168"/>
        <v>10</v>
      </c>
      <c r="AO291" s="384">
        <f t="shared" si="170"/>
        <v>12.145924930488421</v>
      </c>
    </row>
    <row r="292" spans="31:41" x14ac:dyDescent="0.3">
      <c r="AE292" s="367">
        <f t="shared" si="169"/>
        <v>2247000000</v>
      </c>
      <c r="AF292" s="158">
        <v>2675</v>
      </c>
      <c r="AG292" s="41">
        <v>20</v>
      </c>
      <c r="AH292" s="41" t="s">
        <v>376</v>
      </c>
      <c r="AI292" s="362">
        <f t="shared" si="171"/>
        <v>100</v>
      </c>
      <c r="AJ292" s="41">
        <f t="shared" si="172"/>
        <v>100</v>
      </c>
      <c r="AK292" s="231">
        <v>0.79500000000000004</v>
      </c>
      <c r="AL292" s="433">
        <f t="shared" si="173"/>
        <v>7.95</v>
      </c>
      <c r="AM292" s="41">
        <v>0.13</v>
      </c>
      <c r="AN292" s="158">
        <f t="shared" si="168"/>
        <v>10</v>
      </c>
      <c r="AO292" s="384">
        <f t="shared" si="170"/>
        <v>12.145924930488421</v>
      </c>
    </row>
    <row r="293" spans="31:41" x14ac:dyDescent="0.3">
      <c r="AE293" s="367">
        <f t="shared" si="169"/>
        <v>2268000000</v>
      </c>
      <c r="AF293" s="158">
        <v>2700</v>
      </c>
      <c r="AG293" s="41">
        <v>20</v>
      </c>
      <c r="AH293" s="41" t="s">
        <v>376</v>
      </c>
      <c r="AI293" s="362">
        <f t="shared" si="171"/>
        <v>100</v>
      </c>
      <c r="AJ293" s="41">
        <f t="shared" si="172"/>
        <v>100</v>
      </c>
      <c r="AK293" s="231">
        <v>0.79500000000000004</v>
      </c>
      <c r="AL293" s="433">
        <f t="shared" si="173"/>
        <v>7.95</v>
      </c>
      <c r="AM293" s="41">
        <v>0.13</v>
      </c>
      <c r="AN293" s="158">
        <f t="shared" si="168"/>
        <v>10</v>
      </c>
      <c r="AO293" s="384">
        <f t="shared" si="170"/>
        <v>12.145924930488421</v>
      </c>
    </row>
    <row r="294" spans="31:41" x14ac:dyDescent="0.3">
      <c r="AE294" s="367">
        <f t="shared" si="169"/>
        <v>2289000000</v>
      </c>
      <c r="AF294" s="158">
        <v>2725</v>
      </c>
      <c r="AG294" s="41">
        <v>20</v>
      </c>
      <c r="AH294" s="41" t="s">
        <v>376</v>
      </c>
      <c r="AI294" s="362">
        <f t="shared" si="171"/>
        <v>100</v>
      </c>
      <c r="AJ294" s="41">
        <f t="shared" si="172"/>
        <v>100</v>
      </c>
      <c r="AK294" s="231">
        <v>0.79500000000000004</v>
      </c>
      <c r="AL294" s="433">
        <f t="shared" si="173"/>
        <v>7.95</v>
      </c>
      <c r="AM294" s="41">
        <v>0.13</v>
      </c>
      <c r="AN294" s="158">
        <f t="shared" si="168"/>
        <v>10</v>
      </c>
      <c r="AO294" s="384">
        <f t="shared" si="170"/>
        <v>12.145924930488421</v>
      </c>
    </row>
    <row r="295" spans="31:41" x14ac:dyDescent="0.3">
      <c r="AE295" s="367">
        <f t="shared" si="169"/>
        <v>2310000000</v>
      </c>
      <c r="AF295" s="158">
        <v>2750</v>
      </c>
      <c r="AG295" s="41">
        <v>20</v>
      </c>
      <c r="AH295" s="41" t="s">
        <v>376</v>
      </c>
      <c r="AI295" s="362">
        <f t="shared" si="171"/>
        <v>100</v>
      </c>
      <c r="AJ295" s="41">
        <f t="shared" si="172"/>
        <v>100</v>
      </c>
      <c r="AK295" s="231">
        <v>0.79500000000000004</v>
      </c>
      <c r="AL295" s="433">
        <f t="shared" si="173"/>
        <v>7.95</v>
      </c>
      <c r="AM295" s="41">
        <v>0.13</v>
      </c>
      <c r="AN295" s="158">
        <f t="shared" si="168"/>
        <v>10</v>
      </c>
      <c r="AO295" s="384">
        <f t="shared" si="170"/>
        <v>12.145924930488421</v>
      </c>
    </row>
    <row r="296" spans="31:41" x14ac:dyDescent="0.3">
      <c r="AE296" s="367">
        <f t="shared" si="169"/>
        <v>2331000000</v>
      </c>
      <c r="AF296" s="158">
        <v>2775</v>
      </c>
      <c r="AG296" s="41">
        <v>20</v>
      </c>
      <c r="AH296" s="41" t="s">
        <v>376</v>
      </c>
      <c r="AI296" s="362">
        <f t="shared" si="171"/>
        <v>100</v>
      </c>
      <c r="AJ296" s="41">
        <f t="shared" si="172"/>
        <v>100</v>
      </c>
      <c r="AK296" s="231">
        <v>0.79500000000000004</v>
      </c>
      <c r="AL296" s="433">
        <f t="shared" si="173"/>
        <v>7.95</v>
      </c>
      <c r="AM296" s="41">
        <v>0.13</v>
      </c>
      <c r="AN296" s="158">
        <f t="shared" si="168"/>
        <v>10</v>
      </c>
      <c r="AO296" s="384">
        <f t="shared" si="170"/>
        <v>12.145924930488421</v>
      </c>
    </row>
    <row r="297" spans="31:41" x14ac:dyDescent="0.3">
      <c r="AE297" s="367">
        <f t="shared" si="169"/>
        <v>2352000000</v>
      </c>
      <c r="AF297" s="158">
        <v>2800</v>
      </c>
      <c r="AG297" s="41">
        <v>20</v>
      </c>
      <c r="AH297" s="41" t="s">
        <v>376</v>
      </c>
      <c r="AI297" s="362">
        <f t="shared" si="171"/>
        <v>100</v>
      </c>
      <c r="AJ297" s="41">
        <f t="shared" si="172"/>
        <v>100</v>
      </c>
      <c r="AK297" s="231">
        <v>0.79500000000000004</v>
      </c>
      <c r="AL297" s="433">
        <f t="shared" si="173"/>
        <v>7.95</v>
      </c>
      <c r="AM297" s="41">
        <v>0.13</v>
      </c>
      <c r="AN297" s="158">
        <f t="shared" si="168"/>
        <v>10</v>
      </c>
      <c r="AO297" s="384">
        <f t="shared" si="170"/>
        <v>12.145924930488421</v>
      </c>
    </row>
    <row r="298" spans="31:41" x14ac:dyDescent="0.3">
      <c r="AE298" s="367">
        <f t="shared" si="169"/>
        <v>2373000000</v>
      </c>
      <c r="AF298" s="158">
        <v>2825</v>
      </c>
      <c r="AG298" s="41">
        <v>20</v>
      </c>
      <c r="AH298" s="41" t="s">
        <v>376</v>
      </c>
      <c r="AI298" s="362">
        <f t="shared" si="171"/>
        <v>100</v>
      </c>
      <c r="AJ298" s="41">
        <f t="shared" si="172"/>
        <v>100</v>
      </c>
      <c r="AK298" s="231">
        <v>0.79500000000000004</v>
      </c>
      <c r="AL298" s="433">
        <f t="shared" si="173"/>
        <v>7.95</v>
      </c>
      <c r="AM298" s="41">
        <v>0.13</v>
      </c>
      <c r="AN298" s="158">
        <f t="shared" si="168"/>
        <v>10</v>
      </c>
      <c r="AO298" s="384">
        <f t="shared" si="170"/>
        <v>12.145924930488421</v>
      </c>
    </row>
    <row r="299" spans="31:41" x14ac:dyDescent="0.3">
      <c r="AE299" s="367">
        <f t="shared" si="169"/>
        <v>2394000000</v>
      </c>
      <c r="AF299" s="158">
        <v>2850</v>
      </c>
      <c r="AG299" s="41">
        <v>20</v>
      </c>
      <c r="AH299" s="41" t="s">
        <v>376</v>
      </c>
      <c r="AI299" s="362">
        <f t="shared" si="171"/>
        <v>100</v>
      </c>
      <c r="AJ299" s="41">
        <f t="shared" si="172"/>
        <v>100</v>
      </c>
      <c r="AK299" s="231">
        <v>0.79500000000000004</v>
      </c>
      <c r="AL299" s="433">
        <f t="shared" si="173"/>
        <v>7.95</v>
      </c>
      <c r="AM299" s="41">
        <v>0.13</v>
      </c>
      <c r="AN299" s="158">
        <f t="shared" si="168"/>
        <v>10</v>
      </c>
      <c r="AO299" s="384">
        <f t="shared" si="170"/>
        <v>12.145924930488421</v>
      </c>
    </row>
    <row r="300" spans="31:41" x14ac:dyDescent="0.3">
      <c r="AE300" s="367">
        <f t="shared" si="169"/>
        <v>2415000000</v>
      </c>
      <c r="AF300" s="158">
        <v>2875</v>
      </c>
      <c r="AG300" s="41">
        <v>20</v>
      </c>
      <c r="AH300" s="41" t="s">
        <v>376</v>
      </c>
      <c r="AI300" s="362">
        <f t="shared" si="171"/>
        <v>100</v>
      </c>
      <c r="AJ300" s="41">
        <f t="shared" si="172"/>
        <v>100</v>
      </c>
      <c r="AK300" s="231">
        <v>0.79500000000000004</v>
      </c>
      <c r="AL300" s="433">
        <f t="shared" si="173"/>
        <v>7.95</v>
      </c>
      <c r="AM300" s="41">
        <v>0.13</v>
      </c>
      <c r="AN300" s="158">
        <f t="shared" si="168"/>
        <v>10</v>
      </c>
      <c r="AO300" s="384">
        <f t="shared" si="170"/>
        <v>12.145924930488421</v>
      </c>
    </row>
    <row r="301" spans="31:41" x14ac:dyDescent="0.3">
      <c r="AE301" s="367">
        <f t="shared" si="169"/>
        <v>2436000000</v>
      </c>
      <c r="AF301" s="158">
        <v>2900</v>
      </c>
      <c r="AG301" s="41">
        <v>20</v>
      </c>
      <c r="AH301" s="41" t="s">
        <v>376</v>
      </c>
      <c r="AI301" s="362">
        <f t="shared" si="171"/>
        <v>100</v>
      </c>
      <c r="AJ301" s="41">
        <f t="shared" si="172"/>
        <v>100</v>
      </c>
      <c r="AK301" s="231">
        <v>0.79500000000000004</v>
      </c>
      <c r="AL301" s="433">
        <f t="shared" si="173"/>
        <v>7.95</v>
      </c>
      <c r="AM301" s="41">
        <v>0.13</v>
      </c>
      <c r="AN301" s="158">
        <f t="shared" si="168"/>
        <v>10</v>
      </c>
      <c r="AO301" s="384">
        <f t="shared" si="170"/>
        <v>12.145924930488421</v>
      </c>
    </row>
    <row r="302" spans="31:41" x14ac:dyDescent="0.3">
      <c r="AE302" s="367">
        <f t="shared" si="169"/>
        <v>2457000000</v>
      </c>
      <c r="AF302" s="158">
        <v>2925</v>
      </c>
      <c r="AG302" s="41">
        <v>20</v>
      </c>
      <c r="AH302" s="41" t="s">
        <v>376</v>
      </c>
      <c r="AI302" s="362">
        <f t="shared" si="171"/>
        <v>100</v>
      </c>
      <c r="AJ302" s="41">
        <f t="shared" si="172"/>
        <v>100</v>
      </c>
      <c r="AK302" s="231">
        <v>0.79500000000000004</v>
      </c>
      <c r="AL302" s="433">
        <f t="shared" si="173"/>
        <v>7.95</v>
      </c>
      <c r="AM302" s="41">
        <v>0.13</v>
      </c>
      <c r="AN302" s="158">
        <f t="shared" si="168"/>
        <v>10</v>
      </c>
      <c r="AO302" s="384">
        <f t="shared" si="170"/>
        <v>12.145924930488421</v>
      </c>
    </row>
    <row r="303" spans="31:41" x14ac:dyDescent="0.3">
      <c r="AE303" s="367">
        <f t="shared" si="169"/>
        <v>2478000000</v>
      </c>
      <c r="AF303" s="158">
        <v>2950</v>
      </c>
      <c r="AG303" s="41">
        <v>20</v>
      </c>
      <c r="AH303" s="41" t="s">
        <v>376</v>
      </c>
      <c r="AI303" s="362">
        <f t="shared" si="171"/>
        <v>100</v>
      </c>
      <c r="AJ303" s="41">
        <f t="shared" si="172"/>
        <v>100</v>
      </c>
      <c r="AK303" s="231">
        <v>0.79500000000000004</v>
      </c>
      <c r="AL303" s="433">
        <f t="shared" si="173"/>
        <v>7.95</v>
      </c>
      <c r="AM303" s="41">
        <v>0.13</v>
      </c>
      <c r="AN303" s="158">
        <f t="shared" si="168"/>
        <v>10</v>
      </c>
      <c r="AO303" s="384">
        <f t="shared" si="170"/>
        <v>12.145924930488421</v>
      </c>
    </row>
    <row r="304" spans="31:41" x14ac:dyDescent="0.3">
      <c r="AE304" s="367">
        <f t="shared" si="169"/>
        <v>2499000000</v>
      </c>
      <c r="AF304" s="158">
        <v>2975</v>
      </c>
      <c r="AG304" s="41">
        <v>20</v>
      </c>
      <c r="AH304" s="41" t="s">
        <v>376</v>
      </c>
      <c r="AI304" s="362">
        <f t="shared" si="171"/>
        <v>100</v>
      </c>
      <c r="AJ304" s="41">
        <f t="shared" si="172"/>
        <v>100</v>
      </c>
      <c r="AK304" s="231">
        <v>0.79500000000000004</v>
      </c>
      <c r="AL304" s="433">
        <f t="shared" si="173"/>
        <v>7.95</v>
      </c>
      <c r="AM304" s="41">
        <v>0.13</v>
      </c>
      <c r="AN304" s="158">
        <f t="shared" si="168"/>
        <v>10</v>
      </c>
      <c r="AO304" s="384">
        <f t="shared" si="170"/>
        <v>12.145924930488421</v>
      </c>
    </row>
    <row r="305" spans="31:41" x14ac:dyDescent="0.3">
      <c r="AE305" s="367">
        <f t="shared" si="169"/>
        <v>2520000000</v>
      </c>
      <c r="AF305" s="158">
        <v>3000</v>
      </c>
      <c r="AG305" s="41">
        <v>20</v>
      </c>
      <c r="AH305" s="41" t="s">
        <v>376</v>
      </c>
      <c r="AI305" s="362">
        <f t="shared" si="171"/>
        <v>100</v>
      </c>
      <c r="AJ305" s="41">
        <f t="shared" si="172"/>
        <v>100</v>
      </c>
      <c r="AK305" s="231">
        <v>0.79500000000000004</v>
      </c>
      <c r="AL305" s="433">
        <f t="shared" si="173"/>
        <v>7.95</v>
      </c>
      <c r="AM305" s="41">
        <v>0.13</v>
      </c>
      <c r="AN305" s="158">
        <f t="shared" si="168"/>
        <v>10</v>
      </c>
      <c r="AO305" s="384">
        <f t="shared" si="170"/>
        <v>12.145924930488421</v>
      </c>
    </row>
    <row r="306" spans="31:41" x14ac:dyDescent="0.3">
      <c r="AE306" s="367">
        <f t="shared" si="169"/>
        <v>2541000000</v>
      </c>
      <c r="AF306" s="158">
        <v>3025</v>
      </c>
      <c r="AG306" s="41">
        <v>20</v>
      </c>
      <c r="AH306" s="41" t="s">
        <v>376</v>
      </c>
      <c r="AI306" s="362">
        <f t="shared" si="171"/>
        <v>100</v>
      </c>
      <c r="AJ306" s="41">
        <f t="shared" si="172"/>
        <v>100</v>
      </c>
      <c r="AK306" s="231">
        <v>0.79500000000000004</v>
      </c>
      <c r="AL306" s="433">
        <f t="shared" si="173"/>
        <v>7.95</v>
      </c>
      <c r="AM306" s="41">
        <v>0.13</v>
      </c>
      <c r="AN306" s="158">
        <f t="shared" si="168"/>
        <v>10</v>
      </c>
      <c r="AO306" s="384">
        <f t="shared" si="170"/>
        <v>12.145924930488421</v>
      </c>
    </row>
    <row r="307" spans="31:41" x14ac:dyDescent="0.3">
      <c r="AE307" s="367">
        <f t="shared" si="169"/>
        <v>2562000000</v>
      </c>
      <c r="AF307" s="158">
        <v>3050</v>
      </c>
      <c r="AG307" s="41">
        <v>20</v>
      </c>
      <c r="AH307" s="41" t="s">
        <v>376</v>
      </c>
      <c r="AI307" s="362">
        <f t="shared" si="171"/>
        <v>100</v>
      </c>
      <c r="AJ307" s="41">
        <f t="shared" si="172"/>
        <v>100</v>
      </c>
      <c r="AK307" s="231">
        <v>0.79500000000000004</v>
      </c>
      <c r="AL307" s="433">
        <f t="shared" si="173"/>
        <v>7.95</v>
      </c>
      <c r="AM307" s="41">
        <v>0.13</v>
      </c>
      <c r="AN307" s="158">
        <f t="shared" si="168"/>
        <v>10</v>
      </c>
      <c r="AO307" s="384">
        <f t="shared" si="170"/>
        <v>12.145924930488421</v>
      </c>
    </row>
    <row r="308" spans="31:41" x14ac:dyDescent="0.3">
      <c r="AE308" s="367">
        <f t="shared" si="169"/>
        <v>2583000000</v>
      </c>
      <c r="AF308" s="158">
        <v>3075</v>
      </c>
      <c r="AG308" s="41">
        <v>20</v>
      </c>
      <c r="AH308" s="41" t="s">
        <v>376</v>
      </c>
      <c r="AI308" s="362">
        <f t="shared" ref="AI308:AI354" si="174">(AF308-AF307)*4</f>
        <v>100</v>
      </c>
      <c r="AJ308" s="41">
        <f t="shared" ref="AJ308:AJ354" si="175">AI308</f>
        <v>100</v>
      </c>
      <c r="AK308" s="231">
        <v>0.79500000000000004</v>
      </c>
      <c r="AL308" s="433">
        <f t="shared" si="173"/>
        <v>7.95</v>
      </c>
      <c r="AM308" s="41">
        <v>0.13</v>
      </c>
      <c r="AN308" s="158">
        <f t="shared" si="168"/>
        <v>10</v>
      </c>
      <c r="AO308" s="384">
        <f t="shared" ref="AO308:AO354" si="176">(AF308-AF307)*$D$50</f>
        <v>12.145924930488421</v>
      </c>
    </row>
    <row r="309" spans="31:41" x14ac:dyDescent="0.3">
      <c r="AE309" s="367">
        <f t="shared" si="169"/>
        <v>2604000000</v>
      </c>
      <c r="AF309" s="158">
        <v>3100</v>
      </c>
      <c r="AG309" s="41">
        <v>20</v>
      </c>
      <c r="AH309" s="41" t="s">
        <v>376</v>
      </c>
      <c r="AI309" s="362">
        <f t="shared" si="174"/>
        <v>100</v>
      </c>
      <c r="AJ309" s="41">
        <f t="shared" si="175"/>
        <v>100</v>
      </c>
      <c r="AK309" s="231">
        <v>0.79500000000000004</v>
      </c>
      <c r="AL309" s="433">
        <f t="shared" si="173"/>
        <v>7.95</v>
      </c>
      <c r="AM309" s="41">
        <v>0.13</v>
      </c>
      <c r="AN309" s="158">
        <f t="shared" si="168"/>
        <v>10</v>
      </c>
      <c r="AO309" s="384">
        <f t="shared" si="176"/>
        <v>12.145924930488421</v>
      </c>
    </row>
    <row r="310" spans="31:41" x14ac:dyDescent="0.3">
      <c r="AE310" s="367">
        <f t="shared" si="169"/>
        <v>2625000000</v>
      </c>
      <c r="AF310" s="158">
        <v>3125</v>
      </c>
      <c r="AG310" s="41">
        <v>20</v>
      </c>
      <c r="AH310" s="41" t="s">
        <v>376</v>
      </c>
      <c r="AI310" s="362">
        <f t="shared" si="174"/>
        <v>100</v>
      </c>
      <c r="AJ310" s="41">
        <f t="shared" si="175"/>
        <v>100</v>
      </c>
      <c r="AK310" s="231">
        <v>0.79500000000000004</v>
      </c>
      <c r="AL310" s="433">
        <f t="shared" si="173"/>
        <v>7.95</v>
      </c>
      <c r="AM310" s="41">
        <v>0.13</v>
      </c>
      <c r="AN310" s="158">
        <f t="shared" si="168"/>
        <v>10</v>
      </c>
      <c r="AO310" s="384">
        <f t="shared" si="176"/>
        <v>12.145924930488421</v>
      </c>
    </row>
    <row r="311" spans="31:41" x14ac:dyDescent="0.3">
      <c r="AE311" s="367">
        <f t="shared" si="169"/>
        <v>2646000000</v>
      </c>
      <c r="AF311" s="158">
        <v>3150</v>
      </c>
      <c r="AG311" s="41">
        <v>20</v>
      </c>
      <c r="AH311" s="41" t="s">
        <v>376</v>
      </c>
      <c r="AI311" s="362">
        <f t="shared" si="174"/>
        <v>100</v>
      </c>
      <c r="AJ311" s="41">
        <f t="shared" si="175"/>
        <v>100</v>
      </c>
      <c r="AK311" s="231">
        <v>0.79500000000000004</v>
      </c>
      <c r="AL311" s="433">
        <f t="shared" si="173"/>
        <v>7.95</v>
      </c>
      <c r="AM311" s="41">
        <v>0.13</v>
      </c>
      <c r="AN311" s="158">
        <f t="shared" si="168"/>
        <v>10</v>
      </c>
      <c r="AO311" s="384">
        <f t="shared" si="176"/>
        <v>12.145924930488421</v>
      </c>
    </row>
    <row r="312" spans="31:41" x14ac:dyDescent="0.3">
      <c r="AE312" s="367">
        <f t="shared" si="169"/>
        <v>2667000000</v>
      </c>
      <c r="AF312" s="158">
        <v>3175</v>
      </c>
      <c r="AG312" s="41">
        <v>20</v>
      </c>
      <c r="AH312" s="41" t="s">
        <v>376</v>
      </c>
      <c r="AI312" s="362">
        <f t="shared" si="174"/>
        <v>100</v>
      </c>
      <c r="AJ312" s="41">
        <f t="shared" si="175"/>
        <v>100</v>
      </c>
      <c r="AK312" s="231">
        <v>0.79500000000000004</v>
      </c>
      <c r="AL312" s="433">
        <f t="shared" si="173"/>
        <v>7.95</v>
      </c>
      <c r="AM312" s="41">
        <v>0.13</v>
      </c>
      <c r="AN312" s="158">
        <f t="shared" si="168"/>
        <v>10</v>
      </c>
      <c r="AO312" s="384">
        <f t="shared" si="176"/>
        <v>12.145924930488421</v>
      </c>
    </row>
    <row r="313" spans="31:41" x14ac:dyDescent="0.3">
      <c r="AE313" s="367">
        <f t="shared" si="169"/>
        <v>2688000000</v>
      </c>
      <c r="AF313" s="158">
        <v>3200</v>
      </c>
      <c r="AG313" s="41">
        <v>20</v>
      </c>
      <c r="AH313" s="41" t="s">
        <v>376</v>
      </c>
      <c r="AI313" s="362">
        <f t="shared" si="174"/>
        <v>100</v>
      </c>
      <c r="AJ313" s="41">
        <f t="shared" si="175"/>
        <v>100</v>
      </c>
      <c r="AK313" s="231">
        <v>0.79500000000000004</v>
      </c>
      <c r="AL313" s="433">
        <f t="shared" si="173"/>
        <v>7.95</v>
      </c>
      <c r="AM313" s="41">
        <v>0.13</v>
      </c>
      <c r="AN313" s="158">
        <f t="shared" si="168"/>
        <v>10</v>
      </c>
      <c r="AO313" s="384">
        <f t="shared" si="176"/>
        <v>12.145924930488421</v>
      </c>
    </row>
    <row r="314" spans="31:41" x14ac:dyDescent="0.3">
      <c r="AE314" s="367">
        <f t="shared" si="169"/>
        <v>2709000000</v>
      </c>
      <c r="AF314" s="158">
        <v>3225</v>
      </c>
      <c r="AG314" s="41">
        <v>20</v>
      </c>
      <c r="AH314" s="41" t="s">
        <v>376</v>
      </c>
      <c r="AI314" s="362">
        <f t="shared" si="174"/>
        <v>100</v>
      </c>
      <c r="AJ314" s="41">
        <f t="shared" si="175"/>
        <v>100</v>
      </c>
      <c r="AK314" s="231">
        <v>0.79500000000000004</v>
      </c>
      <c r="AL314" s="433">
        <f t="shared" si="173"/>
        <v>7.95</v>
      </c>
      <c r="AM314" s="41">
        <v>0.13</v>
      </c>
      <c r="AN314" s="158">
        <f t="shared" ref="AN314:AN362" si="177">$B$8</f>
        <v>10</v>
      </c>
      <c r="AO314" s="384">
        <f t="shared" si="176"/>
        <v>12.145924930488421</v>
      </c>
    </row>
    <row r="315" spans="31:41" x14ac:dyDescent="0.3">
      <c r="AE315" s="367">
        <f t="shared" ref="AE315:AE362" si="178">AE133</f>
        <v>2730000000</v>
      </c>
      <c r="AF315" s="158">
        <v>3250</v>
      </c>
      <c r="AG315" s="41">
        <v>20</v>
      </c>
      <c r="AH315" s="41" t="s">
        <v>376</v>
      </c>
      <c r="AI315" s="362">
        <f t="shared" si="174"/>
        <v>100</v>
      </c>
      <c r="AJ315" s="41">
        <f t="shared" si="175"/>
        <v>100</v>
      </c>
      <c r="AK315" s="231">
        <v>0.79500000000000004</v>
      </c>
      <c r="AL315" s="433">
        <f t="shared" si="173"/>
        <v>7.95</v>
      </c>
      <c r="AM315" s="41">
        <v>0.13</v>
      </c>
      <c r="AN315" s="158">
        <f t="shared" si="177"/>
        <v>10</v>
      </c>
      <c r="AO315" s="384">
        <f t="shared" si="176"/>
        <v>12.145924930488421</v>
      </c>
    </row>
    <row r="316" spans="31:41" x14ac:dyDescent="0.3">
      <c r="AE316" s="367">
        <f t="shared" si="178"/>
        <v>2751000000</v>
      </c>
      <c r="AF316" s="158">
        <v>3275</v>
      </c>
      <c r="AG316" s="41">
        <v>20</v>
      </c>
      <c r="AH316" s="41" t="s">
        <v>376</v>
      </c>
      <c r="AI316" s="362">
        <f t="shared" si="174"/>
        <v>100</v>
      </c>
      <c r="AJ316" s="41">
        <f t="shared" si="175"/>
        <v>100</v>
      </c>
      <c r="AK316" s="231">
        <v>0.79500000000000004</v>
      </c>
      <c r="AL316" s="433">
        <f t="shared" si="173"/>
        <v>7.95</v>
      </c>
      <c r="AM316" s="41">
        <v>0.13</v>
      </c>
      <c r="AN316" s="158">
        <f t="shared" si="177"/>
        <v>10</v>
      </c>
      <c r="AO316" s="384">
        <f t="shared" si="176"/>
        <v>12.145924930488421</v>
      </c>
    </row>
    <row r="317" spans="31:41" x14ac:dyDescent="0.3">
      <c r="AE317" s="367">
        <f t="shared" si="178"/>
        <v>2772000000</v>
      </c>
      <c r="AF317" s="158">
        <v>3300</v>
      </c>
      <c r="AG317" s="41">
        <v>20</v>
      </c>
      <c r="AH317" s="41" t="s">
        <v>376</v>
      </c>
      <c r="AI317" s="362">
        <f t="shared" si="174"/>
        <v>100</v>
      </c>
      <c r="AJ317" s="41">
        <f t="shared" si="175"/>
        <v>100</v>
      </c>
      <c r="AK317" s="231">
        <v>0.79500000000000004</v>
      </c>
      <c r="AL317" s="433">
        <f t="shared" si="173"/>
        <v>7.95</v>
      </c>
      <c r="AM317" s="41">
        <v>0.13</v>
      </c>
      <c r="AN317" s="158">
        <f t="shared" si="177"/>
        <v>10</v>
      </c>
      <c r="AO317" s="384">
        <f t="shared" si="176"/>
        <v>12.145924930488421</v>
      </c>
    </row>
    <row r="318" spans="31:41" x14ac:dyDescent="0.3">
      <c r="AE318" s="367">
        <f t="shared" si="178"/>
        <v>2793000000</v>
      </c>
      <c r="AF318" s="158">
        <v>3325</v>
      </c>
      <c r="AG318" s="41">
        <v>20</v>
      </c>
      <c r="AH318" s="41" t="s">
        <v>376</v>
      </c>
      <c r="AI318" s="362">
        <f t="shared" si="174"/>
        <v>100</v>
      </c>
      <c r="AJ318" s="41">
        <f t="shared" si="175"/>
        <v>100</v>
      </c>
      <c r="AK318" s="231">
        <v>0.79500000000000004</v>
      </c>
      <c r="AL318" s="433">
        <f t="shared" si="173"/>
        <v>7.95</v>
      </c>
      <c r="AM318" s="41">
        <v>0.13</v>
      </c>
      <c r="AN318" s="158">
        <f t="shared" si="177"/>
        <v>10</v>
      </c>
      <c r="AO318" s="384">
        <f t="shared" si="176"/>
        <v>12.145924930488421</v>
      </c>
    </row>
    <row r="319" spans="31:41" x14ac:dyDescent="0.3">
      <c r="AE319" s="367">
        <f t="shared" si="178"/>
        <v>2814000000</v>
      </c>
      <c r="AF319" s="158">
        <v>3350</v>
      </c>
      <c r="AG319" s="41">
        <v>20</v>
      </c>
      <c r="AH319" s="41" t="s">
        <v>376</v>
      </c>
      <c r="AI319" s="362">
        <f t="shared" si="174"/>
        <v>100</v>
      </c>
      <c r="AJ319" s="41">
        <f t="shared" si="175"/>
        <v>100</v>
      </c>
      <c r="AK319" s="231">
        <v>0.79500000000000004</v>
      </c>
      <c r="AL319" s="433">
        <f t="shared" si="173"/>
        <v>7.95</v>
      </c>
      <c r="AM319" s="41">
        <v>0.13</v>
      </c>
      <c r="AN319" s="158">
        <f t="shared" si="177"/>
        <v>10</v>
      </c>
      <c r="AO319" s="384">
        <f t="shared" si="176"/>
        <v>12.145924930488421</v>
      </c>
    </row>
    <row r="320" spans="31:41" x14ac:dyDescent="0.3">
      <c r="AE320" s="367">
        <f t="shared" si="178"/>
        <v>2835000000</v>
      </c>
      <c r="AF320" s="158">
        <v>3375</v>
      </c>
      <c r="AG320" s="41">
        <v>20</v>
      </c>
      <c r="AH320" s="41" t="s">
        <v>376</v>
      </c>
      <c r="AI320" s="362">
        <f t="shared" si="174"/>
        <v>100</v>
      </c>
      <c r="AJ320" s="41">
        <f t="shared" si="175"/>
        <v>100</v>
      </c>
      <c r="AK320" s="231">
        <v>0.79500000000000004</v>
      </c>
      <c r="AL320" s="433">
        <f t="shared" si="173"/>
        <v>7.95</v>
      </c>
      <c r="AM320" s="41">
        <v>0.13</v>
      </c>
      <c r="AN320" s="158">
        <f t="shared" si="177"/>
        <v>10</v>
      </c>
      <c r="AO320" s="384">
        <f t="shared" si="176"/>
        <v>12.145924930488421</v>
      </c>
    </row>
    <row r="321" spans="31:41" x14ac:dyDescent="0.3">
      <c r="AE321" s="367">
        <f t="shared" si="178"/>
        <v>2856000000</v>
      </c>
      <c r="AF321" s="158">
        <v>3400</v>
      </c>
      <c r="AG321" s="41">
        <v>20</v>
      </c>
      <c r="AH321" s="41" t="s">
        <v>376</v>
      </c>
      <c r="AI321" s="362">
        <f t="shared" si="174"/>
        <v>100</v>
      </c>
      <c r="AJ321" s="41">
        <f t="shared" si="175"/>
        <v>100</v>
      </c>
      <c r="AK321" s="231">
        <v>0.79500000000000004</v>
      </c>
      <c r="AL321" s="433">
        <f t="shared" si="173"/>
        <v>7.95</v>
      </c>
      <c r="AM321" s="41">
        <v>0.13</v>
      </c>
      <c r="AN321" s="158">
        <f t="shared" si="177"/>
        <v>10</v>
      </c>
      <c r="AO321" s="384">
        <f t="shared" si="176"/>
        <v>12.145924930488421</v>
      </c>
    </row>
    <row r="322" spans="31:41" x14ac:dyDescent="0.3">
      <c r="AE322" s="367">
        <f t="shared" si="178"/>
        <v>2877000000</v>
      </c>
      <c r="AF322" s="158">
        <v>3425</v>
      </c>
      <c r="AG322" s="41">
        <v>20</v>
      </c>
      <c r="AH322" s="41" t="s">
        <v>376</v>
      </c>
      <c r="AI322" s="362">
        <f t="shared" si="174"/>
        <v>100</v>
      </c>
      <c r="AJ322" s="41">
        <f t="shared" si="175"/>
        <v>100</v>
      </c>
      <c r="AK322" s="231">
        <v>0.79500000000000004</v>
      </c>
      <c r="AL322" s="433">
        <f t="shared" si="173"/>
        <v>7.95</v>
      </c>
      <c r="AM322" s="41">
        <v>0.13</v>
      </c>
      <c r="AN322" s="158">
        <f t="shared" si="177"/>
        <v>10</v>
      </c>
      <c r="AO322" s="384">
        <f t="shared" si="176"/>
        <v>12.145924930488421</v>
      </c>
    </row>
    <row r="323" spans="31:41" x14ac:dyDescent="0.3">
      <c r="AE323" s="367">
        <f t="shared" si="178"/>
        <v>2898000000</v>
      </c>
      <c r="AF323" s="158">
        <v>3450</v>
      </c>
      <c r="AG323" s="41">
        <v>20</v>
      </c>
      <c r="AH323" s="41" t="s">
        <v>376</v>
      </c>
      <c r="AI323" s="362">
        <f t="shared" si="174"/>
        <v>100</v>
      </c>
      <c r="AJ323" s="41">
        <f t="shared" si="175"/>
        <v>100</v>
      </c>
      <c r="AK323" s="231">
        <v>0.79500000000000004</v>
      </c>
      <c r="AL323" s="433">
        <f t="shared" si="173"/>
        <v>7.95</v>
      </c>
      <c r="AM323" s="41">
        <v>0.13</v>
      </c>
      <c r="AN323" s="158">
        <f t="shared" si="177"/>
        <v>10</v>
      </c>
      <c r="AO323" s="384">
        <f t="shared" si="176"/>
        <v>12.145924930488421</v>
      </c>
    </row>
    <row r="324" spans="31:41" x14ac:dyDescent="0.3">
      <c r="AE324" s="367">
        <f t="shared" si="178"/>
        <v>2919000000</v>
      </c>
      <c r="AF324" s="158">
        <v>3475</v>
      </c>
      <c r="AG324" s="41">
        <v>20</v>
      </c>
      <c r="AH324" s="41" t="s">
        <v>376</v>
      </c>
      <c r="AI324" s="362">
        <f t="shared" si="174"/>
        <v>100</v>
      </c>
      <c r="AJ324" s="41">
        <f t="shared" si="175"/>
        <v>100</v>
      </c>
      <c r="AK324" s="231">
        <v>0.79500000000000004</v>
      </c>
      <c r="AL324" s="433">
        <f t="shared" si="173"/>
        <v>7.95</v>
      </c>
      <c r="AM324" s="41">
        <v>0.13</v>
      </c>
      <c r="AN324" s="158">
        <f t="shared" si="177"/>
        <v>10</v>
      </c>
      <c r="AO324" s="384">
        <f t="shared" si="176"/>
        <v>12.145924930488421</v>
      </c>
    </row>
    <row r="325" spans="31:41" x14ac:dyDescent="0.3">
      <c r="AE325" s="367">
        <f t="shared" si="178"/>
        <v>2940000000</v>
      </c>
      <c r="AF325" s="158">
        <v>3500</v>
      </c>
      <c r="AG325" s="41">
        <v>20</v>
      </c>
      <c r="AH325" s="41" t="s">
        <v>376</v>
      </c>
      <c r="AI325" s="362">
        <f t="shared" si="174"/>
        <v>100</v>
      </c>
      <c r="AJ325" s="41">
        <f t="shared" si="175"/>
        <v>100</v>
      </c>
      <c r="AK325" s="231">
        <v>0.79500000000000004</v>
      </c>
      <c r="AL325" s="433">
        <f t="shared" si="173"/>
        <v>7.95</v>
      </c>
      <c r="AM325" s="41">
        <v>0.13</v>
      </c>
      <c r="AN325" s="158">
        <f t="shared" si="177"/>
        <v>10</v>
      </c>
      <c r="AO325" s="384">
        <f t="shared" si="176"/>
        <v>12.145924930488421</v>
      </c>
    </row>
    <row r="326" spans="31:41" x14ac:dyDescent="0.3">
      <c r="AE326" s="367">
        <f t="shared" si="178"/>
        <v>2961000000</v>
      </c>
      <c r="AF326" s="158">
        <v>3525</v>
      </c>
      <c r="AG326" s="41">
        <v>20</v>
      </c>
      <c r="AH326" s="41" t="s">
        <v>376</v>
      </c>
      <c r="AI326" s="362">
        <f t="shared" si="174"/>
        <v>100</v>
      </c>
      <c r="AJ326" s="41">
        <f t="shared" si="175"/>
        <v>100</v>
      </c>
      <c r="AK326" s="231">
        <v>0.79500000000000004</v>
      </c>
      <c r="AL326" s="433">
        <f t="shared" si="173"/>
        <v>7.95</v>
      </c>
      <c r="AM326" s="41">
        <v>0.13</v>
      </c>
      <c r="AN326" s="158">
        <f t="shared" si="177"/>
        <v>10</v>
      </c>
      <c r="AO326" s="384">
        <f t="shared" si="176"/>
        <v>12.145924930488421</v>
      </c>
    </row>
    <row r="327" spans="31:41" x14ac:dyDescent="0.3">
      <c r="AE327" s="367">
        <f t="shared" si="178"/>
        <v>2982000000</v>
      </c>
      <c r="AF327" s="158">
        <v>3550</v>
      </c>
      <c r="AG327" s="41">
        <v>20</v>
      </c>
      <c r="AH327" s="41" t="s">
        <v>376</v>
      </c>
      <c r="AI327" s="362">
        <f t="shared" si="174"/>
        <v>100</v>
      </c>
      <c r="AJ327" s="41">
        <f t="shared" si="175"/>
        <v>100</v>
      </c>
      <c r="AK327" s="231">
        <v>0.79500000000000004</v>
      </c>
      <c r="AL327" s="433">
        <f t="shared" si="173"/>
        <v>7.95</v>
      </c>
      <c r="AM327" s="41">
        <v>0.13</v>
      </c>
      <c r="AN327" s="158">
        <f t="shared" si="177"/>
        <v>10</v>
      </c>
      <c r="AO327" s="384">
        <f t="shared" si="176"/>
        <v>12.145924930488421</v>
      </c>
    </row>
    <row r="328" spans="31:41" x14ac:dyDescent="0.3">
      <c r="AE328" s="367">
        <f t="shared" si="178"/>
        <v>3003000000</v>
      </c>
      <c r="AF328" s="158">
        <v>3575</v>
      </c>
      <c r="AG328" s="41">
        <v>20</v>
      </c>
      <c r="AH328" s="41" t="s">
        <v>376</v>
      </c>
      <c r="AI328" s="362">
        <f t="shared" si="174"/>
        <v>100</v>
      </c>
      <c r="AJ328" s="41">
        <f t="shared" si="175"/>
        <v>100</v>
      </c>
      <c r="AK328" s="231">
        <v>0.79500000000000004</v>
      </c>
      <c r="AL328" s="433">
        <f t="shared" si="173"/>
        <v>7.95</v>
      </c>
      <c r="AM328" s="41">
        <v>0.13</v>
      </c>
      <c r="AN328" s="158">
        <f t="shared" si="177"/>
        <v>10</v>
      </c>
      <c r="AO328" s="384">
        <f t="shared" si="176"/>
        <v>12.145924930488421</v>
      </c>
    </row>
    <row r="329" spans="31:41" x14ac:dyDescent="0.3">
      <c r="AE329" s="367">
        <f t="shared" si="178"/>
        <v>3024000000</v>
      </c>
      <c r="AF329" s="158">
        <v>3600</v>
      </c>
      <c r="AG329" s="41">
        <v>20</v>
      </c>
      <c r="AH329" s="41" t="s">
        <v>376</v>
      </c>
      <c r="AI329" s="362">
        <f t="shared" si="174"/>
        <v>100</v>
      </c>
      <c r="AJ329" s="41">
        <f t="shared" si="175"/>
        <v>100</v>
      </c>
      <c r="AK329" s="231">
        <v>0.79500000000000004</v>
      </c>
      <c r="AL329" s="433">
        <f t="shared" si="173"/>
        <v>7.95</v>
      </c>
      <c r="AM329" s="41">
        <v>0.13</v>
      </c>
      <c r="AN329" s="158">
        <f t="shared" si="177"/>
        <v>10</v>
      </c>
      <c r="AO329" s="384">
        <f t="shared" si="176"/>
        <v>12.145924930488421</v>
      </c>
    </row>
    <row r="330" spans="31:41" x14ac:dyDescent="0.3">
      <c r="AE330" s="367">
        <f t="shared" si="178"/>
        <v>3045000000</v>
      </c>
      <c r="AF330" s="158">
        <v>3625</v>
      </c>
      <c r="AG330" s="41">
        <v>20</v>
      </c>
      <c r="AH330" s="41" t="s">
        <v>376</v>
      </c>
      <c r="AI330" s="362">
        <f t="shared" si="174"/>
        <v>100</v>
      </c>
      <c r="AJ330" s="41">
        <f t="shared" si="175"/>
        <v>100</v>
      </c>
      <c r="AK330" s="231">
        <v>0.79500000000000004</v>
      </c>
      <c r="AL330" s="433">
        <f t="shared" si="173"/>
        <v>7.95</v>
      </c>
      <c r="AM330" s="41">
        <v>0.13</v>
      </c>
      <c r="AN330" s="158">
        <f t="shared" si="177"/>
        <v>10</v>
      </c>
      <c r="AO330" s="384">
        <f t="shared" si="176"/>
        <v>12.145924930488421</v>
      </c>
    </row>
    <row r="331" spans="31:41" x14ac:dyDescent="0.3">
      <c r="AE331" s="367">
        <f t="shared" si="178"/>
        <v>3066000000</v>
      </c>
      <c r="AF331" s="158">
        <v>3650</v>
      </c>
      <c r="AG331" s="41">
        <v>20</v>
      </c>
      <c r="AH331" s="41" t="s">
        <v>376</v>
      </c>
      <c r="AI331" s="362">
        <f t="shared" si="174"/>
        <v>100</v>
      </c>
      <c r="AJ331" s="41">
        <f t="shared" si="175"/>
        <v>100</v>
      </c>
      <c r="AK331" s="231">
        <v>0.79500000000000004</v>
      </c>
      <c r="AL331" s="433">
        <f t="shared" si="173"/>
        <v>7.95</v>
      </c>
      <c r="AM331" s="41">
        <v>0.13</v>
      </c>
      <c r="AN331" s="158">
        <f t="shared" si="177"/>
        <v>10</v>
      </c>
      <c r="AO331" s="384">
        <f t="shared" si="176"/>
        <v>12.145924930488421</v>
      </c>
    </row>
    <row r="332" spans="31:41" x14ac:dyDescent="0.3">
      <c r="AE332" s="367">
        <f t="shared" si="178"/>
        <v>3087000000</v>
      </c>
      <c r="AF332" s="158">
        <v>3675</v>
      </c>
      <c r="AG332" s="41">
        <v>20</v>
      </c>
      <c r="AH332" s="41" t="s">
        <v>376</v>
      </c>
      <c r="AI332" s="362">
        <f t="shared" si="174"/>
        <v>100</v>
      </c>
      <c r="AJ332" s="41">
        <f t="shared" si="175"/>
        <v>100</v>
      </c>
      <c r="AK332" s="231">
        <v>0.79500000000000004</v>
      </c>
      <c r="AL332" s="433">
        <f t="shared" si="173"/>
        <v>7.95</v>
      </c>
      <c r="AM332" s="41">
        <v>0.13</v>
      </c>
      <c r="AN332" s="158">
        <f t="shared" si="177"/>
        <v>10</v>
      </c>
      <c r="AO332" s="384">
        <f t="shared" si="176"/>
        <v>12.145924930488421</v>
      </c>
    </row>
    <row r="333" spans="31:41" x14ac:dyDescent="0.3">
      <c r="AE333" s="367">
        <f t="shared" si="178"/>
        <v>3108000000</v>
      </c>
      <c r="AF333" s="158">
        <v>3700</v>
      </c>
      <c r="AG333" s="41">
        <v>20</v>
      </c>
      <c r="AH333" s="41" t="s">
        <v>376</v>
      </c>
      <c r="AI333" s="362">
        <f t="shared" si="174"/>
        <v>100</v>
      </c>
      <c r="AJ333" s="41">
        <f t="shared" si="175"/>
        <v>100</v>
      </c>
      <c r="AK333" s="231">
        <v>0.79500000000000004</v>
      </c>
      <c r="AL333" s="433">
        <f t="shared" si="173"/>
        <v>7.95</v>
      </c>
      <c r="AM333" s="41">
        <v>0.13</v>
      </c>
      <c r="AN333" s="158">
        <f t="shared" si="177"/>
        <v>10</v>
      </c>
      <c r="AO333" s="384">
        <f t="shared" si="176"/>
        <v>12.145924930488421</v>
      </c>
    </row>
    <row r="334" spans="31:41" x14ac:dyDescent="0.3">
      <c r="AE334" s="367">
        <f t="shared" si="178"/>
        <v>3129000000</v>
      </c>
      <c r="AF334" s="158">
        <v>3725</v>
      </c>
      <c r="AG334" s="41">
        <v>20</v>
      </c>
      <c r="AH334" s="41" t="s">
        <v>376</v>
      </c>
      <c r="AI334" s="362">
        <f t="shared" si="174"/>
        <v>100</v>
      </c>
      <c r="AJ334" s="41">
        <f t="shared" si="175"/>
        <v>100</v>
      </c>
      <c r="AK334" s="231">
        <v>0.79500000000000004</v>
      </c>
      <c r="AL334" s="433">
        <f t="shared" ref="AL334:AL362" si="179">AK334*10</f>
        <v>7.95</v>
      </c>
      <c r="AM334" s="41">
        <v>0.13</v>
      </c>
      <c r="AN334" s="158">
        <f t="shared" si="177"/>
        <v>10</v>
      </c>
      <c r="AO334" s="384">
        <f t="shared" si="176"/>
        <v>12.145924930488421</v>
      </c>
    </row>
    <row r="335" spans="31:41" x14ac:dyDescent="0.3">
      <c r="AE335" s="367">
        <f t="shared" si="178"/>
        <v>3150000000</v>
      </c>
      <c r="AF335" s="158">
        <v>3750</v>
      </c>
      <c r="AG335" s="41">
        <v>20</v>
      </c>
      <c r="AH335" s="41" t="s">
        <v>376</v>
      </c>
      <c r="AI335" s="362">
        <f t="shared" si="174"/>
        <v>100</v>
      </c>
      <c r="AJ335" s="41">
        <f t="shared" si="175"/>
        <v>100</v>
      </c>
      <c r="AK335" s="231">
        <v>0.79500000000000004</v>
      </c>
      <c r="AL335" s="433">
        <f t="shared" si="179"/>
        <v>7.95</v>
      </c>
      <c r="AM335" s="41">
        <v>0.13</v>
      </c>
      <c r="AN335" s="158">
        <f t="shared" si="177"/>
        <v>10</v>
      </c>
      <c r="AO335" s="384">
        <f t="shared" si="176"/>
        <v>12.145924930488421</v>
      </c>
    </row>
    <row r="336" spans="31:41" x14ac:dyDescent="0.3">
      <c r="AE336" s="367">
        <f t="shared" si="178"/>
        <v>3171000000</v>
      </c>
      <c r="AF336" s="158">
        <v>3775</v>
      </c>
      <c r="AG336" s="41">
        <v>20</v>
      </c>
      <c r="AH336" s="41" t="s">
        <v>376</v>
      </c>
      <c r="AI336" s="362">
        <f t="shared" si="174"/>
        <v>100</v>
      </c>
      <c r="AJ336" s="41">
        <f t="shared" si="175"/>
        <v>100</v>
      </c>
      <c r="AK336" s="231">
        <v>0.79500000000000004</v>
      </c>
      <c r="AL336" s="433">
        <f t="shared" si="179"/>
        <v>7.95</v>
      </c>
      <c r="AM336" s="41">
        <v>0.13</v>
      </c>
      <c r="AN336" s="158">
        <f t="shared" si="177"/>
        <v>10</v>
      </c>
      <c r="AO336" s="384">
        <f t="shared" si="176"/>
        <v>12.145924930488421</v>
      </c>
    </row>
    <row r="337" spans="31:41" x14ac:dyDescent="0.3">
      <c r="AE337" s="367">
        <f t="shared" si="178"/>
        <v>3192000000</v>
      </c>
      <c r="AF337" s="158">
        <v>3800</v>
      </c>
      <c r="AG337" s="41">
        <v>20</v>
      </c>
      <c r="AH337" s="41" t="s">
        <v>376</v>
      </c>
      <c r="AI337" s="362">
        <f t="shared" si="174"/>
        <v>100</v>
      </c>
      <c r="AJ337" s="41">
        <f t="shared" si="175"/>
        <v>100</v>
      </c>
      <c r="AK337" s="231">
        <v>0.79500000000000004</v>
      </c>
      <c r="AL337" s="433">
        <f t="shared" si="179"/>
        <v>7.95</v>
      </c>
      <c r="AM337" s="41">
        <v>0.13</v>
      </c>
      <c r="AN337" s="158">
        <f t="shared" si="177"/>
        <v>10</v>
      </c>
      <c r="AO337" s="384">
        <f t="shared" si="176"/>
        <v>12.145924930488421</v>
      </c>
    </row>
    <row r="338" spans="31:41" x14ac:dyDescent="0.3">
      <c r="AE338" s="367">
        <f t="shared" si="178"/>
        <v>3213000000</v>
      </c>
      <c r="AF338" s="158">
        <v>3825</v>
      </c>
      <c r="AG338" s="41">
        <v>20</v>
      </c>
      <c r="AH338" s="41" t="s">
        <v>376</v>
      </c>
      <c r="AI338" s="362">
        <f t="shared" si="174"/>
        <v>100</v>
      </c>
      <c r="AJ338" s="41">
        <f t="shared" si="175"/>
        <v>100</v>
      </c>
      <c r="AK338" s="231">
        <v>0.79500000000000004</v>
      </c>
      <c r="AL338" s="433">
        <f t="shared" si="179"/>
        <v>7.95</v>
      </c>
      <c r="AM338" s="41">
        <v>0.13</v>
      </c>
      <c r="AN338" s="158">
        <f t="shared" si="177"/>
        <v>10</v>
      </c>
      <c r="AO338" s="384">
        <f t="shared" si="176"/>
        <v>12.145924930488421</v>
      </c>
    </row>
    <row r="339" spans="31:41" x14ac:dyDescent="0.3">
      <c r="AE339" s="367">
        <f t="shared" si="178"/>
        <v>3234000000</v>
      </c>
      <c r="AF339" s="158">
        <v>3850</v>
      </c>
      <c r="AG339" s="41">
        <v>20</v>
      </c>
      <c r="AH339" s="41" t="s">
        <v>376</v>
      </c>
      <c r="AI339" s="362">
        <f t="shared" si="174"/>
        <v>100</v>
      </c>
      <c r="AJ339" s="41">
        <f t="shared" si="175"/>
        <v>100</v>
      </c>
      <c r="AK339" s="231">
        <v>0.79500000000000004</v>
      </c>
      <c r="AL339" s="433">
        <f t="shared" si="179"/>
        <v>7.95</v>
      </c>
      <c r="AM339" s="41">
        <v>0.13</v>
      </c>
      <c r="AN339" s="158">
        <f t="shared" si="177"/>
        <v>10</v>
      </c>
      <c r="AO339" s="384">
        <f t="shared" si="176"/>
        <v>12.145924930488421</v>
      </c>
    </row>
    <row r="340" spans="31:41" x14ac:dyDescent="0.3">
      <c r="AE340" s="367">
        <f t="shared" si="178"/>
        <v>3255000000</v>
      </c>
      <c r="AF340" s="158">
        <v>3875</v>
      </c>
      <c r="AG340" s="41">
        <v>20</v>
      </c>
      <c r="AH340" s="41" t="s">
        <v>376</v>
      </c>
      <c r="AI340" s="362">
        <f t="shared" si="174"/>
        <v>100</v>
      </c>
      <c r="AJ340" s="41">
        <f t="shared" si="175"/>
        <v>100</v>
      </c>
      <c r="AK340" s="231">
        <v>0.79500000000000004</v>
      </c>
      <c r="AL340" s="433">
        <f t="shared" si="179"/>
        <v>7.95</v>
      </c>
      <c r="AM340" s="41">
        <v>0.13</v>
      </c>
      <c r="AN340" s="158">
        <f t="shared" si="177"/>
        <v>10</v>
      </c>
      <c r="AO340" s="384">
        <f t="shared" si="176"/>
        <v>12.145924930488421</v>
      </c>
    </row>
    <row r="341" spans="31:41" x14ac:dyDescent="0.3">
      <c r="AE341" s="367">
        <f t="shared" si="178"/>
        <v>3276000000</v>
      </c>
      <c r="AF341" s="158">
        <v>3900</v>
      </c>
      <c r="AG341" s="41">
        <v>20</v>
      </c>
      <c r="AH341" s="41" t="s">
        <v>376</v>
      </c>
      <c r="AI341" s="362">
        <f t="shared" si="174"/>
        <v>100</v>
      </c>
      <c r="AJ341" s="41">
        <f t="shared" si="175"/>
        <v>100</v>
      </c>
      <c r="AK341" s="231">
        <v>0.79500000000000004</v>
      </c>
      <c r="AL341" s="433">
        <f t="shared" si="179"/>
        <v>7.95</v>
      </c>
      <c r="AM341" s="41">
        <v>0.13</v>
      </c>
      <c r="AN341" s="158">
        <f t="shared" si="177"/>
        <v>10</v>
      </c>
      <c r="AO341" s="384">
        <f t="shared" si="176"/>
        <v>12.145924930488421</v>
      </c>
    </row>
    <row r="342" spans="31:41" x14ac:dyDescent="0.3">
      <c r="AE342" s="367">
        <f t="shared" si="178"/>
        <v>3297000000</v>
      </c>
      <c r="AF342" s="158">
        <v>3925</v>
      </c>
      <c r="AG342" s="41">
        <v>20</v>
      </c>
      <c r="AH342" s="41" t="s">
        <v>376</v>
      </c>
      <c r="AI342" s="362">
        <f t="shared" si="174"/>
        <v>100</v>
      </c>
      <c r="AJ342" s="41">
        <f t="shared" si="175"/>
        <v>100</v>
      </c>
      <c r="AK342" s="231">
        <v>0.79500000000000004</v>
      </c>
      <c r="AL342" s="433">
        <f t="shared" si="179"/>
        <v>7.95</v>
      </c>
      <c r="AM342" s="41">
        <v>0.13</v>
      </c>
      <c r="AN342" s="158">
        <f t="shared" si="177"/>
        <v>10</v>
      </c>
      <c r="AO342" s="384">
        <f t="shared" si="176"/>
        <v>12.145924930488421</v>
      </c>
    </row>
    <row r="343" spans="31:41" x14ac:dyDescent="0.3">
      <c r="AE343" s="367">
        <f t="shared" si="178"/>
        <v>3318000000</v>
      </c>
      <c r="AF343" s="158">
        <v>3950</v>
      </c>
      <c r="AG343" s="41">
        <v>20</v>
      </c>
      <c r="AH343" s="41" t="s">
        <v>376</v>
      </c>
      <c r="AI343" s="362">
        <f t="shared" si="174"/>
        <v>100</v>
      </c>
      <c r="AJ343" s="41">
        <f t="shared" si="175"/>
        <v>100</v>
      </c>
      <c r="AK343" s="231">
        <v>0.79500000000000004</v>
      </c>
      <c r="AL343" s="433">
        <f t="shared" si="179"/>
        <v>7.95</v>
      </c>
      <c r="AM343" s="41">
        <v>0.13</v>
      </c>
      <c r="AN343" s="158">
        <f t="shared" si="177"/>
        <v>10</v>
      </c>
      <c r="AO343" s="384">
        <f t="shared" si="176"/>
        <v>12.145924930488421</v>
      </c>
    </row>
    <row r="344" spans="31:41" x14ac:dyDescent="0.3">
      <c r="AE344" s="367">
        <f t="shared" si="178"/>
        <v>3339000000</v>
      </c>
      <c r="AF344" s="158">
        <v>3975</v>
      </c>
      <c r="AG344" s="41">
        <v>20</v>
      </c>
      <c r="AH344" s="41" t="s">
        <v>376</v>
      </c>
      <c r="AI344" s="362">
        <f t="shared" si="174"/>
        <v>100</v>
      </c>
      <c r="AJ344" s="41">
        <f t="shared" si="175"/>
        <v>100</v>
      </c>
      <c r="AK344" s="231">
        <v>0.79500000000000004</v>
      </c>
      <c r="AL344" s="433">
        <f t="shared" si="179"/>
        <v>7.95</v>
      </c>
      <c r="AM344" s="41">
        <v>0.13</v>
      </c>
      <c r="AN344" s="158">
        <f t="shared" si="177"/>
        <v>10</v>
      </c>
      <c r="AO344" s="384">
        <f t="shared" si="176"/>
        <v>12.145924930488421</v>
      </c>
    </row>
    <row r="345" spans="31:41" x14ac:dyDescent="0.3">
      <c r="AE345" s="367">
        <f t="shared" si="178"/>
        <v>3360000000</v>
      </c>
      <c r="AF345" s="158">
        <v>4000</v>
      </c>
      <c r="AG345" s="41">
        <v>20</v>
      </c>
      <c r="AH345" s="41" t="s">
        <v>376</v>
      </c>
      <c r="AI345" s="362">
        <f t="shared" si="174"/>
        <v>100</v>
      </c>
      <c r="AJ345" s="41">
        <f t="shared" si="175"/>
        <v>100</v>
      </c>
      <c r="AK345" s="231">
        <v>0.79500000000000004</v>
      </c>
      <c r="AL345" s="433">
        <f t="shared" si="179"/>
        <v>7.95</v>
      </c>
      <c r="AM345" s="41">
        <v>0.13</v>
      </c>
      <c r="AN345" s="158">
        <f t="shared" si="177"/>
        <v>10</v>
      </c>
      <c r="AO345" s="384">
        <f t="shared" si="176"/>
        <v>12.145924930488421</v>
      </c>
    </row>
    <row r="346" spans="31:41" x14ac:dyDescent="0.3">
      <c r="AE346" s="367">
        <f t="shared" si="178"/>
        <v>3381000000</v>
      </c>
      <c r="AF346" s="158">
        <v>4025</v>
      </c>
      <c r="AG346" s="41">
        <v>20</v>
      </c>
      <c r="AH346" s="41" t="s">
        <v>376</v>
      </c>
      <c r="AI346" s="362">
        <f t="shared" si="174"/>
        <v>100</v>
      </c>
      <c r="AJ346" s="41">
        <f t="shared" si="175"/>
        <v>100</v>
      </c>
      <c r="AK346" s="231">
        <v>0.79500000000000004</v>
      </c>
      <c r="AL346" s="433">
        <f t="shared" si="179"/>
        <v>7.95</v>
      </c>
      <c r="AM346" s="41">
        <v>0.13</v>
      </c>
      <c r="AN346" s="158">
        <f t="shared" si="177"/>
        <v>10</v>
      </c>
      <c r="AO346" s="384">
        <f t="shared" si="176"/>
        <v>12.145924930488421</v>
      </c>
    </row>
    <row r="347" spans="31:41" x14ac:dyDescent="0.3">
      <c r="AE347" s="367">
        <f t="shared" si="178"/>
        <v>3402000000</v>
      </c>
      <c r="AF347" s="158">
        <v>4050</v>
      </c>
      <c r="AG347" s="41">
        <v>20</v>
      </c>
      <c r="AH347" s="41" t="s">
        <v>376</v>
      </c>
      <c r="AI347" s="362">
        <f t="shared" si="174"/>
        <v>100</v>
      </c>
      <c r="AJ347" s="41">
        <f t="shared" si="175"/>
        <v>100</v>
      </c>
      <c r="AK347" s="231">
        <v>0.79500000000000004</v>
      </c>
      <c r="AL347" s="433">
        <f t="shared" si="179"/>
        <v>7.95</v>
      </c>
      <c r="AM347" s="41">
        <v>0.13</v>
      </c>
      <c r="AN347" s="158">
        <f t="shared" si="177"/>
        <v>10</v>
      </c>
      <c r="AO347" s="384">
        <f t="shared" si="176"/>
        <v>12.145924930488421</v>
      </c>
    </row>
    <row r="348" spans="31:41" x14ac:dyDescent="0.3">
      <c r="AE348" s="367">
        <f t="shared" si="178"/>
        <v>3423000000</v>
      </c>
      <c r="AF348" s="158">
        <v>4075</v>
      </c>
      <c r="AG348" s="41">
        <v>20</v>
      </c>
      <c r="AH348" s="41" t="s">
        <v>376</v>
      </c>
      <c r="AI348" s="362">
        <f t="shared" si="174"/>
        <v>100</v>
      </c>
      <c r="AJ348" s="41">
        <f t="shared" si="175"/>
        <v>100</v>
      </c>
      <c r="AK348" s="231">
        <v>0.79500000000000004</v>
      </c>
      <c r="AL348" s="433">
        <f t="shared" si="179"/>
        <v>7.95</v>
      </c>
      <c r="AM348" s="41">
        <v>0.13</v>
      </c>
      <c r="AN348" s="158">
        <f t="shared" si="177"/>
        <v>10</v>
      </c>
      <c r="AO348" s="384">
        <f t="shared" si="176"/>
        <v>12.145924930488421</v>
      </c>
    </row>
    <row r="349" spans="31:41" x14ac:dyDescent="0.3">
      <c r="AE349" s="367">
        <f t="shared" si="178"/>
        <v>3444000000</v>
      </c>
      <c r="AF349" s="158">
        <v>4100</v>
      </c>
      <c r="AG349" s="41">
        <v>20</v>
      </c>
      <c r="AH349" s="41" t="s">
        <v>376</v>
      </c>
      <c r="AI349" s="362">
        <f t="shared" si="174"/>
        <v>100</v>
      </c>
      <c r="AJ349" s="41">
        <f t="shared" si="175"/>
        <v>100</v>
      </c>
      <c r="AK349" s="231">
        <v>0.79500000000000004</v>
      </c>
      <c r="AL349" s="433">
        <f t="shared" si="179"/>
        <v>7.95</v>
      </c>
      <c r="AM349" s="41">
        <v>0.13</v>
      </c>
      <c r="AN349" s="158">
        <f t="shared" si="177"/>
        <v>10</v>
      </c>
      <c r="AO349" s="384">
        <f t="shared" si="176"/>
        <v>12.145924930488421</v>
      </c>
    </row>
    <row r="350" spans="31:41" x14ac:dyDescent="0.3">
      <c r="AE350" s="367">
        <f t="shared" si="178"/>
        <v>3465000000</v>
      </c>
      <c r="AF350" s="158">
        <v>4125</v>
      </c>
      <c r="AG350" s="41">
        <v>20</v>
      </c>
      <c r="AH350" s="41" t="s">
        <v>376</v>
      </c>
      <c r="AI350" s="362">
        <f t="shared" si="174"/>
        <v>100</v>
      </c>
      <c r="AJ350" s="41">
        <f t="shared" si="175"/>
        <v>100</v>
      </c>
      <c r="AK350" s="231">
        <v>0.79500000000000004</v>
      </c>
      <c r="AL350" s="433">
        <f t="shared" si="179"/>
        <v>7.95</v>
      </c>
      <c r="AM350" s="41">
        <v>0.13</v>
      </c>
      <c r="AN350" s="158">
        <f t="shared" si="177"/>
        <v>10</v>
      </c>
      <c r="AO350" s="384">
        <f t="shared" si="176"/>
        <v>12.145924930488421</v>
      </c>
    </row>
    <row r="351" spans="31:41" x14ac:dyDescent="0.3">
      <c r="AE351" s="367">
        <f t="shared" si="178"/>
        <v>3486000000</v>
      </c>
      <c r="AF351" s="158">
        <v>4150</v>
      </c>
      <c r="AG351" s="41">
        <v>20</v>
      </c>
      <c r="AH351" s="41" t="s">
        <v>376</v>
      </c>
      <c r="AI351" s="362">
        <f t="shared" si="174"/>
        <v>100</v>
      </c>
      <c r="AJ351" s="41">
        <f t="shared" si="175"/>
        <v>100</v>
      </c>
      <c r="AK351" s="231">
        <v>0.79500000000000004</v>
      </c>
      <c r="AL351" s="433">
        <f t="shared" si="179"/>
        <v>7.95</v>
      </c>
      <c r="AM351" s="41">
        <v>0.13</v>
      </c>
      <c r="AN351" s="158">
        <f t="shared" si="177"/>
        <v>10</v>
      </c>
      <c r="AO351" s="384">
        <f t="shared" si="176"/>
        <v>12.145924930488421</v>
      </c>
    </row>
    <row r="352" spans="31:41" x14ac:dyDescent="0.3">
      <c r="AE352" s="367">
        <f t="shared" si="178"/>
        <v>3507000000</v>
      </c>
      <c r="AF352" s="158">
        <v>4175</v>
      </c>
      <c r="AG352" s="41">
        <v>20</v>
      </c>
      <c r="AH352" s="41" t="s">
        <v>376</v>
      </c>
      <c r="AI352" s="362">
        <f t="shared" si="174"/>
        <v>100</v>
      </c>
      <c r="AJ352" s="41">
        <f t="shared" si="175"/>
        <v>100</v>
      </c>
      <c r="AK352" s="231">
        <v>0.79500000000000004</v>
      </c>
      <c r="AL352" s="433">
        <f t="shared" si="179"/>
        <v>7.95</v>
      </c>
      <c r="AM352" s="41">
        <v>0.13</v>
      </c>
      <c r="AN352" s="158">
        <f t="shared" si="177"/>
        <v>10</v>
      </c>
      <c r="AO352" s="384">
        <f t="shared" si="176"/>
        <v>12.145924930488421</v>
      </c>
    </row>
    <row r="353" spans="31:63" x14ac:dyDescent="0.3">
      <c r="AE353" s="367">
        <f t="shared" si="178"/>
        <v>3528000000</v>
      </c>
      <c r="AF353" s="158">
        <v>4200</v>
      </c>
      <c r="AG353" s="41">
        <v>20</v>
      </c>
      <c r="AH353" s="41" t="s">
        <v>376</v>
      </c>
      <c r="AI353" s="362">
        <f t="shared" si="174"/>
        <v>100</v>
      </c>
      <c r="AJ353" s="41">
        <f t="shared" si="175"/>
        <v>100</v>
      </c>
      <c r="AK353" s="231">
        <v>0.79500000000000004</v>
      </c>
      <c r="AL353" s="433">
        <f t="shared" si="179"/>
        <v>7.95</v>
      </c>
      <c r="AM353" s="41">
        <v>0.13</v>
      </c>
      <c r="AN353" s="158">
        <f t="shared" si="177"/>
        <v>10</v>
      </c>
      <c r="AO353" s="384">
        <f t="shared" si="176"/>
        <v>12.145924930488421</v>
      </c>
    </row>
    <row r="354" spans="31:63" x14ac:dyDescent="0.3">
      <c r="AE354" s="367">
        <f t="shared" si="178"/>
        <v>3549000000</v>
      </c>
      <c r="AF354" s="158">
        <v>4225</v>
      </c>
      <c r="AG354" s="41">
        <v>20</v>
      </c>
      <c r="AH354" s="41" t="s">
        <v>376</v>
      </c>
      <c r="AI354" s="362">
        <f t="shared" si="174"/>
        <v>100</v>
      </c>
      <c r="AJ354" s="41">
        <f t="shared" si="175"/>
        <v>100</v>
      </c>
      <c r="AK354" s="231">
        <v>0.79500000000000004</v>
      </c>
      <c r="AL354" s="433">
        <f t="shared" si="179"/>
        <v>7.95</v>
      </c>
      <c r="AM354" s="41">
        <v>0.13</v>
      </c>
      <c r="AN354" s="158">
        <f t="shared" si="177"/>
        <v>10</v>
      </c>
      <c r="AO354" s="384">
        <f t="shared" si="176"/>
        <v>12.145924930488421</v>
      </c>
    </row>
    <row r="355" spans="31:63" x14ac:dyDescent="0.3">
      <c r="AE355" s="367">
        <f t="shared" si="178"/>
        <v>3570000000</v>
      </c>
      <c r="AF355" s="158">
        <v>4250</v>
      </c>
      <c r="AG355" s="41">
        <v>20</v>
      </c>
      <c r="AH355" s="41" t="s">
        <v>376</v>
      </c>
      <c r="AI355" s="362">
        <f t="shared" ref="AI355:AI362" si="180">(AF355-AF354)*4</f>
        <v>100</v>
      </c>
      <c r="AJ355" s="41">
        <f t="shared" ref="AJ355:AJ362" si="181">AI355</f>
        <v>100</v>
      </c>
      <c r="AK355" s="231">
        <v>0.79500000000000004</v>
      </c>
      <c r="AL355" s="433">
        <f t="shared" si="179"/>
        <v>7.95</v>
      </c>
      <c r="AM355" s="41">
        <v>0.13</v>
      </c>
      <c r="AN355" s="158">
        <f t="shared" si="177"/>
        <v>10</v>
      </c>
      <c r="AO355" s="384">
        <f t="shared" ref="AO355:AO362" si="182">(AF355-AF354)*$D$50</f>
        <v>12.145924930488421</v>
      </c>
    </row>
    <row r="356" spans="31:63" x14ac:dyDescent="0.3">
      <c r="AE356" s="367">
        <f t="shared" si="178"/>
        <v>3591000000</v>
      </c>
      <c r="AF356" s="158">
        <v>4275</v>
      </c>
      <c r="AG356" s="41">
        <v>20</v>
      </c>
      <c r="AH356" s="41" t="s">
        <v>376</v>
      </c>
      <c r="AI356" s="362">
        <f t="shared" si="180"/>
        <v>100</v>
      </c>
      <c r="AJ356" s="41">
        <f t="shared" si="181"/>
        <v>100</v>
      </c>
      <c r="AK356" s="231">
        <v>0.79500000000000004</v>
      </c>
      <c r="AL356" s="433">
        <f t="shared" si="179"/>
        <v>7.95</v>
      </c>
      <c r="AM356" s="41">
        <v>0.13</v>
      </c>
      <c r="AN356" s="158">
        <f t="shared" si="177"/>
        <v>10</v>
      </c>
      <c r="AO356" s="384">
        <f t="shared" si="182"/>
        <v>12.145924930488421</v>
      </c>
    </row>
    <row r="357" spans="31:63" x14ac:dyDescent="0.3">
      <c r="AE357" s="367">
        <f t="shared" si="178"/>
        <v>3612000000</v>
      </c>
      <c r="AF357" s="158">
        <v>4300</v>
      </c>
      <c r="AG357" s="41">
        <v>20</v>
      </c>
      <c r="AH357" s="41" t="s">
        <v>376</v>
      </c>
      <c r="AI357" s="362">
        <f t="shared" si="180"/>
        <v>100</v>
      </c>
      <c r="AJ357" s="41">
        <f t="shared" si="181"/>
        <v>100</v>
      </c>
      <c r="AK357" s="231">
        <v>0.79500000000000004</v>
      </c>
      <c r="AL357" s="433">
        <f t="shared" si="179"/>
        <v>7.95</v>
      </c>
      <c r="AM357" s="41">
        <v>0.13</v>
      </c>
      <c r="AN357" s="158">
        <f t="shared" si="177"/>
        <v>10</v>
      </c>
      <c r="AO357" s="384">
        <f t="shared" si="182"/>
        <v>12.145924930488421</v>
      </c>
    </row>
    <row r="358" spans="31:63" x14ac:dyDescent="0.3">
      <c r="AE358" s="367">
        <f t="shared" si="178"/>
        <v>3633000000</v>
      </c>
      <c r="AF358" s="158">
        <v>4325</v>
      </c>
      <c r="AG358" s="41">
        <v>20</v>
      </c>
      <c r="AH358" s="41" t="s">
        <v>376</v>
      </c>
      <c r="AI358" s="362">
        <f t="shared" si="180"/>
        <v>100</v>
      </c>
      <c r="AJ358" s="41">
        <f t="shared" si="181"/>
        <v>100</v>
      </c>
      <c r="AK358" s="231">
        <v>0.79500000000000004</v>
      </c>
      <c r="AL358" s="433">
        <f t="shared" si="179"/>
        <v>7.95</v>
      </c>
      <c r="AM358" s="41">
        <v>0.13</v>
      </c>
      <c r="AN358" s="158">
        <f t="shared" si="177"/>
        <v>10</v>
      </c>
      <c r="AO358" s="384">
        <f t="shared" si="182"/>
        <v>12.145924930488421</v>
      </c>
    </row>
    <row r="359" spans="31:63" x14ac:dyDescent="0.3">
      <c r="AE359" s="367">
        <f t="shared" si="178"/>
        <v>3654000000</v>
      </c>
      <c r="AF359" s="158">
        <v>4350</v>
      </c>
      <c r="AG359" s="41">
        <v>20</v>
      </c>
      <c r="AH359" s="41" t="s">
        <v>376</v>
      </c>
      <c r="AI359" s="362">
        <f t="shared" si="180"/>
        <v>100</v>
      </c>
      <c r="AJ359" s="41">
        <f t="shared" si="181"/>
        <v>100</v>
      </c>
      <c r="AK359" s="231">
        <v>0.79500000000000004</v>
      </c>
      <c r="AL359" s="433">
        <f t="shared" si="179"/>
        <v>7.95</v>
      </c>
      <c r="AM359" s="41">
        <v>0.13</v>
      </c>
      <c r="AN359" s="158">
        <f t="shared" si="177"/>
        <v>10</v>
      </c>
      <c r="AO359" s="384">
        <f t="shared" si="182"/>
        <v>12.145924930488421</v>
      </c>
    </row>
    <row r="360" spans="31:63" x14ac:dyDescent="0.3">
      <c r="AE360" s="367">
        <f t="shared" si="178"/>
        <v>3675000000</v>
      </c>
      <c r="AF360" s="158">
        <v>4375</v>
      </c>
      <c r="AG360" s="41">
        <v>20</v>
      </c>
      <c r="AH360" s="41" t="s">
        <v>376</v>
      </c>
      <c r="AI360" s="362">
        <f t="shared" si="180"/>
        <v>100</v>
      </c>
      <c r="AJ360" s="41">
        <f t="shared" si="181"/>
        <v>100</v>
      </c>
      <c r="AK360" s="231">
        <v>0.79500000000000004</v>
      </c>
      <c r="AL360" s="433">
        <f t="shared" si="179"/>
        <v>7.95</v>
      </c>
      <c r="AM360" s="41">
        <v>0.13</v>
      </c>
      <c r="AN360" s="158">
        <f t="shared" si="177"/>
        <v>10</v>
      </c>
      <c r="AO360" s="384">
        <f t="shared" si="182"/>
        <v>12.145924930488421</v>
      </c>
    </row>
    <row r="361" spans="31:63" x14ac:dyDescent="0.3">
      <c r="AE361" s="367">
        <f t="shared" si="178"/>
        <v>3696000000</v>
      </c>
      <c r="AF361" s="158">
        <v>4400</v>
      </c>
      <c r="AG361" s="41">
        <v>20</v>
      </c>
      <c r="AH361" s="41" t="s">
        <v>376</v>
      </c>
      <c r="AI361" s="362">
        <f t="shared" si="180"/>
        <v>100</v>
      </c>
      <c r="AJ361" s="41">
        <f t="shared" si="181"/>
        <v>100</v>
      </c>
      <c r="AK361" s="231">
        <v>0.79500000000000004</v>
      </c>
      <c r="AL361" s="433">
        <f t="shared" si="179"/>
        <v>7.95</v>
      </c>
      <c r="AM361" s="41">
        <v>0.13</v>
      </c>
      <c r="AN361" s="158">
        <f t="shared" si="177"/>
        <v>10</v>
      </c>
      <c r="AO361" s="384">
        <f t="shared" si="182"/>
        <v>12.145924930488421</v>
      </c>
    </row>
    <row r="362" spans="31:63" ht="15" thickBot="1" x14ac:dyDescent="0.35">
      <c r="AE362" s="375">
        <f t="shared" si="178"/>
        <v>3717000000</v>
      </c>
      <c r="AF362" s="157">
        <v>4425</v>
      </c>
      <c r="AG362" s="229">
        <v>20</v>
      </c>
      <c r="AH362" s="229" t="s">
        <v>376</v>
      </c>
      <c r="AI362" s="364">
        <f t="shared" si="180"/>
        <v>100</v>
      </c>
      <c r="AJ362" s="229">
        <f t="shared" si="181"/>
        <v>100</v>
      </c>
      <c r="AK362" s="372">
        <v>0.79500000000000004</v>
      </c>
      <c r="AL362" s="434">
        <f t="shared" si="179"/>
        <v>7.95</v>
      </c>
      <c r="AM362" s="229">
        <v>0.13</v>
      </c>
      <c r="AN362" s="157">
        <f t="shared" si="177"/>
        <v>10</v>
      </c>
      <c r="AO362" s="386">
        <f t="shared" si="182"/>
        <v>12.145924930488421</v>
      </c>
    </row>
    <row r="363" spans="31:63" x14ac:dyDescent="0.3">
      <c r="AE363" s="193"/>
      <c r="AF363" s="32"/>
      <c r="AG363"/>
      <c r="AH363"/>
      <c r="AI363"/>
      <c r="AJ363"/>
      <c r="AK363">
        <f>SUM(AK185:AK362)</f>
        <v>149.9199999999999</v>
      </c>
      <c r="AL363" s="427">
        <f t="shared" ref="AL363:AO363" si="183">SUM(AL185:AL362)</f>
        <v>1499.200000000005</v>
      </c>
      <c r="AM363" s="145">
        <f t="shared" si="183"/>
        <v>25.129999999999974</v>
      </c>
      <c r="AN363" s="145">
        <f t="shared" si="183"/>
        <v>1770</v>
      </c>
      <c r="AO363" s="193">
        <f t="shared" si="183"/>
        <v>2337.682787765968</v>
      </c>
    </row>
    <row r="365" spans="31:63" ht="16.2" thickBot="1" x14ac:dyDescent="0.35">
      <c r="AE365" s="503" t="s">
        <v>523</v>
      </c>
      <c r="AF365" s="503"/>
      <c r="AG365" s="503"/>
      <c r="AH365" s="503"/>
      <c r="AI365" s="503"/>
      <c r="AJ365" s="503"/>
      <c r="AK365" s="503"/>
      <c r="AL365" s="503"/>
      <c r="AM365" s="503"/>
      <c r="AN365" s="503"/>
      <c r="AO365" s="503"/>
      <c r="AP365" s="378"/>
      <c r="AQ365" s="504" t="s">
        <v>524</v>
      </c>
      <c r="AR365" s="504"/>
      <c r="AS365" s="504"/>
      <c r="AT365" s="504"/>
      <c r="AU365" s="504"/>
      <c r="AV365" s="504"/>
      <c r="AW365" s="504"/>
      <c r="AX365" s="504"/>
      <c r="AY365" s="504"/>
      <c r="AZ365" s="504"/>
      <c r="BA365" s="504"/>
      <c r="BB365" s="504"/>
      <c r="BC365" s="504"/>
      <c r="BD365" s="504"/>
      <c r="BE365" s="504"/>
      <c r="BF365" s="504"/>
      <c r="BG365" s="504"/>
      <c r="BH365" s="504"/>
      <c r="BI365" s="504"/>
      <c r="BJ365" s="504"/>
      <c r="BK365" s="103"/>
    </row>
    <row r="366" spans="31:63" x14ac:dyDescent="0.3">
      <c r="AE366" s="429" t="s">
        <v>354</v>
      </c>
      <c r="AF366" s="236" t="s">
        <v>513</v>
      </c>
      <c r="AG366" s="407" t="s">
        <v>367</v>
      </c>
      <c r="AH366" s="407" t="s">
        <v>328</v>
      </c>
      <c r="AI366" s="407" t="s">
        <v>514</v>
      </c>
      <c r="AJ366" s="407" t="s">
        <v>515</v>
      </c>
      <c r="AK366" s="407" t="s">
        <v>529</v>
      </c>
      <c r="AL366" s="432" t="s">
        <v>516</v>
      </c>
      <c r="AM366" s="407" t="s">
        <v>517</v>
      </c>
      <c r="AN366" s="366" t="s">
        <v>518</v>
      </c>
      <c r="AO366" s="408" t="s">
        <v>519</v>
      </c>
      <c r="AQ366" s="406">
        <v>2024</v>
      </c>
      <c r="AR366" s="407">
        <v>2025</v>
      </c>
      <c r="AS366" s="407">
        <v>2026</v>
      </c>
      <c r="AT366" s="407">
        <v>2027</v>
      </c>
      <c r="AU366" s="407">
        <v>2028</v>
      </c>
      <c r="AV366" s="407">
        <v>2029</v>
      </c>
      <c r="AW366" s="407">
        <v>2030</v>
      </c>
      <c r="AX366" s="407">
        <v>2031</v>
      </c>
      <c r="AY366" s="407">
        <v>2032</v>
      </c>
      <c r="AZ366" s="407">
        <v>2033</v>
      </c>
      <c r="BA366" s="407">
        <v>2034</v>
      </c>
      <c r="BB366" s="407">
        <v>2035</v>
      </c>
      <c r="BC366" s="407">
        <v>2036</v>
      </c>
      <c r="BD366" s="407">
        <v>2037</v>
      </c>
      <c r="BE366" s="407">
        <v>2038</v>
      </c>
      <c r="BF366" s="407">
        <v>2039</v>
      </c>
      <c r="BG366" s="407">
        <v>2040</v>
      </c>
      <c r="BH366" s="407">
        <v>2041</v>
      </c>
      <c r="BI366" s="407">
        <v>2042</v>
      </c>
      <c r="BJ366" s="407">
        <v>2043</v>
      </c>
      <c r="BK366" s="408" t="s">
        <v>520</v>
      </c>
    </row>
    <row r="367" spans="31:63" x14ac:dyDescent="0.3">
      <c r="AE367" s="367">
        <f>AE185</f>
        <v>0</v>
      </c>
      <c r="AF367" s="41">
        <v>0</v>
      </c>
      <c r="AG367" s="41">
        <v>0</v>
      </c>
      <c r="AH367" s="41" t="s">
        <v>376</v>
      </c>
      <c r="AI367" s="41">
        <v>0</v>
      </c>
      <c r="AJ367" s="41">
        <v>0</v>
      </c>
      <c r="AK367" s="232">
        <f t="shared" ref="AK367:AK388" si="184">AK185*$B$5</f>
        <v>0</v>
      </c>
      <c r="AL367" s="433">
        <f t="shared" ref="AL367:AL387" si="185">AL185*$B$6</f>
        <v>0</v>
      </c>
      <c r="AM367" s="224">
        <f t="shared" ref="AM367:AM387" si="186">AM185*$B$7</f>
        <v>0</v>
      </c>
      <c r="AN367" s="368">
        <f t="shared" ref="AN367:AN387" si="187">(AK367+AL367)*(AN185/100)</f>
        <v>0</v>
      </c>
      <c r="AO367" s="369">
        <f t="shared" ref="AO367:AO387" si="188">AO185*$B$9</f>
        <v>0</v>
      </c>
      <c r="AQ367" s="388">
        <f t="shared" ref="AQ367:AQ430" si="189">(AM367+AN367+AO367)</f>
        <v>0</v>
      </c>
      <c r="AR367" s="389">
        <f t="shared" ref="AR367:BJ367" si="190">$AQ$367/POWER(1+($B$10/100),AR366-2024)</f>
        <v>0</v>
      </c>
      <c r="AS367" s="389">
        <f t="shared" si="190"/>
        <v>0</v>
      </c>
      <c r="AT367" s="389">
        <f t="shared" si="190"/>
        <v>0</v>
      </c>
      <c r="AU367" s="389">
        <f t="shared" si="190"/>
        <v>0</v>
      </c>
      <c r="AV367" s="389">
        <f t="shared" si="190"/>
        <v>0</v>
      </c>
      <c r="AW367" s="389">
        <f t="shared" si="190"/>
        <v>0</v>
      </c>
      <c r="AX367" s="389">
        <f t="shared" si="190"/>
        <v>0</v>
      </c>
      <c r="AY367" s="389">
        <f t="shared" si="190"/>
        <v>0</v>
      </c>
      <c r="AZ367" s="389">
        <f t="shared" si="190"/>
        <v>0</v>
      </c>
      <c r="BA367" s="389">
        <f t="shared" si="190"/>
        <v>0</v>
      </c>
      <c r="BB367" s="389">
        <f t="shared" si="190"/>
        <v>0</v>
      </c>
      <c r="BC367" s="389">
        <f t="shared" si="190"/>
        <v>0</v>
      </c>
      <c r="BD367" s="389">
        <f t="shared" si="190"/>
        <v>0</v>
      </c>
      <c r="BE367" s="389">
        <f t="shared" si="190"/>
        <v>0</v>
      </c>
      <c r="BF367" s="389">
        <f t="shared" si="190"/>
        <v>0</v>
      </c>
      <c r="BG367" s="389">
        <f t="shared" si="190"/>
        <v>0</v>
      </c>
      <c r="BH367" s="389">
        <f t="shared" si="190"/>
        <v>0</v>
      </c>
      <c r="BI367" s="389">
        <f t="shared" si="190"/>
        <v>0</v>
      </c>
      <c r="BJ367" s="389">
        <f t="shared" si="190"/>
        <v>0</v>
      </c>
      <c r="BK367" s="390">
        <f t="shared" ref="BK367:BK430" si="191">SUM(AQ367:BJ367)</f>
        <v>0</v>
      </c>
    </row>
    <row r="368" spans="31:63" x14ac:dyDescent="0.3">
      <c r="AE368" s="367">
        <f>AE186</f>
        <v>21000000</v>
      </c>
      <c r="AF368" s="158">
        <f t="shared" ref="AF368:AF387" si="192">AF186</f>
        <v>25</v>
      </c>
      <c r="AG368" s="41">
        <v>1</v>
      </c>
      <c r="AH368" s="41" t="s">
        <v>376</v>
      </c>
      <c r="AI368" s="362">
        <f t="shared" ref="AI368:AI387" si="193">AI186*$B$3</f>
        <v>30</v>
      </c>
      <c r="AJ368" s="370">
        <f t="shared" ref="AJ368:AJ387" si="194">AJ186*$B$4</f>
        <v>27</v>
      </c>
      <c r="AK368" s="232">
        <f t="shared" si="184"/>
        <v>5</v>
      </c>
      <c r="AL368" s="433">
        <f t="shared" si="185"/>
        <v>2</v>
      </c>
      <c r="AM368" s="224">
        <f t="shared" si="186"/>
        <v>2.7E-2</v>
      </c>
      <c r="AN368" s="368">
        <f t="shared" si="187"/>
        <v>0.70000000000000007</v>
      </c>
      <c r="AO368" s="369">
        <f t="shared" si="188"/>
        <v>38</v>
      </c>
      <c r="AQ368" s="388">
        <f t="shared" si="189"/>
        <v>38.726999999999997</v>
      </c>
      <c r="AR368" s="389">
        <f t="shared" ref="AR368:BJ368" si="195">$AQ$368/POWER(1+($B$10/100),AR366-2024)</f>
        <v>37.599029126213587</v>
      </c>
      <c r="AS368" s="389">
        <f t="shared" si="195"/>
        <v>36.503911773022907</v>
      </c>
      <c r="AT368" s="389">
        <f t="shared" si="195"/>
        <v>35.44069104176981</v>
      </c>
      <c r="AU368" s="389">
        <f t="shared" si="195"/>
        <v>34.408437904630887</v>
      </c>
      <c r="AV368" s="389">
        <f t="shared" si="195"/>
        <v>33.406250392845521</v>
      </c>
      <c r="AW368" s="389">
        <f t="shared" si="195"/>
        <v>32.433252808587881</v>
      </c>
      <c r="AX368" s="389">
        <f t="shared" si="195"/>
        <v>31.488594959794057</v>
      </c>
      <c r="AY368" s="389">
        <f t="shared" si="195"/>
        <v>30.571451417275789</v>
      </c>
      <c r="AZ368" s="389">
        <f t="shared" si="195"/>
        <v>29.681020793471639</v>
      </c>
      <c r="BA368" s="389">
        <f t="shared" si="195"/>
        <v>28.816525042205473</v>
      </c>
      <c r="BB368" s="389">
        <f t="shared" si="195"/>
        <v>27.977208778840264</v>
      </c>
      <c r="BC368" s="389">
        <f t="shared" si="195"/>
        <v>27.162338620233271</v>
      </c>
      <c r="BD368" s="389">
        <f t="shared" si="195"/>
        <v>26.3712025439158</v>
      </c>
      <c r="BE368" s="389">
        <f t="shared" si="195"/>
        <v>25.603109265937665</v>
      </c>
      <c r="BF368" s="389">
        <f t="shared" si="195"/>
        <v>24.857387636832684</v>
      </c>
      <c r="BG368" s="389">
        <f t="shared" si="195"/>
        <v>24.133386055177368</v>
      </c>
      <c r="BH368" s="389">
        <f t="shared" si="195"/>
        <v>23.430471898230454</v>
      </c>
      <c r="BI368" s="389">
        <f t="shared" si="195"/>
        <v>22.748030969155781</v>
      </c>
      <c r="BJ368" s="389">
        <f t="shared" si="195"/>
        <v>22.085466960345418</v>
      </c>
      <c r="BK368" s="390">
        <f>SUM(AQ368:BJ368)</f>
        <v>593.44476798848643</v>
      </c>
    </row>
    <row r="369" spans="31:63" x14ac:dyDescent="0.3">
      <c r="AE369" s="367">
        <f t="shared" ref="AE369:AE432" si="196">AE187</f>
        <v>42000000</v>
      </c>
      <c r="AF369" s="158">
        <f t="shared" si="192"/>
        <v>50</v>
      </c>
      <c r="AG369" s="41">
        <v>2</v>
      </c>
      <c r="AH369" s="41" t="s">
        <v>376</v>
      </c>
      <c r="AI369" s="362">
        <f t="shared" si="193"/>
        <v>30</v>
      </c>
      <c r="AJ369" s="370">
        <f t="shared" si="194"/>
        <v>27</v>
      </c>
      <c r="AK369" s="232">
        <f t="shared" si="184"/>
        <v>0.39750000000000002</v>
      </c>
      <c r="AL369" s="433">
        <f t="shared" si="185"/>
        <v>0.159</v>
      </c>
      <c r="AM369" s="224">
        <f t="shared" si="186"/>
        <v>1.5600000000000002E-3</v>
      </c>
      <c r="AN369" s="368">
        <f t="shared" si="187"/>
        <v>5.5650000000000005E-2</v>
      </c>
      <c r="AO369" s="369">
        <f t="shared" si="188"/>
        <v>2.3077257367928001</v>
      </c>
      <c r="AQ369" s="388">
        <f t="shared" si="189"/>
        <v>2.3649357367928001</v>
      </c>
      <c r="AR369" s="389">
        <f t="shared" ref="AR369:BJ369" si="197">$AQ$369/POWER(1+($B$10/100),AR366-2024)</f>
        <v>2.2960541133910679</v>
      </c>
      <c r="AS369" s="389">
        <f t="shared" si="197"/>
        <v>2.2291787508651146</v>
      </c>
      <c r="AT369" s="389">
        <f t="shared" si="197"/>
        <v>2.16425121443215</v>
      </c>
      <c r="AU369" s="389">
        <f t="shared" si="197"/>
        <v>2.1012147712933498</v>
      </c>
      <c r="AV369" s="389">
        <f t="shared" si="197"/>
        <v>2.0400143410615046</v>
      </c>
      <c r="AW369" s="389">
        <f t="shared" si="197"/>
        <v>1.9805964476325288</v>
      </c>
      <c r="AX369" s="389">
        <f t="shared" si="197"/>
        <v>1.9229091724587657</v>
      </c>
      <c r="AY369" s="389">
        <f t="shared" si="197"/>
        <v>1.8669021091832678</v>
      </c>
      <c r="AZ369" s="389">
        <f t="shared" si="197"/>
        <v>1.8125263195954056</v>
      </c>
      <c r="BA369" s="389">
        <f t="shared" si="197"/>
        <v>1.7597342908693259</v>
      </c>
      <c r="BB369" s="389">
        <f t="shared" si="197"/>
        <v>1.7084798940478891</v>
      </c>
      <c r="BC369" s="389">
        <f t="shared" si="197"/>
        <v>1.6587183437358151</v>
      </c>
      <c r="BD369" s="389">
        <f t="shared" si="197"/>
        <v>1.6104061589668108</v>
      </c>
      <c r="BE369" s="389">
        <f t="shared" si="197"/>
        <v>1.5635011252104958</v>
      </c>
      <c r="BF369" s="389">
        <f t="shared" si="197"/>
        <v>1.517962257485918</v>
      </c>
      <c r="BG369" s="389">
        <f t="shared" si="197"/>
        <v>1.4737497645494353</v>
      </c>
      <c r="BH369" s="389">
        <f t="shared" si="197"/>
        <v>1.4308250141256653</v>
      </c>
      <c r="BI369" s="389">
        <f t="shared" si="197"/>
        <v>1.3891504991511314</v>
      </c>
      <c r="BJ369" s="389">
        <f t="shared" si="197"/>
        <v>1.3486898050010985</v>
      </c>
      <c r="BK369" s="390">
        <f>SUM(AQ369:BJ369)</f>
        <v>36.239800129849542</v>
      </c>
    </row>
    <row r="370" spans="31:63" x14ac:dyDescent="0.3">
      <c r="AE370" s="367">
        <f t="shared" si="196"/>
        <v>63000000</v>
      </c>
      <c r="AF370" s="158">
        <f t="shared" si="192"/>
        <v>75</v>
      </c>
      <c r="AG370" s="41">
        <v>3</v>
      </c>
      <c r="AH370" s="41" t="s">
        <v>376</v>
      </c>
      <c r="AI370" s="362">
        <f t="shared" si="193"/>
        <v>30</v>
      </c>
      <c r="AJ370" s="370">
        <f t="shared" si="194"/>
        <v>27</v>
      </c>
      <c r="AK370" s="232">
        <f t="shared" si="184"/>
        <v>0.39750000000000002</v>
      </c>
      <c r="AL370" s="433">
        <f t="shared" si="185"/>
        <v>0.159</v>
      </c>
      <c r="AM370" s="224">
        <f t="shared" si="186"/>
        <v>1.5600000000000002E-3</v>
      </c>
      <c r="AN370" s="368">
        <f t="shared" si="187"/>
        <v>5.5650000000000005E-2</v>
      </c>
      <c r="AO370" s="369">
        <f t="shared" si="188"/>
        <v>2.3077257367928001</v>
      </c>
      <c r="AQ370" s="388">
        <f t="shared" si="189"/>
        <v>2.3649357367928001</v>
      </c>
      <c r="AR370" s="389">
        <f t="shared" ref="AR370:BJ370" si="198">$AQ$370/POWER(1+($B$10/100),AR366-2024)</f>
        <v>2.2960541133910679</v>
      </c>
      <c r="AS370" s="389">
        <f t="shared" si="198"/>
        <v>2.2291787508651146</v>
      </c>
      <c r="AT370" s="389">
        <f t="shared" si="198"/>
        <v>2.16425121443215</v>
      </c>
      <c r="AU370" s="389">
        <f t="shared" si="198"/>
        <v>2.1012147712933498</v>
      </c>
      <c r="AV370" s="389">
        <f t="shared" si="198"/>
        <v>2.0400143410615046</v>
      </c>
      <c r="AW370" s="389">
        <f t="shared" si="198"/>
        <v>1.9805964476325288</v>
      </c>
      <c r="AX370" s="389">
        <f t="shared" si="198"/>
        <v>1.9229091724587657</v>
      </c>
      <c r="AY370" s="389">
        <f t="shared" si="198"/>
        <v>1.8669021091832678</v>
      </c>
      <c r="AZ370" s="389">
        <f t="shared" si="198"/>
        <v>1.8125263195954056</v>
      </c>
      <c r="BA370" s="389">
        <f t="shared" si="198"/>
        <v>1.7597342908693259</v>
      </c>
      <c r="BB370" s="389">
        <f t="shared" si="198"/>
        <v>1.7084798940478891</v>
      </c>
      <c r="BC370" s="389">
        <f t="shared" si="198"/>
        <v>1.6587183437358151</v>
      </c>
      <c r="BD370" s="389">
        <f t="shared" si="198"/>
        <v>1.6104061589668108</v>
      </c>
      <c r="BE370" s="389">
        <f t="shared" si="198"/>
        <v>1.5635011252104958</v>
      </c>
      <c r="BF370" s="389">
        <f t="shared" si="198"/>
        <v>1.517962257485918</v>
      </c>
      <c r="BG370" s="389">
        <f t="shared" si="198"/>
        <v>1.4737497645494353</v>
      </c>
      <c r="BH370" s="389">
        <f t="shared" si="198"/>
        <v>1.4308250141256653</v>
      </c>
      <c r="BI370" s="389">
        <f t="shared" si="198"/>
        <v>1.3891504991511314</v>
      </c>
      <c r="BJ370" s="389">
        <f t="shared" si="198"/>
        <v>1.3486898050010985</v>
      </c>
      <c r="BK370" s="390">
        <f>SUM(AQ370:BJ370)</f>
        <v>36.239800129849542</v>
      </c>
    </row>
    <row r="371" spans="31:63" x14ac:dyDescent="0.3">
      <c r="AE371" s="367">
        <f t="shared" si="196"/>
        <v>84000000</v>
      </c>
      <c r="AF371" s="158">
        <f t="shared" si="192"/>
        <v>100</v>
      </c>
      <c r="AG371" s="41">
        <v>4</v>
      </c>
      <c r="AH371" s="41" t="s">
        <v>376</v>
      </c>
      <c r="AI371" s="362">
        <f t="shared" si="193"/>
        <v>30</v>
      </c>
      <c r="AJ371" s="370">
        <f t="shared" si="194"/>
        <v>27</v>
      </c>
      <c r="AK371" s="232">
        <f t="shared" si="184"/>
        <v>0.39750000000000002</v>
      </c>
      <c r="AL371" s="433">
        <f t="shared" si="185"/>
        <v>0.159</v>
      </c>
      <c r="AM371" s="224">
        <f t="shared" si="186"/>
        <v>1.5600000000000002E-3</v>
      </c>
      <c r="AN371" s="368">
        <f t="shared" si="187"/>
        <v>5.5650000000000005E-2</v>
      </c>
      <c r="AO371" s="369">
        <f t="shared" si="188"/>
        <v>2.3077257367928001</v>
      </c>
      <c r="AQ371" s="388">
        <f t="shared" si="189"/>
        <v>2.3649357367928001</v>
      </c>
      <c r="AR371" s="389">
        <f t="shared" ref="AR371:BJ371" si="199">$AQ$371/POWER(1+($B$10/100),AR366-2024)</f>
        <v>2.2960541133910679</v>
      </c>
      <c r="AS371" s="389">
        <f t="shared" si="199"/>
        <v>2.2291787508651146</v>
      </c>
      <c r="AT371" s="389">
        <f t="shared" si="199"/>
        <v>2.16425121443215</v>
      </c>
      <c r="AU371" s="389">
        <f t="shared" si="199"/>
        <v>2.1012147712933498</v>
      </c>
      <c r="AV371" s="389">
        <f t="shared" si="199"/>
        <v>2.0400143410615046</v>
      </c>
      <c r="AW371" s="389">
        <f t="shared" si="199"/>
        <v>1.9805964476325288</v>
      </c>
      <c r="AX371" s="389">
        <f t="shared" si="199"/>
        <v>1.9229091724587657</v>
      </c>
      <c r="AY371" s="389">
        <f t="shared" si="199"/>
        <v>1.8669021091832678</v>
      </c>
      <c r="AZ371" s="389">
        <f t="shared" si="199"/>
        <v>1.8125263195954056</v>
      </c>
      <c r="BA371" s="389">
        <f t="shared" si="199"/>
        <v>1.7597342908693259</v>
      </c>
      <c r="BB371" s="389">
        <f t="shared" si="199"/>
        <v>1.7084798940478891</v>
      </c>
      <c r="BC371" s="389">
        <f t="shared" si="199"/>
        <v>1.6587183437358151</v>
      </c>
      <c r="BD371" s="389">
        <f t="shared" si="199"/>
        <v>1.6104061589668108</v>
      </c>
      <c r="BE371" s="389">
        <f t="shared" si="199"/>
        <v>1.5635011252104958</v>
      </c>
      <c r="BF371" s="389">
        <f t="shared" si="199"/>
        <v>1.517962257485918</v>
      </c>
      <c r="BG371" s="389">
        <f t="shared" si="199"/>
        <v>1.4737497645494353</v>
      </c>
      <c r="BH371" s="389">
        <f t="shared" si="199"/>
        <v>1.4308250141256653</v>
      </c>
      <c r="BI371" s="389">
        <f t="shared" si="199"/>
        <v>1.3891504991511314</v>
      </c>
      <c r="BJ371" s="389">
        <f t="shared" si="199"/>
        <v>1.3486898050010985</v>
      </c>
      <c r="BK371" s="390">
        <f>SUM(AQ371:BJ371)</f>
        <v>36.239800129849542</v>
      </c>
    </row>
    <row r="372" spans="31:63" x14ac:dyDescent="0.3">
      <c r="AE372" s="367">
        <f t="shared" si="196"/>
        <v>105000000</v>
      </c>
      <c r="AF372" s="158">
        <f t="shared" si="192"/>
        <v>125</v>
      </c>
      <c r="AG372" s="41">
        <v>5</v>
      </c>
      <c r="AH372" s="41" t="s">
        <v>376</v>
      </c>
      <c r="AI372" s="362">
        <f t="shared" si="193"/>
        <v>30</v>
      </c>
      <c r="AJ372" s="370">
        <f t="shared" si="194"/>
        <v>27</v>
      </c>
      <c r="AK372" s="232">
        <f t="shared" si="184"/>
        <v>0.39750000000000002</v>
      </c>
      <c r="AL372" s="433">
        <f t="shared" si="185"/>
        <v>0.159</v>
      </c>
      <c r="AM372" s="224">
        <f t="shared" si="186"/>
        <v>1.5600000000000002E-3</v>
      </c>
      <c r="AN372" s="368">
        <f t="shared" si="187"/>
        <v>5.5650000000000005E-2</v>
      </c>
      <c r="AO372" s="369">
        <f t="shared" si="188"/>
        <v>2.3077257367928001</v>
      </c>
      <c r="AQ372" s="388">
        <f t="shared" si="189"/>
        <v>2.3649357367928001</v>
      </c>
      <c r="AR372" s="389">
        <f t="shared" ref="AR372:BJ372" si="200">$AQ$372/POWER(1+($B$10/100),AR366-2024)</f>
        <v>2.2960541133910679</v>
      </c>
      <c r="AS372" s="389">
        <f t="shared" si="200"/>
        <v>2.2291787508651146</v>
      </c>
      <c r="AT372" s="389">
        <f t="shared" si="200"/>
        <v>2.16425121443215</v>
      </c>
      <c r="AU372" s="389">
        <f t="shared" si="200"/>
        <v>2.1012147712933498</v>
      </c>
      <c r="AV372" s="389">
        <f t="shared" si="200"/>
        <v>2.0400143410615046</v>
      </c>
      <c r="AW372" s="389">
        <f t="shared" si="200"/>
        <v>1.9805964476325288</v>
      </c>
      <c r="AX372" s="389">
        <f t="shared" si="200"/>
        <v>1.9229091724587657</v>
      </c>
      <c r="AY372" s="389">
        <f t="shared" si="200"/>
        <v>1.8669021091832678</v>
      </c>
      <c r="AZ372" s="389">
        <f t="shared" si="200"/>
        <v>1.8125263195954056</v>
      </c>
      <c r="BA372" s="389">
        <f t="shared" si="200"/>
        <v>1.7597342908693259</v>
      </c>
      <c r="BB372" s="389">
        <f t="shared" si="200"/>
        <v>1.7084798940478891</v>
      </c>
      <c r="BC372" s="389">
        <f t="shared" si="200"/>
        <v>1.6587183437358151</v>
      </c>
      <c r="BD372" s="389">
        <f t="shared" si="200"/>
        <v>1.6104061589668108</v>
      </c>
      <c r="BE372" s="389">
        <f t="shared" si="200"/>
        <v>1.5635011252104958</v>
      </c>
      <c r="BF372" s="389">
        <f t="shared" si="200"/>
        <v>1.517962257485918</v>
      </c>
      <c r="BG372" s="389">
        <f t="shared" si="200"/>
        <v>1.4737497645494353</v>
      </c>
      <c r="BH372" s="389">
        <f t="shared" si="200"/>
        <v>1.4308250141256653</v>
      </c>
      <c r="BI372" s="389">
        <f t="shared" si="200"/>
        <v>1.3891504991511314</v>
      </c>
      <c r="BJ372" s="389">
        <f t="shared" si="200"/>
        <v>1.3486898050010985</v>
      </c>
      <c r="BK372" s="390">
        <f t="shared" si="191"/>
        <v>36.239800129849542</v>
      </c>
    </row>
    <row r="373" spans="31:63" x14ac:dyDescent="0.3">
      <c r="AE373" s="367">
        <f t="shared" si="196"/>
        <v>126000000</v>
      </c>
      <c r="AF373" s="158">
        <f t="shared" si="192"/>
        <v>150</v>
      </c>
      <c r="AG373" s="41">
        <v>6</v>
      </c>
      <c r="AH373" s="41" t="s">
        <v>376</v>
      </c>
      <c r="AI373" s="362">
        <f t="shared" si="193"/>
        <v>30</v>
      </c>
      <c r="AJ373" s="370">
        <f t="shared" si="194"/>
        <v>27</v>
      </c>
      <c r="AK373" s="232">
        <f t="shared" si="184"/>
        <v>0.39750000000000002</v>
      </c>
      <c r="AL373" s="433">
        <f t="shared" si="185"/>
        <v>0.159</v>
      </c>
      <c r="AM373" s="224">
        <f t="shared" si="186"/>
        <v>1.5600000000000002E-3</v>
      </c>
      <c r="AN373" s="368">
        <f t="shared" si="187"/>
        <v>5.5650000000000005E-2</v>
      </c>
      <c r="AO373" s="369">
        <f t="shared" si="188"/>
        <v>2.3077257367928001</v>
      </c>
      <c r="AQ373" s="388">
        <f t="shared" si="189"/>
        <v>2.3649357367928001</v>
      </c>
      <c r="AR373" s="389">
        <f t="shared" ref="AR373:BJ373" si="201">$AQ$373/POWER(1+($B$10/100),AR366-2024)</f>
        <v>2.2960541133910679</v>
      </c>
      <c r="AS373" s="389">
        <f t="shared" si="201"/>
        <v>2.2291787508651146</v>
      </c>
      <c r="AT373" s="389">
        <f t="shared" si="201"/>
        <v>2.16425121443215</v>
      </c>
      <c r="AU373" s="389">
        <f t="shared" si="201"/>
        <v>2.1012147712933498</v>
      </c>
      <c r="AV373" s="389">
        <f t="shared" si="201"/>
        <v>2.0400143410615046</v>
      </c>
      <c r="AW373" s="389">
        <f t="shared" si="201"/>
        <v>1.9805964476325288</v>
      </c>
      <c r="AX373" s="389">
        <f t="shared" si="201"/>
        <v>1.9229091724587657</v>
      </c>
      <c r="AY373" s="389">
        <f t="shared" si="201"/>
        <v>1.8669021091832678</v>
      </c>
      <c r="AZ373" s="389">
        <f t="shared" si="201"/>
        <v>1.8125263195954056</v>
      </c>
      <c r="BA373" s="389">
        <f t="shared" si="201"/>
        <v>1.7597342908693259</v>
      </c>
      <c r="BB373" s="389">
        <f t="shared" si="201"/>
        <v>1.7084798940478891</v>
      </c>
      <c r="BC373" s="389">
        <f t="shared" si="201"/>
        <v>1.6587183437358151</v>
      </c>
      <c r="BD373" s="389">
        <f t="shared" si="201"/>
        <v>1.6104061589668108</v>
      </c>
      <c r="BE373" s="389">
        <f t="shared" si="201"/>
        <v>1.5635011252104958</v>
      </c>
      <c r="BF373" s="389">
        <f t="shared" si="201"/>
        <v>1.517962257485918</v>
      </c>
      <c r="BG373" s="389">
        <f t="shared" si="201"/>
        <v>1.4737497645494353</v>
      </c>
      <c r="BH373" s="389">
        <f t="shared" si="201"/>
        <v>1.4308250141256653</v>
      </c>
      <c r="BI373" s="389">
        <f t="shared" si="201"/>
        <v>1.3891504991511314</v>
      </c>
      <c r="BJ373" s="389">
        <f t="shared" si="201"/>
        <v>1.3486898050010985</v>
      </c>
      <c r="BK373" s="390">
        <f t="shared" si="191"/>
        <v>36.239800129849542</v>
      </c>
    </row>
    <row r="374" spans="31:63" x14ac:dyDescent="0.3">
      <c r="AE374" s="367">
        <f t="shared" si="196"/>
        <v>147000000</v>
      </c>
      <c r="AF374" s="158">
        <f t="shared" si="192"/>
        <v>175</v>
      </c>
      <c r="AG374" s="41">
        <v>7</v>
      </c>
      <c r="AH374" s="41" t="s">
        <v>376</v>
      </c>
      <c r="AI374" s="362">
        <f t="shared" si="193"/>
        <v>30</v>
      </c>
      <c r="AJ374" s="370">
        <f t="shared" si="194"/>
        <v>27</v>
      </c>
      <c r="AK374" s="232">
        <f t="shared" si="184"/>
        <v>0.39750000000000002</v>
      </c>
      <c r="AL374" s="433">
        <f t="shared" si="185"/>
        <v>0.159</v>
      </c>
      <c r="AM374" s="224">
        <f t="shared" si="186"/>
        <v>1.5600000000000002E-3</v>
      </c>
      <c r="AN374" s="368">
        <f t="shared" si="187"/>
        <v>5.5650000000000005E-2</v>
      </c>
      <c r="AO374" s="369">
        <f t="shared" si="188"/>
        <v>2.3077257367928001</v>
      </c>
      <c r="AQ374" s="388">
        <f t="shared" si="189"/>
        <v>2.3649357367928001</v>
      </c>
      <c r="AR374" s="389">
        <f t="shared" ref="AR374:BJ374" si="202">$AQ$374/POWER(1+($B$10/100),AR366-2024)</f>
        <v>2.2960541133910679</v>
      </c>
      <c r="AS374" s="389">
        <f t="shared" si="202"/>
        <v>2.2291787508651146</v>
      </c>
      <c r="AT374" s="389">
        <f t="shared" si="202"/>
        <v>2.16425121443215</v>
      </c>
      <c r="AU374" s="389">
        <f t="shared" si="202"/>
        <v>2.1012147712933498</v>
      </c>
      <c r="AV374" s="389">
        <f t="shared" si="202"/>
        <v>2.0400143410615046</v>
      </c>
      <c r="AW374" s="389">
        <f t="shared" si="202"/>
        <v>1.9805964476325288</v>
      </c>
      <c r="AX374" s="389">
        <f t="shared" si="202"/>
        <v>1.9229091724587657</v>
      </c>
      <c r="AY374" s="389">
        <f t="shared" si="202"/>
        <v>1.8669021091832678</v>
      </c>
      <c r="AZ374" s="389">
        <f t="shared" si="202"/>
        <v>1.8125263195954056</v>
      </c>
      <c r="BA374" s="389">
        <f t="shared" si="202"/>
        <v>1.7597342908693259</v>
      </c>
      <c r="BB374" s="389">
        <f t="shared" si="202"/>
        <v>1.7084798940478891</v>
      </c>
      <c r="BC374" s="389">
        <f t="shared" si="202"/>
        <v>1.6587183437358151</v>
      </c>
      <c r="BD374" s="389">
        <f t="shared" si="202"/>
        <v>1.6104061589668108</v>
      </c>
      <c r="BE374" s="389">
        <f t="shared" si="202"/>
        <v>1.5635011252104958</v>
      </c>
      <c r="BF374" s="389">
        <f t="shared" si="202"/>
        <v>1.517962257485918</v>
      </c>
      <c r="BG374" s="389">
        <f t="shared" si="202"/>
        <v>1.4737497645494353</v>
      </c>
      <c r="BH374" s="389">
        <f t="shared" si="202"/>
        <v>1.4308250141256653</v>
      </c>
      <c r="BI374" s="389">
        <f t="shared" si="202"/>
        <v>1.3891504991511314</v>
      </c>
      <c r="BJ374" s="389">
        <f t="shared" si="202"/>
        <v>1.3486898050010985</v>
      </c>
      <c r="BK374" s="390">
        <f t="shared" si="191"/>
        <v>36.239800129849542</v>
      </c>
    </row>
    <row r="375" spans="31:63" x14ac:dyDescent="0.3">
      <c r="AE375" s="367">
        <f t="shared" si="196"/>
        <v>168000000</v>
      </c>
      <c r="AF375" s="158">
        <f t="shared" si="192"/>
        <v>200</v>
      </c>
      <c r="AG375" s="41">
        <v>8</v>
      </c>
      <c r="AH375" s="41" t="s">
        <v>376</v>
      </c>
      <c r="AI375" s="362">
        <f t="shared" si="193"/>
        <v>30</v>
      </c>
      <c r="AJ375" s="370">
        <f t="shared" si="194"/>
        <v>27</v>
      </c>
      <c r="AK375" s="232">
        <f t="shared" si="184"/>
        <v>0.39750000000000002</v>
      </c>
      <c r="AL375" s="433">
        <f t="shared" si="185"/>
        <v>0.159</v>
      </c>
      <c r="AM375" s="224">
        <f t="shared" si="186"/>
        <v>1.5600000000000002E-3</v>
      </c>
      <c r="AN375" s="368">
        <f t="shared" si="187"/>
        <v>5.5650000000000005E-2</v>
      </c>
      <c r="AO375" s="369">
        <f t="shared" si="188"/>
        <v>2.3077257367928001</v>
      </c>
      <c r="AQ375" s="388">
        <f t="shared" si="189"/>
        <v>2.3649357367928001</v>
      </c>
      <c r="AR375" s="389">
        <f t="shared" ref="AR375:BJ375" si="203">$AQ$375/POWER(1+($B$10/100),AR366-2024)</f>
        <v>2.2960541133910679</v>
      </c>
      <c r="AS375" s="389">
        <f t="shared" si="203"/>
        <v>2.2291787508651146</v>
      </c>
      <c r="AT375" s="389">
        <f t="shared" si="203"/>
        <v>2.16425121443215</v>
      </c>
      <c r="AU375" s="389">
        <f t="shared" si="203"/>
        <v>2.1012147712933498</v>
      </c>
      <c r="AV375" s="389">
        <f t="shared" si="203"/>
        <v>2.0400143410615046</v>
      </c>
      <c r="AW375" s="389">
        <f t="shared" si="203"/>
        <v>1.9805964476325288</v>
      </c>
      <c r="AX375" s="389">
        <f t="shared" si="203"/>
        <v>1.9229091724587657</v>
      </c>
      <c r="AY375" s="389">
        <f t="shared" si="203"/>
        <v>1.8669021091832678</v>
      </c>
      <c r="AZ375" s="389">
        <f t="shared" si="203"/>
        <v>1.8125263195954056</v>
      </c>
      <c r="BA375" s="389">
        <f t="shared" si="203"/>
        <v>1.7597342908693259</v>
      </c>
      <c r="BB375" s="389">
        <f t="shared" si="203"/>
        <v>1.7084798940478891</v>
      </c>
      <c r="BC375" s="389">
        <f t="shared" si="203"/>
        <v>1.6587183437358151</v>
      </c>
      <c r="BD375" s="389">
        <f t="shared" si="203"/>
        <v>1.6104061589668108</v>
      </c>
      <c r="BE375" s="389">
        <f t="shared" si="203"/>
        <v>1.5635011252104958</v>
      </c>
      <c r="BF375" s="389">
        <f t="shared" si="203"/>
        <v>1.517962257485918</v>
      </c>
      <c r="BG375" s="389">
        <f t="shared" si="203"/>
        <v>1.4737497645494353</v>
      </c>
      <c r="BH375" s="389">
        <f t="shared" si="203"/>
        <v>1.4308250141256653</v>
      </c>
      <c r="BI375" s="389">
        <f t="shared" si="203"/>
        <v>1.3891504991511314</v>
      </c>
      <c r="BJ375" s="389">
        <f t="shared" si="203"/>
        <v>1.3486898050010985</v>
      </c>
      <c r="BK375" s="390">
        <f t="shared" si="191"/>
        <v>36.239800129849542</v>
      </c>
    </row>
    <row r="376" spans="31:63" x14ac:dyDescent="0.3">
      <c r="AE376" s="367">
        <f t="shared" si="196"/>
        <v>189000000</v>
      </c>
      <c r="AF376" s="158">
        <f t="shared" si="192"/>
        <v>225</v>
      </c>
      <c r="AG376" s="41">
        <v>9</v>
      </c>
      <c r="AH376" s="41" t="s">
        <v>376</v>
      </c>
      <c r="AI376" s="362">
        <f t="shared" si="193"/>
        <v>30</v>
      </c>
      <c r="AJ376" s="370">
        <f t="shared" si="194"/>
        <v>27</v>
      </c>
      <c r="AK376" s="232">
        <f t="shared" si="184"/>
        <v>0.39750000000000002</v>
      </c>
      <c r="AL376" s="433">
        <f t="shared" si="185"/>
        <v>0.159</v>
      </c>
      <c r="AM376" s="224">
        <f t="shared" si="186"/>
        <v>1.5600000000000002E-3</v>
      </c>
      <c r="AN376" s="368">
        <f t="shared" si="187"/>
        <v>5.5650000000000005E-2</v>
      </c>
      <c r="AO376" s="369">
        <f t="shared" si="188"/>
        <v>2.3077257367928001</v>
      </c>
      <c r="AQ376" s="388">
        <f t="shared" si="189"/>
        <v>2.3649357367928001</v>
      </c>
      <c r="AR376" s="389">
        <f t="shared" ref="AR376:BJ376" si="204">$AQ$376/POWER(1+($B$10/100),AR366-2024)</f>
        <v>2.2960541133910679</v>
      </c>
      <c r="AS376" s="389">
        <f t="shared" si="204"/>
        <v>2.2291787508651146</v>
      </c>
      <c r="AT376" s="389">
        <f t="shared" si="204"/>
        <v>2.16425121443215</v>
      </c>
      <c r="AU376" s="389">
        <f t="shared" si="204"/>
        <v>2.1012147712933498</v>
      </c>
      <c r="AV376" s="389">
        <f t="shared" si="204"/>
        <v>2.0400143410615046</v>
      </c>
      <c r="AW376" s="389">
        <f t="shared" si="204"/>
        <v>1.9805964476325288</v>
      </c>
      <c r="AX376" s="389">
        <f t="shared" si="204"/>
        <v>1.9229091724587657</v>
      </c>
      <c r="AY376" s="389">
        <f t="shared" si="204"/>
        <v>1.8669021091832678</v>
      </c>
      <c r="AZ376" s="389">
        <f t="shared" si="204"/>
        <v>1.8125263195954056</v>
      </c>
      <c r="BA376" s="389">
        <f t="shared" si="204"/>
        <v>1.7597342908693259</v>
      </c>
      <c r="BB376" s="389">
        <f t="shared" si="204"/>
        <v>1.7084798940478891</v>
      </c>
      <c r="BC376" s="389">
        <f t="shared" si="204"/>
        <v>1.6587183437358151</v>
      </c>
      <c r="BD376" s="389">
        <f t="shared" si="204"/>
        <v>1.6104061589668108</v>
      </c>
      <c r="BE376" s="389">
        <f t="shared" si="204"/>
        <v>1.5635011252104958</v>
      </c>
      <c r="BF376" s="389">
        <f t="shared" si="204"/>
        <v>1.517962257485918</v>
      </c>
      <c r="BG376" s="389">
        <f t="shared" si="204"/>
        <v>1.4737497645494353</v>
      </c>
      <c r="BH376" s="389">
        <f t="shared" si="204"/>
        <v>1.4308250141256653</v>
      </c>
      <c r="BI376" s="389">
        <f t="shared" si="204"/>
        <v>1.3891504991511314</v>
      </c>
      <c r="BJ376" s="389">
        <f t="shared" si="204"/>
        <v>1.3486898050010985</v>
      </c>
      <c r="BK376" s="390">
        <f t="shared" si="191"/>
        <v>36.239800129849542</v>
      </c>
    </row>
    <row r="377" spans="31:63" x14ac:dyDescent="0.3">
      <c r="AE377" s="367">
        <f t="shared" si="196"/>
        <v>210000000</v>
      </c>
      <c r="AF377" s="158">
        <f t="shared" si="192"/>
        <v>250</v>
      </c>
      <c r="AG377" s="41">
        <v>10</v>
      </c>
      <c r="AH377" s="41" t="s">
        <v>376</v>
      </c>
      <c r="AI377" s="362">
        <f t="shared" si="193"/>
        <v>30</v>
      </c>
      <c r="AJ377" s="370">
        <f t="shared" si="194"/>
        <v>27</v>
      </c>
      <c r="AK377" s="232">
        <f t="shared" si="184"/>
        <v>0.39750000000000002</v>
      </c>
      <c r="AL377" s="433">
        <f t="shared" si="185"/>
        <v>0.159</v>
      </c>
      <c r="AM377" s="224">
        <f t="shared" si="186"/>
        <v>1.5600000000000002E-3</v>
      </c>
      <c r="AN377" s="368">
        <f t="shared" si="187"/>
        <v>5.5650000000000005E-2</v>
      </c>
      <c r="AO377" s="369">
        <f t="shared" si="188"/>
        <v>2.3077257367928001</v>
      </c>
      <c r="AQ377" s="388">
        <f t="shared" si="189"/>
        <v>2.3649357367928001</v>
      </c>
      <c r="AR377" s="389">
        <f t="shared" ref="AR377:BJ377" si="205">$AQ$377/POWER(1+($B$10/100),AR366-2024)</f>
        <v>2.2960541133910679</v>
      </c>
      <c r="AS377" s="389">
        <f t="shared" si="205"/>
        <v>2.2291787508651146</v>
      </c>
      <c r="AT377" s="389">
        <f t="shared" si="205"/>
        <v>2.16425121443215</v>
      </c>
      <c r="AU377" s="389">
        <f t="shared" si="205"/>
        <v>2.1012147712933498</v>
      </c>
      <c r="AV377" s="389">
        <f t="shared" si="205"/>
        <v>2.0400143410615046</v>
      </c>
      <c r="AW377" s="389">
        <f t="shared" si="205"/>
        <v>1.9805964476325288</v>
      </c>
      <c r="AX377" s="389">
        <f t="shared" si="205"/>
        <v>1.9229091724587657</v>
      </c>
      <c r="AY377" s="389">
        <f t="shared" si="205"/>
        <v>1.8669021091832678</v>
      </c>
      <c r="AZ377" s="389">
        <f t="shared" si="205"/>
        <v>1.8125263195954056</v>
      </c>
      <c r="BA377" s="389">
        <f t="shared" si="205"/>
        <v>1.7597342908693259</v>
      </c>
      <c r="BB377" s="389">
        <f t="shared" si="205"/>
        <v>1.7084798940478891</v>
      </c>
      <c r="BC377" s="389">
        <f t="shared" si="205"/>
        <v>1.6587183437358151</v>
      </c>
      <c r="BD377" s="389">
        <f t="shared" si="205"/>
        <v>1.6104061589668108</v>
      </c>
      <c r="BE377" s="389">
        <f t="shared" si="205"/>
        <v>1.5635011252104958</v>
      </c>
      <c r="BF377" s="389">
        <f t="shared" si="205"/>
        <v>1.517962257485918</v>
      </c>
      <c r="BG377" s="389">
        <f t="shared" si="205"/>
        <v>1.4737497645494353</v>
      </c>
      <c r="BH377" s="389">
        <f t="shared" si="205"/>
        <v>1.4308250141256653</v>
      </c>
      <c r="BI377" s="389">
        <f t="shared" si="205"/>
        <v>1.3891504991511314</v>
      </c>
      <c r="BJ377" s="389">
        <f t="shared" si="205"/>
        <v>1.3486898050010985</v>
      </c>
      <c r="BK377" s="390">
        <f t="shared" si="191"/>
        <v>36.239800129849542</v>
      </c>
    </row>
    <row r="378" spans="31:63" x14ac:dyDescent="0.3">
      <c r="AE378" s="367">
        <f t="shared" si="196"/>
        <v>231000000</v>
      </c>
      <c r="AF378" s="158">
        <f t="shared" si="192"/>
        <v>275</v>
      </c>
      <c r="AG378" s="41">
        <v>11</v>
      </c>
      <c r="AH378" s="41" t="s">
        <v>376</v>
      </c>
      <c r="AI378" s="362">
        <f t="shared" si="193"/>
        <v>30</v>
      </c>
      <c r="AJ378" s="370">
        <f t="shared" si="194"/>
        <v>27</v>
      </c>
      <c r="AK378" s="232">
        <f t="shared" si="184"/>
        <v>0.39750000000000002</v>
      </c>
      <c r="AL378" s="433">
        <f t="shared" si="185"/>
        <v>0.159</v>
      </c>
      <c r="AM378" s="224">
        <f t="shared" si="186"/>
        <v>1.5600000000000002E-3</v>
      </c>
      <c r="AN378" s="368">
        <f t="shared" si="187"/>
        <v>5.5650000000000005E-2</v>
      </c>
      <c r="AO378" s="369">
        <f t="shared" si="188"/>
        <v>2.3077257367928001</v>
      </c>
      <c r="AQ378" s="388">
        <f t="shared" si="189"/>
        <v>2.3649357367928001</v>
      </c>
      <c r="AR378" s="389">
        <f t="shared" ref="AR378:BJ378" si="206">$AQ$378/POWER(1+($B$10/100),AR366-2024)</f>
        <v>2.2960541133910679</v>
      </c>
      <c r="AS378" s="389">
        <f t="shared" si="206"/>
        <v>2.2291787508651146</v>
      </c>
      <c r="AT378" s="389">
        <f t="shared" si="206"/>
        <v>2.16425121443215</v>
      </c>
      <c r="AU378" s="389">
        <f t="shared" si="206"/>
        <v>2.1012147712933498</v>
      </c>
      <c r="AV378" s="389">
        <f t="shared" si="206"/>
        <v>2.0400143410615046</v>
      </c>
      <c r="AW378" s="389">
        <f t="shared" si="206"/>
        <v>1.9805964476325288</v>
      </c>
      <c r="AX378" s="389">
        <f t="shared" si="206"/>
        <v>1.9229091724587657</v>
      </c>
      <c r="AY378" s="389">
        <f t="shared" si="206"/>
        <v>1.8669021091832678</v>
      </c>
      <c r="AZ378" s="389">
        <f t="shared" si="206"/>
        <v>1.8125263195954056</v>
      </c>
      <c r="BA378" s="389">
        <f t="shared" si="206"/>
        <v>1.7597342908693259</v>
      </c>
      <c r="BB378" s="389">
        <f t="shared" si="206"/>
        <v>1.7084798940478891</v>
      </c>
      <c r="BC378" s="389">
        <f t="shared" si="206"/>
        <v>1.6587183437358151</v>
      </c>
      <c r="BD378" s="389">
        <f t="shared" si="206"/>
        <v>1.6104061589668108</v>
      </c>
      <c r="BE378" s="389">
        <f t="shared" si="206"/>
        <v>1.5635011252104958</v>
      </c>
      <c r="BF378" s="389">
        <f t="shared" si="206"/>
        <v>1.517962257485918</v>
      </c>
      <c r="BG378" s="389">
        <f t="shared" si="206"/>
        <v>1.4737497645494353</v>
      </c>
      <c r="BH378" s="389">
        <f t="shared" si="206"/>
        <v>1.4308250141256653</v>
      </c>
      <c r="BI378" s="389">
        <f t="shared" si="206"/>
        <v>1.3891504991511314</v>
      </c>
      <c r="BJ378" s="389">
        <f t="shared" si="206"/>
        <v>1.3486898050010985</v>
      </c>
      <c r="BK378" s="390">
        <f t="shared" si="191"/>
        <v>36.239800129849542</v>
      </c>
    </row>
    <row r="379" spans="31:63" x14ac:dyDescent="0.3">
      <c r="AE379" s="367">
        <f t="shared" si="196"/>
        <v>252000000</v>
      </c>
      <c r="AF379" s="158">
        <f t="shared" si="192"/>
        <v>300</v>
      </c>
      <c r="AG379" s="41">
        <v>12</v>
      </c>
      <c r="AH379" s="41" t="s">
        <v>376</v>
      </c>
      <c r="AI379" s="362">
        <f t="shared" si="193"/>
        <v>30</v>
      </c>
      <c r="AJ379" s="370">
        <f t="shared" si="194"/>
        <v>27</v>
      </c>
      <c r="AK379" s="232">
        <f t="shared" si="184"/>
        <v>0.39750000000000002</v>
      </c>
      <c r="AL379" s="433">
        <f t="shared" si="185"/>
        <v>0.159</v>
      </c>
      <c r="AM379" s="224">
        <f t="shared" si="186"/>
        <v>1.5600000000000002E-3</v>
      </c>
      <c r="AN379" s="368">
        <f t="shared" si="187"/>
        <v>5.5650000000000005E-2</v>
      </c>
      <c r="AO379" s="369">
        <f t="shared" si="188"/>
        <v>2.3077257367928001</v>
      </c>
      <c r="AQ379" s="388">
        <f t="shared" si="189"/>
        <v>2.3649357367928001</v>
      </c>
      <c r="AR379" s="389">
        <f t="shared" ref="AR379:BJ379" si="207">$AQ$379/POWER(1+($B$10/100),AR366-2024)</f>
        <v>2.2960541133910679</v>
      </c>
      <c r="AS379" s="389">
        <f t="shared" si="207"/>
        <v>2.2291787508651146</v>
      </c>
      <c r="AT379" s="389">
        <f t="shared" si="207"/>
        <v>2.16425121443215</v>
      </c>
      <c r="AU379" s="389">
        <f t="shared" si="207"/>
        <v>2.1012147712933498</v>
      </c>
      <c r="AV379" s="389">
        <f t="shared" si="207"/>
        <v>2.0400143410615046</v>
      </c>
      <c r="AW379" s="389">
        <f t="shared" si="207"/>
        <v>1.9805964476325288</v>
      </c>
      <c r="AX379" s="389">
        <f t="shared" si="207"/>
        <v>1.9229091724587657</v>
      </c>
      <c r="AY379" s="389">
        <f t="shared" si="207"/>
        <v>1.8669021091832678</v>
      </c>
      <c r="AZ379" s="389">
        <f t="shared" si="207"/>
        <v>1.8125263195954056</v>
      </c>
      <c r="BA379" s="389">
        <f t="shared" si="207"/>
        <v>1.7597342908693259</v>
      </c>
      <c r="BB379" s="389">
        <f t="shared" si="207"/>
        <v>1.7084798940478891</v>
      </c>
      <c r="BC379" s="389">
        <f t="shared" si="207"/>
        <v>1.6587183437358151</v>
      </c>
      <c r="BD379" s="389">
        <f t="shared" si="207"/>
        <v>1.6104061589668108</v>
      </c>
      <c r="BE379" s="389">
        <f t="shared" si="207"/>
        <v>1.5635011252104958</v>
      </c>
      <c r="BF379" s="389">
        <f t="shared" si="207"/>
        <v>1.517962257485918</v>
      </c>
      <c r="BG379" s="389">
        <f t="shared" si="207"/>
        <v>1.4737497645494353</v>
      </c>
      <c r="BH379" s="389">
        <f t="shared" si="207"/>
        <v>1.4308250141256653</v>
      </c>
      <c r="BI379" s="389">
        <f t="shared" si="207"/>
        <v>1.3891504991511314</v>
      </c>
      <c r="BJ379" s="389">
        <f t="shared" si="207"/>
        <v>1.3486898050010985</v>
      </c>
      <c r="BK379" s="390">
        <f t="shared" si="191"/>
        <v>36.239800129849542</v>
      </c>
    </row>
    <row r="380" spans="31:63" x14ac:dyDescent="0.3">
      <c r="AE380" s="367">
        <f t="shared" si="196"/>
        <v>273000000</v>
      </c>
      <c r="AF380" s="158">
        <f t="shared" si="192"/>
        <v>325</v>
      </c>
      <c r="AG380" s="41">
        <v>13</v>
      </c>
      <c r="AH380" s="41" t="s">
        <v>376</v>
      </c>
      <c r="AI380" s="362">
        <f t="shared" si="193"/>
        <v>30</v>
      </c>
      <c r="AJ380" s="370">
        <f t="shared" si="194"/>
        <v>27</v>
      </c>
      <c r="AK380" s="232">
        <f t="shared" si="184"/>
        <v>0.39750000000000002</v>
      </c>
      <c r="AL380" s="433">
        <f t="shared" si="185"/>
        <v>0.159</v>
      </c>
      <c r="AM380" s="224">
        <f t="shared" si="186"/>
        <v>1.5600000000000002E-3</v>
      </c>
      <c r="AN380" s="368">
        <f t="shared" si="187"/>
        <v>5.5650000000000005E-2</v>
      </c>
      <c r="AO380" s="369">
        <f t="shared" si="188"/>
        <v>2.3077257367928001</v>
      </c>
      <c r="AQ380" s="388">
        <f t="shared" si="189"/>
        <v>2.3649357367928001</v>
      </c>
      <c r="AR380" s="389">
        <f t="shared" ref="AR380:BJ380" si="208">$AQ$380/POWER(1+($B$10/100),AR366-2024)</f>
        <v>2.2960541133910679</v>
      </c>
      <c r="AS380" s="389">
        <f t="shared" si="208"/>
        <v>2.2291787508651146</v>
      </c>
      <c r="AT380" s="389">
        <f t="shared" si="208"/>
        <v>2.16425121443215</v>
      </c>
      <c r="AU380" s="389">
        <f t="shared" si="208"/>
        <v>2.1012147712933498</v>
      </c>
      <c r="AV380" s="389">
        <f t="shared" si="208"/>
        <v>2.0400143410615046</v>
      </c>
      <c r="AW380" s="389">
        <f t="shared" si="208"/>
        <v>1.9805964476325288</v>
      </c>
      <c r="AX380" s="389">
        <f t="shared" si="208"/>
        <v>1.9229091724587657</v>
      </c>
      <c r="AY380" s="389">
        <f t="shared" si="208"/>
        <v>1.8669021091832678</v>
      </c>
      <c r="AZ380" s="389">
        <f t="shared" si="208"/>
        <v>1.8125263195954056</v>
      </c>
      <c r="BA380" s="389">
        <f t="shared" si="208"/>
        <v>1.7597342908693259</v>
      </c>
      <c r="BB380" s="389">
        <f t="shared" si="208"/>
        <v>1.7084798940478891</v>
      </c>
      <c r="BC380" s="389">
        <f t="shared" si="208"/>
        <v>1.6587183437358151</v>
      </c>
      <c r="BD380" s="389">
        <f t="shared" si="208"/>
        <v>1.6104061589668108</v>
      </c>
      <c r="BE380" s="389">
        <f t="shared" si="208"/>
        <v>1.5635011252104958</v>
      </c>
      <c r="BF380" s="389">
        <f t="shared" si="208"/>
        <v>1.517962257485918</v>
      </c>
      <c r="BG380" s="389">
        <f t="shared" si="208"/>
        <v>1.4737497645494353</v>
      </c>
      <c r="BH380" s="389">
        <f t="shared" si="208"/>
        <v>1.4308250141256653</v>
      </c>
      <c r="BI380" s="389">
        <f t="shared" si="208"/>
        <v>1.3891504991511314</v>
      </c>
      <c r="BJ380" s="389">
        <f t="shared" si="208"/>
        <v>1.3486898050010985</v>
      </c>
      <c r="BK380" s="390">
        <f t="shared" si="191"/>
        <v>36.239800129849542</v>
      </c>
    </row>
    <row r="381" spans="31:63" x14ac:dyDescent="0.3">
      <c r="AE381" s="367">
        <f t="shared" si="196"/>
        <v>294000000</v>
      </c>
      <c r="AF381" s="158">
        <f t="shared" si="192"/>
        <v>350</v>
      </c>
      <c r="AG381" s="41">
        <v>14</v>
      </c>
      <c r="AH381" s="41" t="s">
        <v>376</v>
      </c>
      <c r="AI381" s="362">
        <f t="shared" si="193"/>
        <v>30</v>
      </c>
      <c r="AJ381" s="370">
        <f t="shared" si="194"/>
        <v>27</v>
      </c>
      <c r="AK381" s="232">
        <f t="shared" si="184"/>
        <v>0.39750000000000002</v>
      </c>
      <c r="AL381" s="433">
        <f t="shared" si="185"/>
        <v>0.159</v>
      </c>
      <c r="AM381" s="224">
        <f t="shared" si="186"/>
        <v>1.5600000000000002E-3</v>
      </c>
      <c r="AN381" s="368">
        <f t="shared" si="187"/>
        <v>5.5650000000000005E-2</v>
      </c>
      <c r="AO381" s="369">
        <f t="shared" si="188"/>
        <v>2.3077257367928001</v>
      </c>
      <c r="AQ381" s="388">
        <f t="shared" si="189"/>
        <v>2.3649357367928001</v>
      </c>
      <c r="AR381" s="389">
        <f t="shared" ref="AR381:BJ381" si="209">$AQ$381/POWER(1+($B$10/100),AR366-2024)</f>
        <v>2.2960541133910679</v>
      </c>
      <c r="AS381" s="389">
        <f t="shared" si="209"/>
        <v>2.2291787508651146</v>
      </c>
      <c r="AT381" s="389">
        <f t="shared" si="209"/>
        <v>2.16425121443215</v>
      </c>
      <c r="AU381" s="389">
        <f t="shared" si="209"/>
        <v>2.1012147712933498</v>
      </c>
      <c r="AV381" s="389">
        <f t="shared" si="209"/>
        <v>2.0400143410615046</v>
      </c>
      <c r="AW381" s="389">
        <f t="shared" si="209"/>
        <v>1.9805964476325288</v>
      </c>
      <c r="AX381" s="389">
        <f t="shared" si="209"/>
        <v>1.9229091724587657</v>
      </c>
      <c r="AY381" s="389">
        <f t="shared" si="209"/>
        <v>1.8669021091832678</v>
      </c>
      <c r="AZ381" s="389">
        <f t="shared" si="209"/>
        <v>1.8125263195954056</v>
      </c>
      <c r="BA381" s="389">
        <f t="shared" si="209"/>
        <v>1.7597342908693259</v>
      </c>
      <c r="BB381" s="389">
        <f t="shared" si="209"/>
        <v>1.7084798940478891</v>
      </c>
      <c r="BC381" s="389">
        <f t="shared" si="209"/>
        <v>1.6587183437358151</v>
      </c>
      <c r="BD381" s="389">
        <f t="shared" si="209"/>
        <v>1.6104061589668108</v>
      </c>
      <c r="BE381" s="389">
        <f t="shared" si="209"/>
        <v>1.5635011252104958</v>
      </c>
      <c r="BF381" s="389">
        <f t="shared" si="209"/>
        <v>1.517962257485918</v>
      </c>
      <c r="BG381" s="389">
        <f t="shared" si="209"/>
        <v>1.4737497645494353</v>
      </c>
      <c r="BH381" s="389">
        <f t="shared" si="209"/>
        <v>1.4308250141256653</v>
      </c>
      <c r="BI381" s="389">
        <f t="shared" si="209"/>
        <v>1.3891504991511314</v>
      </c>
      <c r="BJ381" s="389">
        <f t="shared" si="209"/>
        <v>1.3486898050010985</v>
      </c>
      <c r="BK381" s="390">
        <f t="shared" si="191"/>
        <v>36.239800129849542</v>
      </c>
    </row>
    <row r="382" spans="31:63" x14ac:dyDescent="0.3">
      <c r="AE382" s="367">
        <f t="shared" si="196"/>
        <v>315000000</v>
      </c>
      <c r="AF382" s="158">
        <f t="shared" si="192"/>
        <v>375</v>
      </c>
      <c r="AG382" s="41">
        <v>15</v>
      </c>
      <c r="AH382" s="41" t="s">
        <v>376</v>
      </c>
      <c r="AI382" s="362">
        <f t="shared" si="193"/>
        <v>30</v>
      </c>
      <c r="AJ382" s="370">
        <f t="shared" si="194"/>
        <v>27</v>
      </c>
      <c r="AK382" s="232">
        <f t="shared" si="184"/>
        <v>0.39750000000000002</v>
      </c>
      <c r="AL382" s="433">
        <f t="shared" si="185"/>
        <v>0.159</v>
      </c>
      <c r="AM382" s="224">
        <f t="shared" si="186"/>
        <v>1.5600000000000002E-3</v>
      </c>
      <c r="AN382" s="368">
        <f t="shared" si="187"/>
        <v>5.5650000000000005E-2</v>
      </c>
      <c r="AO382" s="369">
        <f t="shared" si="188"/>
        <v>2.3077257367928001</v>
      </c>
      <c r="AQ382" s="388">
        <f t="shared" si="189"/>
        <v>2.3649357367928001</v>
      </c>
      <c r="AR382" s="389">
        <f t="shared" ref="AR382:BJ382" si="210">$AQ$382/POWER(1+($B$10/100),AR366-2024)</f>
        <v>2.2960541133910679</v>
      </c>
      <c r="AS382" s="389">
        <f t="shared" si="210"/>
        <v>2.2291787508651146</v>
      </c>
      <c r="AT382" s="389">
        <f t="shared" si="210"/>
        <v>2.16425121443215</v>
      </c>
      <c r="AU382" s="389">
        <f t="shared" si="210"/>
        <v>2.1012147712933498</v>
      </c>
      <c r="AV382" s="389">
        <f t="shared" si="210"/>
        <v>2.0400143410615046</v>
      </c>
      <c r="AW382" s="389">
        <f t="shared" si="210"/>
        <v>1.9805964476325288</v>
      </c>
      <c r="AX382" s="389">
        <f t="shared" si="210"/>
        <v>1.9229091724587657</v>
      </c>
      <c r="AY382" s="389">
        <f t="shared" si="210"/>
        <v>1.8669021091832678</v>
      </c>
      <c r="AZ382" s="389">
        <f t="shared" si="210"/>
        <v>1.8125263195954056</v>
      </c>
      <c r="BA382" s="389">
        <f t="shared" si="210"/>
        <v>1.7597342908693259</v>
      </c>
      <c r="BB382" s="389">
        <f t="shared" si="210"/>
        <v>1.7084798940478891</v>
      </c>
      <c r="BC382" s="389">
        <f t="shared" si="210"/>
        <v>1.6587183437358151</v>
      </c>
      <c r="BD382" s="389">
        <f t="shared" si="210"/>
        <v>1.6104061589668108</v>
      </c>
      <c r="BE382" s="389">
        <f t="shared" si="210"/>
        <v>1.5635011252104958</v>
      </c>
      <c r="BF382" s="389">
        <f t="shared" si="210"/>
        <v>1.517962257485918</v>
      </c>
      <c r="BG382" s="389">
        <f t="shared" si="210"/>
        <v>1.4737497645494353</v>
      </c>
      <c r="BH382" s="389">
        <f t="shared" si="210"/>
        <v>1.4308250141256653</v>
      </c>
      <c r="BI382" s="389">
        <f t="shared" si="210"/>
        <v>1.3891504991511314</v>
      </c>
      <c r="BJ382" s="389">
        <f t="shared" si="210"/>
        <v>1.3486898050010985</v>
      </c>
      <c r="BK382" s="390">
        <f t="shared" si="191"/>
        <v>36.239800129849542</v>
      </c>
    </row>
    <row r="383" spans="31:63" x14ac:dyDescent="0.3">
      <c r="AE383" s="367">
        <f t="shared" si="196"/>
        <v>336000000</v>
      </c>
      <c r="AF383" s="158">
        <f t="shared" si="192"/>
        <v>400</v>
      </c>
      <c r="AG383" s="41">
        <v>16</v>
      </c>
      <c r="AH383" s="41" t="s">
        <v>376</v>
      </c>
      <c r="AI383" s="362">
        <f t="shared" si="193"/>
        <v>30</v>
      </c>
      <c r="AJ383" s="370">
        <f t="shared" si="194"/>
        <v>27</v>
      </c>
      <c r="AK383" s="232">
        <f t="shared" si="184"/>
        <v>0.39750000000000002</v>
      </c>
      <c r="AL383" s="433">
        <f t="shared" si="185"/>
        <v>0.159</v>
      </c>
      <c r="AM383" s="224">
        <f t="shared" si="186"/>
        <v>1.5600000000000002E-3</v>
      </c>
      <c r="AN383" s="368">
        <f t="shared" si="187"/>
        <v>5.5650000000000005E-2</v>
      </c>
      <c r="AO383" s="369">
        <f t="shared" si="188"/>
        <v>2.3077257367928001</v>
      </c>
      <c r="AQ383" s="388">
        <f t="shared" si="189"/>
        <v>2.3649357367928001</v>
      </c>
      <c r="AR383" s="389">
        <f t="shared" ref="AR383:BJ383" si="211">$AQ$383/POWER(1+($B$10/100),AR366-2024)</f>
        <v>2.2960541133910679</v>
      </c>
      <c r="AS383" s="389">
        <f t="shared" si="211"/>
        <v>2.2291787508651146</v>
      </c>
      <c r="AT383" s="389">
        <f t="shared" si="211"/>
        <v>2.16425121443215</v>
      </c>
      <c r="AU383" s="389">
        <f t="shared" si="211"/>
        <v>2.1012147712933498</v>
      </c>
      <c r="AV383" s="389">
        <f t="shared" si="211"/>
        <v>2.0400143410615046</v>
      </c>
      <c r="AW383" s="389">
        <f t="shared" si="211"/>
        <v>1.9805964476325288</v>
      </c>
      <c r="AX383" s="389">
        <f t="shared" si="211"/>
        <v>1.9229091724587657</v>
      </c>
      <c r="AY383" s="389">
        <f t="shared" si="211"/>
        <v>1.8669021091832678</v>
      </c>
      <c r="AZ383" s="389">
        <f t="shared" si="211"/>
        <v>1.8125263195954056</v>
      </c>
      <c r="BA383" s="389">
        <f t="shared" si="211"/>
        <v>1.7597342908693259</v>
      </c>
      <c r="BB383" s="389">
        <f t="shared" si="211"/>
        <v>1.7084798940478891</v>
      </c>
      <c r="BC383" s="389">
        <f t="shared" si="211"/>
        <v>1.6587183437358151</v>
      </c>
      <c r="BD383" s="389">
        <f t="shared" si="211"/>
        <v>1.6104061589668108</v>
      </c>
      <c r="BE383" s="389">
        <f t="shared" si="211"/>
        <v>1.5635011252104958</v>
      </c>
      <c r="BF383" s="389">
        <f t="shared" si="211"/>
        <v>1.517962257485918</v>
      </c>
      <c r="BG383" s="389">
        <f t="shared" si="211"/>
        <v>1.4737497645494353</v>
      </c>
      <c r="BH383" s="389">
        <f t="shared" si="211"/>
        <v>1.4308250141256653</v>
      </c>
      <c r="BI383" s="389">
        <f t="shared" si="211"/>
        <v>1.3891504991511314</v>
      </c>
      <c r="BJ383" s="389">
        <f t="shared" si="211"/>
        <v>1.3486898050010985</v>
      </c>
      <c r="BK383" s="390">
        <f t="shared" si="191"/>
        <v>36.239800129849542</v>
      </c>
    </row>
    <row r="384" spans="31:63" x14ac:dyDescent="0.3">
      <c r="AE384" s="367">
        <f t="shared" si="196"/>
        <v>357000000</v>
      </c>
      <c r="AF384" s="158">
        <f t="shared" si="192"/>
        <v>425</v>
      </c>
      <c r="AG384" s="41">
        <v>17</v>
      </c>
      <c r="AH384" s="41" t="s">
        <v>376</v>
      </c>
      <c r="AI384" s="362">
        <f t="shared" si="193"/>
        <v>30</v>
      </c>
      <c r="AJ384" s="370">
        <f t="shared" si="194"/>
        <v>27</v>
      </c>
      <c r="AK384" s="232">
        <f t="shared" si="184"/>
        <v>0.39750000000000002</v>
      </c>
      <c r="AL384" s="433">
        <f t="shared" si="185"/>
        <v>0.159</v>
      </c>
      <c r="AM384" s="224">
        <f t="shared" si="186"/>
        <v>1.5600000000000002E-3</v>
      </c>
      <c r="AN384" s="368">
        <f t="shared" si="187"/>
        <v>5.5650000000000005E-2</v>
      </c>
      <c r="AO384" s="369">
        <f t="shared" si="188"/>
        <v>2.3077257367928001</v>
      </c>
      <c r="AQ384" s="388">
        <f t="shared" si="189"/>
        <v>2.3649357367928001</v>
      </c>
      <c r="AR384" s="389">
        <f t="shared" ref="AR384:BJ384" si="212">$AQ$384/POWER(1+($B$10/100),AR366-2024)</f>
        <v>2.2960541133910679</v>
      </c>
      <c r="AS384" s="389">
        <f t="shared" si="212"/>
        <v>2.2291787508651146</v>
      </c>
      <c r="AT384" s="389">
        <f t="shared" si="212"/>
        <v>2.16425121443215</v>
      </c>
      <c r="AU384" s="389">
        <f t="shared" si="212"/>
        <v>2.1012147712933498</v>
      </c>
      <c r="AV384" s="389">
        <f t="shared" si="212"/>
        <v>2.0400143410615046</v>
      </c>
      <c r="AW384" s="389">
        <f t="shared" si="212"/>
        <v>1.9805964476325288</v>
      </c>
      <c r="AX384" s="389">
        <f t="shared" si="212"/>
        <v>1.9229091724587657</v>
      </c>
      <c r="AY384" s="389">
        <f t="shared" si="212"/>
        <v>1.8669021091832678</v>
      </c>
      <c r="AZ384" s="389">
        <f t="shared" si="212"/>
        <v>1.8125263195954056</v>
      </c>
      <c r="BA384" s="389">
        <f t="shared" si="212"/>
        <v>1.7597342908693259</v>
      </c>
      <c r="BB384" s="389">
        <f t="shared" si="212"/>
        <v>1.7084798940478891</v>
      </c>
      <c r="BC384" s="389">
        <f t="shared" si="212"/>
        <v>1.6587183437358151</v>
      </c>
      <c r="BD384" s="389">
        <f t="shared" si="212"/>
        <v>1.6104061589668108</v>
      </c>
      <c r="BE384" s="389">
        <f t="shared" si="212"/>
        <v>1.5635011252104958</v>
      </c>
      <c r="BF384" s="389">
        <f t="shared" si="212"/>
        <v>1.517962257485918</v>
      </c>
      <c r="BG384" s="389">
        <f t="shared" si="212"/>
        <v>1.4737497645494353</v>
      </c>
      <c r="BH384" s="389">
        <f t="shared" si="212"/>
        <v>1.4308250141256653</v>
      </c>
      <c r="BI384" s="389">
        <f t="shared" si="212"/>
        <v>1.3891504991511314</v>
      </c>
      <c r="BJ384" s="389">
        <f t="shared" si="212"/>
        <v>1.3486898050010985</v>
      </c>
      <c r="BK384" s="390">
        <f t="shared" si="191"/>
        <v>36.239800129849542</v>
      </c>
    </row>
    <row r="385" spans="31:63" x14ac:dyDescent="0.3">
      <c r="AE385" s="367">
        <f t="shared" si="196"/>
        <v>378000000</v>
      </c>
      <c r="AF385" s="158">
        <f t="shared" si="192"/>
        <v>450</v>
      </c>
      <c r="AG385" s="41">
        <v>18</v>
      </c>
      <c r="AH385" s="41" t="s">
        <v>376</v>
      </c>
      <c r="AI385" s="362">
        <f t="shared" si="193"/>
        <v>30</v>
      </c>
      <c r="AJ385" s="370">
        <f t="shared" si="194"/>
        <v>27</v>
      </c>
      <c r="AK385" s="232">
        <f t="shared" si="184"/>
        <v>0.39750000000000002</v>
      </c>
      <c r="AL385" s="433">
        <f t="shared" si="185"/>
        <v>0.159</v>
      </c>
      <c r="AM385" s="224">
        <f t="shared" si="186"/>
        <v>1.5600000000000002E-3</v>
      </c>
      <c r="AN385" s="368">
        <f t="shared" si="187"/>
        <v>5.5650000000000005E-2</v>
      </c>
      <c r="AO385" s="369">
        <f t="shared" si="188"/>
        <v>2.3077257367928001</v>
      </c>
      <c r="AQ385" s="388">
        <f t="shared" si="189"/>
        <v>2.3649357367928001</v>
      </c>
      <c r="AR385" s="389">
        <f t="shared" ref="AR385:BJ385" si="213">$AQ$385/POWER(1+($B$10/100),AR366-2024)</f>
        <v>2.2960541133910679</v>
      </c>
      <c r="AS385" s="389">
        <f t="shared" si="213"/>
        <v>2.2291787508651146</v>
      </c>
      <c r="AT385" s="389">
        <f t="shared" si="213"/>
        <v>2.16425121443215</v>
      </c>
      <c r="AU385" s="389">
        <f t="shared" si="213"/>
        <v>2.1012147712933498</v>
      </c>
      <c r="AV385" s="389">
        <f t="shared" si="213"/>
        <v>2.0400143410615046</v>
      </c>
      <c r="AW385" s="389">
        <f t="shared" si="213"/>
        <v>1.9805964476325288</v>
      </c>
      <c r="AX385" s="389">
        <f t="shared" si="213"/>
        <v>1.9229091724587657</v>
      </c>
      <c r="AY385" s="389">
        <f t="shared" si="213"/>
        <v>1.8669021091832678</v>
      </c>
      <c r="AZ385" s="389">
        <f t="shared" si="213"/>
        <v>1.8125263195954056</v>
      </c>
      <c r="BA385" s="389">
        <f t="shared" si="213"/>
        <v>1.7597342908693259</v>
      </c>
      <c r="BB385" s="389">
        <f t="shared" si="213"/>
        <v>1.7084798940478891</v>
      </c>
      <c r="BC385" s="389">
        <f t="shared" si="213"/>
        <v>1.6587183437358151</v>
      </c>
      <c r="BD385" s="389">
        <f t="shared" si="213"/>
        <v>1.6104061589668108</v>
      </c>
      <c r="BE385" s="389">
        <f t="shared" si="213"/>
        <v>1.5635011252104958</v>
      </c>
      <c r="BF385" s="389">
        <f t="shared" si="213"/>
        <v>1.517962257485918</v>
      </c>
      <c r="BG385" s="389">
        <f t="shared" si="213"/>
        <v>1.4737497645494353</v>
      </c>
      <c r="BH385" s="389">
        <f t="shared" si="213"/>
        <v>1.4308250141256653</v>
      </c>
      <c r="BI385" s="389">
        <f t="shared" si="213"/>
        <v>1.3891504991511314</v>
      </c>
      <c r="BJ385" s="389">
        <f t="shared" si="213"/>
        <v>1.3486898050010985</v>
      </c>
      <c r="BK385" s="390">
        <f t="shared" si="191"/>
        <v>36.239800129849542</v>
      </c>
    </row>
    <row r="386" spans="31:63" x14ac:dyDescent="0.3">
      <c r="AE386" s="367">
        <f t="shared" si="196"/>
        <v>399000000</v>
      </c>
      <c r="AF386" s="158">
        <f t="shared" si="192"/>
        <v>475</v>
      </c>
      <c r="AG386" s="41">
        <v>19</v>
      </c>
      <c r="AH386" s="41" t="s">
        <v>376</v>
      </c>
      <c r="AI386" s="362">
        <f t="shared" si="193"/>
        <v>30</v>
      </c>
      <c r="AJ386" s="370">
        <f t="shared" si="194"/>
        <v>27</v>
      </c>
      <c r="AK386" s="232">
        <f t="shared" si="184"/>
        <v>0.39750000000000002</v>
      </c>
      <c r="AL386" s="433">
        <f t="shared" si="185"/>
        <v>0.159</v>
      </c>
      <c r="AM386" s="224">
        <f t="shared" si="186"/>
        <v>1.5600000000000002E-3</v>
      </c>
      <c r="AN386" s="368">
        <f t="shared" si="187"/>
        <v>5.5650000000000005E-2</v>
      </c>
      <c r="AO386" s="369">
        <f t="shared" si="188"/>
        <v>2.3077257367928001</v>
      </c>
      <c r="AQ386" s="388">
        <f t="shared" si="189"/>
        <v>2.3649357367928001</v>
      </c>
      <c r="AR386" s="389">
        <f t="shared" ref="AR386:BJ386" si="214">$AQ$386/POWER(1+($B$10/100),AR366-2024)</f>
        <v>2.2960541133910679</v>
      </c>
      <c r="AS386" s="389">
        <f t="shared" si="214"/>
        <v>2.2291787508651146</v>
      </c>
      <c r="AT386" s="389">
        <f t="shared" si="214"/>
        <v>2.16425121443215</v>
      </c>
      <c r="AU386" s="389">
        <f t="shared" si="214"/>
        <v>2.1012147712933498</v>
      </c>
      <c r="AV386" s="389">
        <f t="shared" si="214"/>
        <v>2.0400143410615046</v>
      </c>
      <c r="AW386" s="389">
        <f t="shared" si="214"/>
        <v>1.9805964476325288</v>
      </c>
      <c r="AX386" s="389">
        <f t="shared" si="214"/>
        <v>1.9229091724587657</v>
      </c>
      <c r="AY386" s="389">
        <f t="shared" si="214"/>
        <v>1.8669021091832678</v>
      </c>
      <c r="AZ386" s="389">
        <f t="shared" si="214"/>
        <v>1.8125263195954056</v>
      </c>
      <c r="BA386" s="389">
        <f t="shared" si="214"/>
        <v>1.7597342908693259</v>
      </c>
      <c r="BB386" s="389">
        <f t="shared" si="214"/>
        <v>1.7084798940478891</v>
      </c>
      <c r="BC386" s="389">
        <f t="shared" si="214"/>
        <v>1.6587183437358151</v>
      </c>
      <c r="BD386" s="389">
        <f t="shared" si="214"/>
        <v>1.6104061589668108</v>
      </c>
      <c r="BE386" s="389">
        <f t="shared" si="214"/>
        <v>1.5635011252104958</v>
      </c>
      <c r="BF386" s="389">
        <f t="shared" si="214"/>
        <v>1.517962257485918</v>
      </c>
      <c r="BG386" s="389">
        <f t="shared" si="214"/>
        <v>1.4737497645494353</v>
      </c>
      <c r="BH386" s="389">
        <f t="shared" si="214"/>
        <v>1.4308250141256653</v>
      </c>
      <c r="BI386" s="389">
        <f t="shared" si="214"/>
        <v>1.3891504991511314</v>
      </c>
      <c r="BJ386" s="389">
        <f t="shared" si="214"/>
        <v>1.3486898050010985</v>
      </c>
      <c r="BK386" s="390">
        <f t="shared" si="191"/>
        <v>36.239800129849542</v>
      </c>
    </row>
    <row r="387" spans="31:63" x14ac:dyDescent="0.3">
      <c r="AE387" s="367">
        <f t="shared" si="196"/>
        <v>420000000</v>
      </c>
      <c r="AF387" s="158">
        <f t="shared" si="192"/>
        <v>500</v>
      </c>
      <c r="AG387" s="41">
        <v>20</v>
      </c>
      <c r="AH387" s="41" t="s">
        <v>376</v>
      </c>
      <c r="AI387" s="362">
        <f t="shared" si="193"/>
        <v>30</v>
      </c>
      <c r="AJ387" s="370">
        <f t="shared" si="194"/>
        <v>27</v>
      </c>
      <c r="AK387" s="232">
        <f t="shared" si="184"/>
        <v>0.39750000000000002</v>
      </c>
      <c r="AL387" s="433">
        <f t="shared" si="185"/>
        <v>0.159</v>
      </c>
      <c r="AM387" s="224">
        <f t="shared" si="186"/>
        <v>1.5600000000000002E-3</v>
      </c>
      <c r="AN387" s="368">
        <f t="shared" si="187"/>
        <v>5.5650000000000005E-2</v>
      </c>
      <c r="AO387" s="369">
        <f t="shared" si="188"/>
        <v>2.3077257367928001</v>
      </c>
      <c r="AQ387" s="388">
        <f t="shared" si="189"/>
        <v>2.3649357367928001</v>
      </c>
      <c r="AR387" s="389">
        <f t="shared" ref="AR387:AS406" si="215">$AQ387/POWER(1+($B$10/100),AR$366-2024)</f>
        <v>2.2960541133910679</v>
      </c>
      <c r="AS387" s="389">
        <f t="shared" si="215"/>
        <v>2.2291787508651146</v>
      </c>
      <c r="AT387" s="389">
        <f>$AQ$387/POWER(1+($B$10/100),AT$366-2024)</f>
        <v>2.16425121443215</v>
      </c>
      <c r="AU387" s="389">
        <f>$AQ$387/POWER(1+($B$10/100),AU$366-2024)</f>
        <v>2.1012147712933498</v>
      </c>
      <c r="AV387" s="389">
        <f t="shared" ref="AV387:BJ387" si="216">$AQ$387/POWER(1+($B$10/100),AV366-2024)</f>
        <v>2.0400143410615046</v>
      </c>
      <c r="AW387" s="389">
        <f t="shared" si="216"/>
        <v>1.9805964476325288</v>
      </c>
      <c r="AX387" s="389">
        <f t="shared" si="216"/>
        <v>1.9229091724587657</v>
      </c>
      <c r="AY387" s="389">
        <f t="shared" si="216"/>
        <v>1.8669021091832678</v>
      </c>
      <c r="AZ387" s="389">
        <f t="shared" si="216"/>
        <v>1.8125263195954056</v>
      </c>
      <c r="BA387" s="389">
        <f t="shared" si="216"/>
        <v>1.7597342908693259</v>
      </c>
      <c r="BB387" s="389">
        <f t="shared" si="216"/>
        <v>1.7084798940478891</v>
      </c>
      <c r="BC387" s="389">
        <f t="shared" si="216"/>
        <v>1.6587183437358151</v>
      </c>
      <c r="BD387" s="389">
        <f t="shared" si="216"/>
        <v>1.6104061589668108</v>
      </c>
      <c r="BE387" s="389">
        <f t="shared" si="216"/>
        <v>1.5635011252104958</v>
      </c>
      <c r="BF387" s="389">
        <f t="shared" si="216"/>
        <v>1.517962257485918</v>
      </c>
      <c r="BG387" s="389">
        <f t="shared" si="216"/>
        <v>1.4737497645494353</v>
      </c>
      <c r="BH387" s="389">
        <f t="shared" si="216"/>
        <v>1.4308250141256653</v>
      </c>
      <c r="BI387" s="389">
        <f t="shared" si="216"/>
        <v>1.3891504991511314</v>
      </c>
      <c r="BJ387" s="389">
        <f t="shared" si="216"/>
        <v>1.3486898050010985</v>
      </c>
      <c r="BK387" s="390">
        <f t="shared" si="191"/>
        <v>36.239800129849542</v>
      </c>
    </row>
    <row r="388" spans="31:63" x14ac:dyDescent="0.3">
      <c r="AE388" s="367">
        <f t="shared" si="196"/>
        <v>441000000</v>
      </c>
      <c r="AF388" s="158">
        <f t="shared" ref="AF388:AF432" si="217">AF206</f>
        <v>525</v>
      </c>
      <c r="AG388" s="41">
        <v>21</v>
      </c>
      <c r="AH388" s="41" t="s">
        <v>376</v>
      </c>
      <c r="AI388" s="362">
        <f t="shared" ref="AI388:AI451" si="218">AI206*$B$3</f>
        <v>30</v>
      </c>
      <c r="AJ388" s="370">
        <f t="shared" ref="AJ388:AJ451" si="219">AJ206*$B$4</f>
        <v>27</v>
      </c>
      <c r="AK388" s="232">
        <f t="shared" si="184"/>
        <v>0.39750000000000002</v>
      </c>
      <c r="AL388" s="433">
        <f t="shared" ref="AL388:AL451" si="220">AL206*$B$6</f>
        <v>0.159</v>
      </c>
      <c r="AM388" s="224">
        <f t="shared" ref="AM388:AM451" si="221">AM206*$B$7</f>
        <v>1.5600000000000002E-3</v>
      </c>
      <c r="AN388" s="368">
        <f t="shared" ref="AN388:AN451" si="222">(AK388+AL388)*(AN206/100)</f>
        <v>5.5650000000000005E-2</v>
      </c>
      <c r="AO388" s="369">
        <f t="shared" ref="AO388:AO451" si="223">AO206*$B$9</f>
        <v>2.3077257367928001</v>
      </c>
      <c r="AQ388" s="388">
        <f t="shared" si="189"/>
        <v>2.3649357367928001</v>
      </c>
      <c r="AR388" s="389">
        <f t="shared" si="215"/>
        <v>2.2960541133910679</v>
      </c>
      <c r="AS388" s="389">
        <f t="shared" si="215"/>
        <v>2.2291787508651146</v>
      </c>
      <c r="AT388" s="389">
        <f t="shared" ref="AT388:BC397" si="224">$AQ388/POWER(1+($B$10/100),AT$366-2024)</f>
        <v>2.16425121443215</v>
      </c>
      <c r="AU388" s="389">
        <f t="shared" si="224"/>
        <v>2.1012147712933498</v>
      </c>
      <c r="AV388" s="389">
        <f t="shared" si="224"/>
        <v>2.0400143410615046</v>
      </c>
      <c r="AW388" s="389">
        <f t="shared" si="224"/>
        <v>1.9805964476325288</v>
      </c>
      <c r="AX388" s="389">
        <f t="shared" si="224"/>
        <v>1.9229091724587657</v>
      </c>
      <c r="AY388" s="389">
        <f t="shared" si="224"/>
        <v>1.8669021091832678</v>
      </c>
      <c r="AZ388" s="389">
        <f t="shared" si="224"/>
        <v>1.8125263195954056</v>
      </c>
      <c r="BA388" s="389">
        <f t="shared" si="224"/>
        <v>1.7597342908693259</v>
      </c>
      <c r="BB388" s="389">
        <f t="shared" si="224"/>
        <v>1.7084798940478891</v>
      </c>
      <c r="BC388" s="389">
        <f t="shared" si="224"/>
        <v>1.6587183437358151</v>
      </c>
      <c r="BD388" s="389">
        <f t="shared" ref="BD388:BJ397" si="225">$AQ388/POWER(1+($B$10/100),BD$366-2024)</f>
        <v>1.6104061589668108</v>
      </c>
      <c r="BE388" s="389">
        <f t="shared" si="225"/>
        <v>1.5635011252104958</v>
      </c>
      <c r="BF388" s="389">
        <f t="shared" si="225"/>
        <v>1.517962257485918</v>
      </c>
      <c r="BG388" s="389">
        <f t="shared" si="225"/>
        <v>1.4737497645494353</v>
      </c>
      <c r="BH388" s="389">
        <f t="shared" si="225"/>
        <v>1.4308250141256653</v>
      </c>
      <c r="BI388" s="389">
        <f t="shared" si="225"/>
        <v>1.3891504991511314</v>
      </c>
      <c r="BJ388" s="389">
        <f t="shared" si="225"/>
        <v>1.3486898050010985</v>
      </c>
      <c r="BK388" s="390">
        <f t="shared" si="191"/>
        <v>36.239800129849542</v>
      </c>
    </row>
    <row r="389" spans="31:63" x14ac:dyDescent="0.3">
      <c r="AE389" s="367">
        <f t="shared" si="196"/>
        <v>462000000</v>
      </c>
      <c r="AF389" s="158">
        <f t="shared" si="217"/>
        <v>550</v>
      </c>
      <c r="AG389" s="41">
        <v>22</v>
      </c>
      <c r="AH389" s="41" t="s">
        <v>376</v>
      </c>
      <c r="AI389" s="362">
        <f t="shared" si="218"/>
        <v>30</v>
      </c>
      <c r="AJ389" s="370">
        <f t="shared" si="219"/>
        <v>27</v>
      </c>
      <c r="AK389" s="232">
        <f t="shared" ref="AK389:AK451" si="226">AK207*$B$5</f>
        <v>0.39750000000000002</v>
      </c>
      <c r="AL389" s="433">
        <f t="shared" si="220"/>
        <v>0.159</v>
      </c>
      <c r="AM389" s="224">
        <f t="shared" si="221"/>
        <v>1.5600000000000002E-3</v>
      </c>
      <c r="AN389" s="368">
        <f t="shared" si="222"/>
        <v>5.5650000000000005E-2</v>
      </c>
      <c r="AO389" s="369">
        <f t="shared" si="223"/>
        <v>2.3077257367928001</v>
      </c>
      <c r="AQ389" s="388">
        <f t="shared" si="189"/>
        <v>2.3649357367928001</v>
      </c>
      <c r="AR389" s="389">
        <f t="shared" si="215"/>
        <v>2.2960541133910679</v>
      </c>
      <c r="AS389" s="389">
        <f t="shared" si="215"/>
        <v>2.2291787508651146</v>
      </c>
      <c r="AT389" s="389">
        <f t="shared" si="224"/>
        <v>2.16425121443215</v>
      </c>
      <c r="AU389" s="389">
        <f t="shared" si="224"/>
        <v>2.1012147712933498</v>
      </c>
      <c r="AV389" s="389">
        <f t="shared" si="224"/>
        <v>2.0400143410615046</v>
      </c>
      <c r="AW389" s="389">
        <f t="shared" si="224"/>
        <v>1.9805964476325288</v>
      </c>
      <c r="AX389" s="389">
        <f t="shared" si="224"/>
        <v>1.9229091724587657</v>
      </c>
      <c r="AY389" s="389">
        <f t="shared" si="224"/>
        <v>1.8669021091832678</v>
      </c>
      <c r="AZ389" s="389">
        <f t="shared" si="224"/>
        <v>1.8125263195954056</v>
      </c>
      <c r="BA389" s="389">
        <f t="shared" si="224"/>
        <v>1.7597342908693259</v>
      </c>
      <c r="BB389" s="389">
        <f t="shared" si="224"/>
        <v>1.7084798940478891</v>
      </c>
      <c r="BC389" s="389">
        <f t="shared" si="224"/>
        <v>1.6587183437358151</v>
      </c>
      <c r="BD389" s="389">
        <f t="shared" si="225"/>
        <v>1.6104061589668108</v>
      </c>
      <c r="BE389" s="389">
        <f t="shared" si="225"/>
        <v>1.5635011252104958</v>
      </c>
      <c r="BF389" s="389">
        <f t="shared" si="225"/>
        <v>1.517962257485918</v>
      </c>
      <c r="BG389" s="389">
        <f t="shared" si="225"/>
        <v>1.4737497645494353</v>
      </c>
      <c r="BH389" s="389">
        <f t="shared" si="225"/>
        <v>1.4308250141256653</v>
      </c>
      <c r="BI389" s="389">
        <f t="shared" si="225"/>
        <v>1.3891504991511314</v>
      </c>
      <c r="BJ389" s="389">
        <f t="shared" si="225"/>
        <v>1.3486898050010985</v>
      </c>
      <c r="BK389" s="390">
        <f t="shared" si="191"/>
        <v>36.239800129849542</v>
      </c>
    </row>
    <row r="390" spans="31:63" x14ac:dyDescent="0.3">
      <c r="AE390" s="367">
        <f t="shared" si="196"/>
        <v>483000000</v>
      </c>
      <c r="AF390" s="158">
        <f t="shared" si="217"/>
        <v>575</v>
      </c>
      <c r="AG390" s="41">
        <v>23</v>
      </c>
      <c r="AH390" s="41" t="s">
        <v>376</v>
      </c>
      <c r="AI390" s="362">
        <f t="shared" si="218"/>
        <v>30</v>
      </c>
      <c r="AJ390" s="370">
        <f t="shared" si="219"/>
        <v>27</v>
      </c>
      <c r="AK390" s="232">
        <f t="shared" si="226"/>
        <v>0.39750000000000002</v>
      </c>
      <c r="AL390" s="433">
        <f t="shared" si="220"/>
        <v>0.159</v>
      </c>
      <c r="AM390" s="224">
        <f t="shared" si="221"/>
        <v>1.5600000000000002E-3</v>
      </c>
      <c r="AN390" s="368">
        <f t="shared" si="222"/>
        <v>5.5650000000000005E-2</v>
      </c>
      <c r="AO390" s="369">
        <f t="shared" si="223"/>
        <v>2.3077257367928001</v>
      </c>
      <c r="AQ390" s="388">
        <f t="shared" si="189"/>
        <v>2.3649357367928001</v>
      </c>
      <c r="AR390" s="389">
        <f t="shared" si="215"/>
        <v>2.2960541133910679</v>
      </c>
      <c r="AS390" s="389">
        <f t="shared" si="215"/>
        <v>2.2291787508651146</v>
      </c>
      <c r="AT390" s="389">
        <f t="shared" si="224"/>
        <v>2.16425121443215</v>
      </c>
      <c r="AU390" s="389">
        <f t="shared" si="224"/>
        <v>2.1012147712933498</v>
      </c>
      <c r="AV390" s="389">
        <f t="shared" si="224"/>
        <v>2.0400143410615046</v>
      </c>
      <c r="AW390" s="389">
        <f t="shared" si="224"/>
        <v>1.9805964476325288</v>
      </c>
      <c r="AX390" s="389">
        <f t="shared" si="224"/>
        <v>1.9229091724587657</v>
      </c>
      <c r="AY390" s="389">
        <f t="shared" si="224"/>
        <v>1.8669021091832678</v>
      </c>
      <c r="AZ390" s="389">
        <f t="shared" si="224"/>
        <v>1.8125263195954056</v>
      </c>
      <c r="BA390" s="389">
        <f t="shared" si="224"/>
        <v>1.7597342908693259</v>
      </c>
      <c r="BB390" s="389">
        <f t="shared" si="224"/>
        <v>1.7084798940478891</v>
      </c>
      <c r="BC390" s="389">
        <f t="shared" si="224"/>
        <v>1.6587183437358151</v>
      </c>
      <c r="BD390" s="389">
        <f t="shared" si="225"/>
        <v>1.6104061589668108</v>
      </c>
      <c r="BE390" s="389">
        <f t="shared" si="225"/>
        <v>1.5635011252104958</v>
      </c>
      <c r="BF390" s="389">
        <f t="shared" si="225"/>
        <v>1.517962257485918</v>
      </c>
      <c r="BG390" s="389">
        <f t="shared" si="225"/>
        <v>1.4737497645494353</v>
      </c>
      <c r="BH390" s="389">
        <f t="shared" si="225"/>
        <v>1.4308250141256653</v>
      </c>
      <c r="BI390" s="389">
        <f t="shared" si="225"/>
        <v>1.3891504991511314</v>
      </c>
      <c r="BJ390" s="389">
        <f t="shared" si="225"/>
        <v>1.3486898050010985</v>
      </c>
      <c r="BK390" s="390">
        <f t="shared" si="191"/>
        <v>36.239800129849542</v>
      </c>
    </row>
    <row r="391" spans="31:63" x14ac:dyDescent="0.3">
      <c r="AE391" s="367">
        <f t="shared" si="196"/>
        <v>504000000</v>
      </c>
      <c r="AF391" s="158">
        <f t="shared" si="217"/>
        <v>600</v>
      </c>
      <c r="AG391" s="41">
        <v>24</v>
      </c>
      <c r="AH391" s="41" t="s">
        <v>376</v>
      </c>
      <c r="AI391" s="362">
        <f t="shared" si="218"/>
        <v>30</v>
      </c>
      <c r="AJ391" s="370">
        <f t="shared" si="219"/>
        <v>27</v>
      </c>
      <c r="AK391" s="232">
        <f t="shared" si="226"/>
        <v>0.39750000000000002</v>
      </c>
      <c r="AL391" s="433">
        <f t="shared" si="220"/>
        <v>0.159</v>
      </c>
      <c r="AM391" s="224">
        <f t="shared" si="221"/>
        <v>1.5600000000000002E-3</v>
      </c>
      <c r="AN391" s="368">
        <f t="shared" si="222"/>
        <v>5.5650000000000005E-2</v>
      </c>
      <c r="AO391" s="369">
        <f t="shared" si="223"/>
        <v>2.3077257367928001</v>
      </c>
      <c r="AQ391" s="388">
        <f t="shared" si="189"/>
        <v>2.3649357367928001</v>
      </c>
      <c r="AR391" s="389">
        <f t="shared" si="215"/>
        <v>2.2960541133910679</v>
      </c>
      <c r="AS391" s="389">
        <f t="shared" si="215"/>
        <v>2.2291787508651146</v>
      </c>
      <c r="AT391" s="389">
        <f t="shared" si="224"/>
        <v>2.16425121443215</v>
      </c>
      <c r="AU391" s="389">
        <f t="shared" si="224"/>
        <v>2.1012147712933498</v>
      </c>
      <c r="AV391" s="389">
        <f t="shared" si="224"/>
        <v>2.0400143410615046</v>
      </c>
      <c r="AW391" s="389">
        <f t="shared" si="224"/>
        <v>1.9805964476325288</v>
      </c>
      <c r="AX391" s="389">
        <f t="shared" si="224"/>
        <v>1.9229091724587657</v>
      </c>
      <c r="AY391" s="389">
        <f t="shared" si="224"/>
        <v>1.8669021091832678</v>
      </c>
      <c r="AZ391" s="389">
        <f t="shared" si="224"/>
        <v>1.8125263195954056</v>
      </c>
      <c r="BA391" s="389">
        <f t="shared" si="224"/>
        <v>1.7597342908693259</v>
      </c>
      <c r="BB391" s="389">
        <f t="shared" si="224"/>
        <v>1.7084798940478891</v>
      </c>
      <c r="BC391" s="389">
        <f t="shared" si="224"/>
        <v>1.6587183437358151</v>
      </c>
      <c r="BD391" s="389">
        <f t="shared" si="225"/>
        <v>1.6104061589668108</v>
      </c>
      <c r="BE391" s="389">
        <f t="shared" si="225"/>
        <v>1.5635011252104958</v>
      </c>
      <c r="BF391" s="389">
        <f t="shared" si="225"/>
        <v>1.517962257485918</v>
      </c>
      <c r="BG391" s="389">
        <f t="shared" si="225"/>
        <v>1.4737497645494353</v>
      </c>
      <c r="BH391" s="389">
        <f t="shared" si="225"/>
        <v>1.4308250141256653</v>
      </c>
      <c r="BI391" s="389">
        <f t="shared" si="225"/>
        <v>1.3891504991511314</v>
      </c>
      <c r="BJ391" s="389">
        <f t="shared" si="225"/>
        <v>1.3486898050010985</v>
      </c>
      <c r="BK391" s="390">
        <f t="shared" si="191"/>
        <v>36.239800129849542</v>
      </c>
    </row>
    <row r="392" spans="31:63" x14ac:dyDescent="0.3">
      <c r="AE392" s="367">
        <f t="shared" si="196"/>
        <v>525000000</v>
      </c>
      <c r="AF392" s="158">
        <f t="shared" si="217"/>
        <v>625</v>
      </c>
      <c r="AG392" s="41">
        <v>25</v>
      </c>
      <c r="AH392" s="41" t="s">
        <v>376</v>
      </c>
      <c r="AI392" s="362">
        <f t="shared" si="218"/>
        <v>30</v>
      </c>
      <c r="AJ392" s="370">
        <f t="shared" si="219"/>
        <v>27</v>
      </c>
      <c r="AK392" s="232">
        <f t="shared" si="226"/>
        <v>0.39750000000000002</v>
      </c>
      <c r="AL392" s="433">
        <f t="shared" si="220"/>
        <v>0.159</v>
      </c>
      <c r="AM392" s="224">
        <f t="shared" si="221"/>
        <v>1.5600000000000002E-3</v>
      </c>
      <c r="AN392" s="368">
        <f t="shared" si="222"/>
        <v>5.5650000000000005E-2</v>
      </c>
      <c r="AO392" s="369">
        <f t="shared" si="223"/>
        <v>2.3077257367928001</v>
      </c>
      <c r="AQ392" s="388">
        <f t="shared" si="189"/>
        <v>2.3649357367928001</v>
      </c>
      <c r="AR392" s="389">
        <f t="shared" si="215"/>
        <v>2.2960541133910679</v>
      </c>
      <c r="AS392" s="389">
        <f t="shared" si="215"/>
        <v>2.2291787508651146</v>
      </c>
      <c r="AT392" s="389">
        <f t="shared" si="224"/>
        <v>2.16425121443215</v>
      </c>
      <c r="AU392" s="389">
        <f t="shared" si="224"/>
        <v>2.1012147712933498</v>
      </c>
      <c r="AV392" s="389">
        <f t="shared" si="224"/>
        <v>2.0400143410615046</v>
      </c>
      <c r="AW392" s="389">
        <f t="shared" si="224"/>
        <v>1.9805964476325288</v>
      </c>
      <c r="AX392" s="389">
        <f t="shared" si="224"/>
        <v>1.9229091724587657</v>
      </c>
      <c r="AY392" s="389">
        <f t="shared" si="224"/>
        <v>1.8669021091832678</v>
      </c>
      <c r="AZ392" s="389">
        <f t="shared" si="224"/>
        <v>1.8125263195954056</v>
      </c>
      <c r="BA392" s="389">
        <f t="shared" si="224"/>
        <v>1.7597342908693259</v>
      </c>
      <c r="BB392" s="389">
        <f t="shared" si="224"/>
        <v>1.7084798940478891</v>
      </c>
      <c r="BC392" s="389">
        <f t="shared" si="224"/>
        <v>1.6587183437358151</v>
      </c>
      <c r="BD392" s="389">
        <f t="shared" si="225"/>
        <v>1.6104061589668108</v>
      </c>
      <c r="BE392" s="389">
        <f t="shared" si="225"/>
        <v>1.5635011252104958</v>
      </c>
      <c r="BF392" s="389">
        <f t="shared" si="225"/>
        <v>1.517962257485918</v>
      </c>
      <c r="BG392" s="389">
        <f t="shared" si="225"/>
        <v>1.4737497645494353</v>
      </c>
      <c r="BH392" s="389">
        <f t="shared" si="225"/>
        <v>1.4308250141256653</v>
      </c>
      <c r="BI392" s="389">
        <f t="shared" si="225"/>
        <v>1.3891504991511314</v>
      </c>
      <c r="BJ392" s="389">
        <f t="shared" si="225"/>
        <v>1.3486898050010985</v>
      </c>
      <c r="BK392" s="390">
        <f t="shared" si="191"/>
        <v>36.239800129849542</v>
      </c>
    </row>
    <row r="393" spans="31:63" x14ac:dyDescent="0.3">
      <c r="AE393" s="367">
        <f t="shared" si="196"/>
        <v>546000000</v>
      </c>
      <c r="AF393" s="158">
        <f t="shared" si="217"/>
        <v>650</v>
      </c>
      <c r="AG393" s="41">
        <v>26</v>
      </c>
      <c r="AH393" s="41" t="s">
        <v>376</v>
      </c>
      <c r="AI393" s="362">
        <f t="shared" si="218"/>
        <v>30</v>
      </c>
      <c r="AJ393" s="370">
        <f t="shared" si="219"/>
        <v>27</v>
      </c>
      <c r="AK393" s="232">
        <f t="shared" si="226"/>
        <v>0.39750000000000002</v>
      </c>
      <c r="AL393" s="433">
        <f t="shared" si="220"/>
        <v>0.159</v>
      </c>
      <c r="AM393" s="224">
        <f t="shared" si="221"/>
        <v>1.5600000000000002E-3</v>
      </c>
      <c r="AN393" s="368">
        <f t="shared" si="222"/>
        <v>5.5650000000000005E-2</v>
      </c>
      <c r="AO393" s="369">
        <f t="shared" si="223"/>
        <v>2.3077257367928001</v>
      </c>
      <c r="AQ393" s="388">
        <f t="shared" si="189"/>
        <v>2.3649357367928001</v>
      </c>
      <c r="AR393" s="389">
        <f t="shared" si="215"/>
        <v>2.2960541133910679</v>
      </c>
      <c r="AS393" s="389">
        <f t="shared" si="215"/>
        <v>2.2291787508651146</v>
      </c>
      <c r="AT393" s="389">
        <f t="shared" si="224"/>
        <v>2.16425121443215</v>
      </c>
      <c r="AU393" s="389">
        <f t="shared" si="224"/>
        <v>2.1012147712933498</v>
      </c>
      <c r="AV393" s="389">
        <f t="shared" si="224"/>
        <v>2.0400143410615046</v>
      </c>
      <c r="AW393" s="389">
        <f t="shared" si="224"/>
        <v>1.9805964476325288</v>
      </c>
      <c r="AX393" s="389">
        <f t="shared" si="224"/>
        <v>1.9229091724587657</v>
      </c>
      <c r="AY393" s="389">
        <f t="shared" si="224"/>
        <v>1.8669021091832678</v>
      </c>
      <c r="AZ393" s="389">
        <f t="shared" si="224"/>
        <v>1.8125263195954056</v>
      </c>
      <c r="BA393" s="389">
        <f t="shared" si="224"/>
        <v>1.7597342908693259</v>
      </c>
      <c r="BB393" s="389">
        <f t="shared" si="224"/>
        <v>1.7084798940478891</v>
      </c>
      <c r="BC393" s="389">
        <f t="shared" si="224"/>
        <v>1.6587183437358151</v>
      </c>
      <c r="BD393" s="389">
        <f t="shared" si="225"/>
        <v>1.6104061589668108</v>
      </c>
      <c r="BE393" s="389">
        <f t="shared" si="225"/>
        <v>1.5635011252104958</v>
      </c>
      <c r="BF393" s="389">
        <f t="shared" si="225"/>
        <v>1.517962257485918</v>
      </c>
      <c r="BG393" s="389">
        <f t="shared" si="225"/>
        <v>1.4737497645494353</v>
      </c>
      <c r="BH393" s="389">
        <f t="shared" si="225"/>
        <v>1.4308250141256653</v>
      </c>
      <c r="BI393" s="389">
        <f t="shared" si="225"/>
        <v>1.3891504991511314</v>
      </c>
      <c r="BJ393" s="389">
        <f t="shared" si="225"/>
        <v>1.3486898050010985</v>
      </c>
      <c r="BK393" s="390">
        <f t="shared" si="191"/>
        <v>36.239800129849542</v>
      </c>
    </row>
    <row r="394" spans="31:63" x14ac:dyDescent="0.3">
      <c r="AE394" s="367">
        <f t="shared" si="196"/>
        <v>567000000</v>
      </c>
      <c r="AF394" s="158">
        <f t="shared" si="217"/>
        <v>675</v>
      </c>
      <c r="AG394" s="41">
        <v>27</v>
      </c>
      <c r="AH394" s="41" t="s">
        <v>376</v>
      </c>
      <c r="AI394" s="362">
        <f t="shared" si="218"/>
        <v>30</v>
      </c>
      <c r="AJ394" s="370">
        <f t="shared" si="219"/>
        <v>27</v>
      </c>
      <c r="AK394" s="232">
        <f t="shared" si="226"/>
        <v>0.39750000000000002</v>
      </c>
      <c r="AL394" s="433">
        <f t="shared" si="220"/>
        <v>0.159</v>
      </c>
      <c r="AM394" s="224">
        <f t="shared" si="221"/>
        <v>1.5600000000000002E-3</v>
      </c>
      <c r="AN394" s="368">
        <f t="shared" si="222"/>
        <v>5.5650000000000005E-2</v>
      </c>
      <c r="AO394" s="369">
        <f t="shared" si="223"/>
        <v>2.3077257367928001</v>
      </c>
      <c r="AQ394" s="388">
        <f t="shared" si="189"/>
        <v>2.3649357367928001</v>
      </c>
      <c r="AR394" s="389">
        <f t="shared" si="215"/>
        <v>2.2960541133910679</v>
      </c>
      <c r="AS394" s="389">
        <f t="shared" si="215"/>
        <v>2.2291787508651146</v>
      </c>
      <c r="AT394" s="389">
        <f t="shared" si="224"/>
        <v>2.16425121443215</v>
      </c>
      <c r="AU394" s="389">
        <f t="shared" si="224"/>
        <v>2.1012147712933498</v>
      </c>
      <c r="AV394" s="389">
        <f t="shared" si="224"/>
        <v>2.0400143410615046</v>
      </c>
      <c r="AW394" s="389">
        <f t="shared" si="224"/>
        <v>1.9805964476325288</v>
      </c>
      <c r="AX394" s="389">
        <f t="shared" si="224"/>
        <v>1.9229091724587657</v>
      </c>
      <c r="AY394" s="389">
        <f t="shared" si="224"/>
        <v>1.8669021091832678</v>
      </c>
      <c r="AZ394" s="389">
        <f t="shared" si="224"/>
        <v>1.8125263195954056</v>
      </c>
      <c r="BA394" s="389">
        <f t="shared" si="224"/>
        <v>1.7597342908693259</v>
      </c>
      <c r="BB394" s="389">
        <f t="shared" si="224"/>
        <v>1.7084798940478891</v>
      </c>
      <c r="BC394" s="389">
        <f t="shared" si="224"/>
        <v>1.6587183437358151</v>
      </c>
      <c r="BD394" s="389">
        <f t="shared" si="225"/>
        <v>1.6104061589668108</v>
      </c>
      <c r="BE394" s="389">
        <f t="shared" si="225"/>
        <v>1.5635011252104958</v>
      </c>
      <c r="BF394" s="389">
        <f t="shared" si="225"/>
        <v>1.517962257485918</v>
      </c>
      <c r="BG394" s="389">
        <f t="shared" si="225"/>
        <v>1.4737497645494353</v>
      </c>
      <c r="BH394" s="389">
        <f t="shared" si="225"/>
        <v>1.4308250141256653</v>
      </c>
      <c r="BI394" s="389">
        <f t="shared" si="225"/>
        <v>1.3891504991511314</v>
      </c>
      <c r="BJ394" s="389">
        <f t="shared" si="225"/>
        <v>1.3486898050010985</v>
      </c>
      <c r="BK394" s="390">
        <f t="shared" si="191"/>
        <v>36.239800129849542</v>
      </c>
    </row>
    <row r="395" spans="31:63" x14ac:dyDescent="0.3">
      <c r="AE395" s="367">
        <f t="shared" si="196"/>
        <v>588000000</v>
      </c>
      <c r="AF395" s="158">
        <f t="shared" si="217"/>
        <v>700</v>
      </c>
      <c r="AG395" s="41">
        <v>28</v>
      </c>
      <c r="AH395" s="41" t="s">
        <v>376</v>
      </c>
      <c r="AI395" s="362">
        <f t="shared" si="218"/>
        <v>30</v>
      </c>
      <c r="AJ395" s="370">
        <f t="shared" si="219"/>
        <v>27</v>
      </c>
      <c r="AK395" s="232">
        <f t="shared" si="226"/>
        <v>0.39750000000000002</v>
      </c>
      <c r="AL395" s="433">
        <f t="shared" si="220"/>
        <v>0.159</v>
      </c>
      <c r="AM395" s="224">
        <f t="shared" si="221"/>
        <v>1.5600000000000002E-3</v>
      </c>
      <c r="AN395" s="368">
        <f t="shared" si="222"/>
        <v>5.5650000000000005E-2</v>
      </c>
      <c r="AO395" s="369">
        <f t="shared" si="223"/>
        <v>2.3077257367928001</v>
      </c>
      <c r="AQ395" s="388">
        <f t="shared" si="189"/>
        <v>2.3649357367928001</v>
      </c>
      <c r="AR395" s="389">
        <f t="shared" si="215"/>
        <v>2.2960541133910679</v>
      </c>
      <c r="AS395" s="389">
        <f t="shared" si="215"/>
        <v>2.2291787508651146</v>
      </c>
      <c r="AT395" s="389">
        <f t="shared" si="224"/>
        <v>2.16425121443215</v>
      </c>
      <c r="AU395" s="389">
        <f t="shared" si="224"/>
        <v>2.1012147712933498</v>
      </c>
      <c r="AV395" s="389">
        <f t="shared" si="224"/>
        <v>2.0400143410615046</v>
      </c>
      <c r="AW395" s="389">
        <f t="shared" si="224"/>
        <v>1.9805964476325288</v>
      </c>
      <c r="AX395" s="389">
        <f t="shared" si="224"/>
        <v>1.9229091724587657</v>
      </c>
      <c r="AY395" s="389">
        <f t="shared" si="224"/>
        <v>1.8669021091832678</v>
      </c>
      <c r="AZ395" s="389">
        <f t="shared" si="224"/>
        <v>1.8125263195954056</v>
      </c>
      <c r="BA395" s="389">
        <f t="shared" si="224"/>
        <v>1.7597342908693259</v>
      </c>
      <c r="BB395" s="389">
        <f t="shared" si="224"/>
        <v>1.7084798940478891</v>
      </c>
      <c r="BC395" s="389">
        <f t="shared" si="224"/>
        <v>1.6587183437358151</v>
      </c>
      <c r="BD395" s="389">
        <f t="shared" si="225"/>
        <v>1.6104061589668108</v>
      </c>
      <c r="BE395" s="389">
        <f t="shared" si="225"/>
        <v>1.5635011252104958</v>
      </c>
      <c r="BF395" s="389">
        <f t="shared" si="225"/>
        <v>1.517962257485918</v>
      </c>
      <c r="BG395" s="389">
        <f t="shared" si="225"/>
        <v>1.4737497645494353</v>
      </c>
      <c r="BH395" s="389">
        <f t="shared" si="225"/>
        <v>1.4308250141256653</v>
      </c>
      <c r="BI395" s="389">
        <f t="shared" si="225"/>
        <v>1.3891504991511314</v>
      </c>
      <c r="BJ395" s="389">
        <f t="shared" si="225"/>
        <v>1.3486898050010985</v>
      </c>
      <c r="BK395" s="390">
        <f t="shared" si="191"/>
        <v>36.239800129849542</v>
      </c>
    </row>
    <row r="396" spans="31:63" x14ac:dyDescent="0.3">
      <c r="AE396" s="367">
        <f t="shared" si="196"/>
        <v>609000000</v>
      </c>
      <c r="AF396" s="158">
        <f t="shared" si="217"/>
        <v>725</v>
      </c>
      <c r="AG396" s="41">
        <v>29</v>
      </c>
      <c r="AH396" s="41" t="s">
        <v>376</v>
      </c>
      <c r="AI396" s="362">
        <f t="shared" si="218"/>
        <v>30</v>
      </c>
      <c r="AJ396" s="370">
        <f t="shared" si="219"/>
        <v>27</v>
      </c>
      <c r="AK396" s="232">
        <f t="shared" si="226"/>
        <v>0.39750000000000002</v>
      </c>
      <c r="AL396" s="433">
        <f t="shared" si="220"/>
        <v>0.159</v>
      </c>
      <c r="AM396" s="224">
        <f t="shared" si="221"/>
        <v>1.5600000000000002E-3</v>
      </c>
      <c r="AN396" s="368">
        <f t="shared" si="222"/>
        <v>5.5650000000000005E-2</v>
      </c>
      <c r="AO396" s="369">
        <f t="shared" si="223"/>
        <v>2.3077257367928001</v>
      </c>
      <c r="AQ396" s="388">
        <f t="shared" si="189"/>
        <v>2.3649357367928001</v>
      </c>
      <c r="AR396" s="389">
        <f t="shared" si="215"/>
        <v>2.2960541133910679</v>
      </c>
      <c r="AS396" s="389">
        <f t="shared" si="215"/>
        <v>2.2291787508651146</v>
      </c>
      <c r="AT396" s="389">
        <f t="shared" si="224"/>
        <v>2.16425121443215</v>
      </c>
      <c r="AU396" s="389">
        <f t="shared" si="224"/>
        <v>2.1012147712933498</v>
      </c>
      <c r="AV396" s="389">
        <f t="shared" si="224"/>
        <v>2.0400143410615046</v>
      </c>
      <c r="AW396" s="389">
        <f t="shared" si="224"/>
        <v>1.9805964476325288</v>
      </c>
      <c r="AX396" s="389">
        <f t="shared" si="224"/>
        <v>1.9229091724587657</v>
      </c>
      <c r="AY396" s="389">
        <f t="shared" si="224"/>
        <v>1.8669021091832678</v>
      </c>
      <c r="AZ396" s="389">
        <f t="shared" si="224"/>
        <v>1.8125263195954056</v>
      </c>
      <c r="BA396" s="389">
        <f t="shared" si="224"/>
        <v>1.7597342908693259</v>
      </c>
      <c r="BB396" s="389">
        <f t="shared" si="224"/>
        <v>1.7084798940478891</v>
      </c>
      <c r="BC396" s="389">
        <f t="shared" si="224"/>
        <v>1.6587183437358151</v>
      </c>
      <c r="BD396" s="389">
        <f t="shared" si="225"/>
        <v>1.6104061589668108</v>
      </c>
      <c r="BE396" s="389">
        <f t="shared" si="225"/>
        <v>1.5635011252104958</v>
      </c>
      <c r="BF396" s="389">
        <f t="shared" si="225"/>
        <v>1.517962257485918</v>
      </c>
      <c r="BG396" s="389">
        <f t="shared" si="225"/>
        <v>1.4737497645494353</v>
      </c>
      <c r="BH396" s="389">
        <f t="shared" si="225"/>
        <v>1.4308250141256653</v>
      </c>
      <c r="BI396" s="389">
        <f t="shared" si="225"/>
        <v>1.3891504991511314</v>
      </c>
      <c r="BJ396" s="389">
        <f t="shared" si="225"/>
        <v>1.3486898050010985</v>
      </c>
      <c r="BK396" s="390">
        <f t="shared" si="191"/>
        <v>36.239800129849542</v>
      </c>
    </row>
    <row r="397" spans="31:63" x14ac:dyDescent="0.3">
      <c r="AE397" s="367">
        <f t="shared" si="196"/>
        <v>630000000</v>
      </c>
      <c r="AF397" s="158">
        <f t="shared" si="217"/>
        <v>750</v>
      </c>
      <c r="AG397" s="41">
        <v>30</v>
      </c>
      <c r="AH397" s="41" t="s">
        <v>376</v>
      </c>
      <c r="AI397" s="362">
        <f t="shared" si="218"/>
        <v>30</v>
      </c>
      <c r="AJ397" s="370">
        <f t="shared" si="219"/>
        <v>27</v>
      </c>
      <c r="AK397" s="232">
        <f t="shared" si="226"/>
        <v>0.39750000000000002</v>
      </c>
      <c r="AL397" s="433">
        <f t="shared" si="220"/>
        <v>0.159</v>
      </c>
      <c r="AM397" s="224">
        <f t="shared" si="221"/>
        <v>1.5600000000000002E-3</v>
      </c>
      <c r="AN397" s="368">
        <f t="shared" si="222"/>
        <v>5.5650000000000005E-2</v>
      </c>
      <c r="AO397" s="369">
        <f t="shared" si="223"/>
        <v>2.3077257367928001</v>
      </c>
      <c r="AQ397" s="388">
        <f t="shared" si="189"/>
        <v>2.3649357367928001</v>
      </c>
      <c r="AR397" s="389">
        <f t="shared" si="215"/>
        <v>2.2960541133910679</v>
      </c>
      <c r="AS397" s="389">
        <f t="shared" si="215"/>
        <v>2.2291787508651146</v>
      </c>
      <c r="AT397" s="389">
        <f t="shared" si="224"/>
        <v>2.16425121443215</v>
      </c>
      <c r="AU397" s="389">
        <f t="shared" si="224"/>
        <v>2.1012147712933498</v>
      </c>
      <c r="AV397" s="389">
        <f t="shared" si="224"/>
        <v>2.0400143410615046</v>
      </c>
      <c r="AW397" s="389">
        <f t="shared" si="224"/>
        <v>1.9805964476325288</v>
      </c>
      <c r="AX397" s="389">
        <f t="shared" si="224"/>
        <v>1.9229091724587657</v>
      </c>
      <c r="AY397" s="389">
        <f t="shared" si="224"/>
        <v>1.8669021091832678</v>
      </c>
      <c r="AZ397" s="389">
        <f t="shared" si="224"/>
        <v>1.8125263195954056</v>
      </c>
      <c r="BA397" s="389">
        <f t="shared" si="224"/>
        <v>1.7597342908693259</v>
      </c>
      <c r="BB397" s="389">
        <f t="shared" si="224"/>
        <v>1.7084798940478891</v>
      </c>
      <c r="BC397" s="389">
        <f t="shared" si="224"/>
        <v>1.6587183437358151</v>
      </c>
      <c r="BD397" s="389">
        <f t="shared" si="225"/>
        <v>1.6104061589668108</v>
      </c>
      <c r="BE397" s="389">
        <f t="shared" si="225"/>
        <v>1.5635011252104958</v>
      </c>
      <c r="BF397" s="389">
        <f t="shared" si="225"/>
        <v>1.517962257485918</v>
      </c>
      <c r="BG397" s="389">
        <f t="shared" si="225"/>
        <v>1.4737497645494353</v>
      </c>
      <c r="BH397" s="389">
        <f t="shared" si="225"/>
        <v>1.4308250141256653</v>
      </c>
      <c r="BI397" s="389">
        <f t="shared" si="225"/>
        <v>1.3891504991511314</v>
      </c>
      <c r="BJ397" s="389">
        <f t="shared" si="225"/>
        <v>1.3486898050010985</v>
      </c>
      <c r="BK397" s="390">
        <f t="shared" si="191"/>
        <v>36.239800129849542</v>
      </c>
    </row>
    <row r="398" spans="31:63" x14ac:dyDescent="0.3">
      <c r="AE398" s="367">
        <f t="shared" si="196"/>
        <v>651000000</v>
      </c>
      <c r="AF398" s="158">
        <f t="shared" si="217"/>
        <v>775</v>
      </c>
      <c r="AG398" s="41">
        <v>31</v>
      </c>
      <c r="AH398" s="41" t="s">
        <v>376</v>
      </c>
      <c r="AI398" s="362">
        <f t="shared" si="218"/>
        <v>30</v>
      </c>
      <c r="AJ398" s="370">
        <f t="shared" si="219"/>
        <v>27</v>
      </c>
      <c r="AK398" s="232">
        <f t="shared" si="226"/>
        <v>0.39750000000000002</v>
      </c>
      <c r="AL398" s="433">
        <f t="shared" si="220"/>
        <v>0.159</v>
      </c>
      <c r="AM398" s="224">
        <f t="shared" si="221"/>
        <v>1.5600000000000002E-3</v>
      </c>
      <c r="AN398" s="368">
        <f t="shared" si="222"/>
        <v>5.5650000000000005E-2</v>
      </c>
      <c r="AO398" s="369">
        <f t="shared" si="223"/>
        <v>2.3077257367928001</v>
      </c>
      <c r="AQ398" s="388">
        <f t="shared" si="189"/>
        <v>2.3649357367928001</v>
      </c>
      <c r="AR398" s="389">
        <f t="shared" si="215"/>
        <v>2.2960541133910679</v>
      </c>
      <c r="AS398" s="389">
        <f t="shared" si="215"/>
        <v>2.2291787508651146</v>
      </c>
      <c r="AT398" s="389">
        <f t="shared" ref="AT398:BC407" si="227">$AQ398/POWER(1+($B$10/100),AT$366-2024)</f>
        <v>2.16425121443215</v>
      </c>
      <c r="AU398" s="389">
        <f t="shared" si="227"/>
        <v>2.1012147712933498</v>
      </c>
      <c r="AV398" s="389">
        <f t="shared" si="227"/>
        <v>2.0400143410615046</v>
      </c>
      <c r="AW398" s="389">
        <f t="shared" si="227"/>
        <v>1.9805964476325288</v>
      </c>
      <c r="AX398" s="389">
        <f t="shared" si="227"/>
        <v>1.9229091724587657</v>
      </c>
      <c r="AY398" s="389">
        <f t="shared" si="227"/>
        <v>1.8669021091832678</v>
      </c>
      <c r="AZ398" s="389">
        <f t="shared" si="227"/>
        <v>1.8125263195954056</v>
      </c>
      <c r="BA398" s="389">
        <f t="shared" si="227"/>
        <v>1.7597342908693259</v>
      </c>
      <c r="BB398" s="389">
        <f t="shared" si="227"/>
        <v>1.7084798940478891</v>
      </c>
      <c r="BC398" s="389">
        <f t="shared" si="227"/>
        <v>1.6587183437358151</v>
      </c>
      <c r="BD398" s="389">
        <f t="shared" ref="BD398:BJ407" si="228">$AQ398/POWER(1+($B$10/100),BD$366-2024)</f>
        <v>1.6104061589668108</v>
      </c>
      <c r="BE398" s="389">
        <f t="shared" si="228"/>
        <v>1.5635011252104958</v>
      </c>
      <c r="BF398" s="389">
        <f t="shared" si="228"/>
        <v>1.517962257485918</v>
      </c>
      <c r="BG398" s="389">
        <f t="shared" si="228"/>
        <v>1.4737497645494353</v>
      </c>
      <c r="BH398" s="389">
        <f t="shared" si="228"/>
        <v>1.4308250141256653</v>
      </c>
      <c r="BI398" s="389">
        <f t="shared" si="228"/>
        <v>1.3891504991511314</v>
      </c>
      <c r="BJ398" s="389">
        <f t="shared" si="228"/>
        <v>1.3486898050010985</v>
      </c>
      <c r="BK398" s="390">
        <f t="shared" si="191"/>
        <v>36.239800129849542</v>
      </c>
    </row>
    <row r="399" spans="31:63" x14ac:dyDescent="0.3">
      <c r="AE399" s="367">
        <f t="shared" si="196"/>
        <v>672000000</v>
      </c>
      <c r="AF399" s="158">
        <f t="shared" si="217"/>
        <v>800</v>
      </c>
      <c r="AG399" s="41">
        <v>32</v>
      </c>
      <c r="AH399" s="41" t="s">
        <v>376</v>
      </c>
      <c r="AI399" s="362">
        <f t="shared" si="218"/>
        <v>30</v>
      </c>
      <c r="AJ399" s="370">
        <f t="shared" si="219"/>
        <v>27</v>
      </c>
      <c r="AK399" s="232">
        <f t="shared" si="226"/>
        <v>0.39750000000000002</v>
      </c>
      <c r="AL399" s="433">
        <f t="shared" si="220"/>
        <v>0.159</v>
      </c>
      <c r="AM399" s="224">
        <f t="shared" si="221"/>
        <v>1.5600000000000002E-3</v>
      </c>
      <c r="AN399" s="368">
        <f t="shared" si="222"/>
        <v>5.5650000000000005E-2</v>
      </c>
      <c r="AO399" s="369">
        <f t="shared" si="223"/>
        <v>2.3077257367928001</v>
      </c>
      <c r="AQ399" s="388">
        <f t="shared" si="189"/>
        <v>2.3649357367928001</v>
      </c>
      <c r="AR399" s="389">
        <f t="shared" si="215"/>
        <v>2.2960541133910679</v>
      </c>
      <c r="AS399" s="389">
        <f t="shared" si="215"/>
        <v>2.2291787508651146</v>
      </c>
      <c r="AT399" s="389">
        <f t="shared" si="227"/>
        <v>2.16425121443215</v>
      </c>
      <c r="AU399" s="389">
        <f t="shared" si="227"/>
        <v>2.1012147712933498</v>
      </c>
      <c r="AV399" s="389">
        <f t="shared" si="227"/>
        <v>2.0400143410615046</v>
      </c>
      <c r="AW399" s="389">
        <f t="shared" si="227"/>
        <v>1.9805964476325288</v>
      </c>
      <c r="AX399" s="389">
        <f t="shared" si="227"/>
        <v>1.9229091724587657</v>
      </c>
      <c r="AY399" s="389">
        <f t="shared" si="227"/>
        <v>1.8669021091832678</v>
      </c>
      <c r="AZ399" s="389">
        <f t="shared" si="227"/>
        <v>1.8125263195954056</v>
      </c>
      <c r="BA399" s="389">
        <f t="shared" si="227"/>
        <v>1.7597342908693259</v>
      </c>
      <c r="BB399" s="389">
        <f t="shared" si="227"/>
        <v>1.7084798940478891</v>
      </c>
      <c r="BC399" s="389">
        <f t="shared" si="227"/>
        <v>1.6587183437358151</v>
      </c>
      <c r="BD399" s="389">
        <f t="shared" si="228"/>
        <v>1.6104061589668108</v>
      </c>
      <c r="BE399" s="389">
        <f t="shared" si="228"/>
        <v>1.5635011252104958</v>
      </c>
      <c r="BF399" s="389">
        <f t="shared" si="228"/>
        <v>1.517962257485918</v>
      </c>
      <c r="BG399" s="389">
        <f t="shared" si="228"/>
        <v>1.4737497645494353</v>
      </c>
      <c r="BH399" s="389">
        <f t="shared" si="228"/>
        <v>1.4308250141256653</v>
      </c>
      <c r="BI399" s="389">
        <f t="shared" si="228"/>
        <v>1.3891504991511314</v>
      </c>
      <c r="BJ399" s="389">
        <f t="shared" si="228"/>
        <v>1.3486898050010985</v>
      </c>
      <c r="BK399" s="390">
        <f t="shared" si="191"/>
        <v>36.239800129849542</v>
      </c>
    </row>
    <row r="400" spans="31:63" x14ac:dyDescent="0.3">
      <c r="AE400" s="367">
        <f t="shared" si="196"/>
        <v>693000000</v>
      </c>
      <c r="AF400" s="158">
        <f t="shared" si="217"/>
        <v>825</v>
      </c>
      <c r="AG400" s="41">
        <v>33</v>
      </c>
      <c r="AH400" s="41" t="s">
        <v>376</v>
      </c>
      <c r="AI400" s="362">
        <f t="shared" si="218"/>
        <v>30</v>
      </c>
      <c r="AJ400" s="370">
        <f t="shared" si="219"/>
        <v>27</v>
      </c>
      <c r="AK400" s="232">
        <f t="shared" si="226"/>
        <v>0.39750000000000002</v>
      </c>
      <c r="AL400" s="433">
        <f t="shared" si="220"/>
        <v>0.159</v>
      </c>
      <c r="AM400" s="224">
        <f t="shared" si="221"/>
        <v>1.5600000000000002E-3</v>
      </c>
      <c r="AN400" s="368">
        <f t="shared" si="222"/>
        <v>5.5650000000000005E-2</v>
      </c>
      <c r="AO400" s="369">
        <f t="shared" si="223"/>
        <v>2.3077257367928001</v>
      </c>
      <c r="AQ400" s="388">
        <f t="shared" si="189"/>
        <v>2.3649357367928001</v>
      </c>
      <c r="AR400" s="389">
        <f t="shared" si="215"/>
        <v>2.2960541133910679</v>
      </c>
      <c r="AS400" s="389">
        <f t="shared" si="215"/>
        <v>2.2291787508651146</v>
      </c>
      <c r="AT400" s="389">
        <f t="shared" si="227"/>
        <v>2.16425121443215</v>
      </c>
      <c r="AU400" s="389">
        <f t="shared" si="227"/>
        <v>2.1012147712933498</v>
      </c>
      <c r="AV400" s="389">
        <f t="shared" si="227"/>
        <v>2.0400143410615046</v>
      </c>
      <c r="AW400" s="389">
        <f t="shared" si="227"/>
        <v>1.9805964476325288</v>
      </c>
      <c r="AX400" s="389">
        <f t="shared" si="227"/>
        <v>1.9229091724587657</v>
      </c>
      <c r="AY400" s="389">
        <f t="shared" si="227"/>
        <v>1.8669021091832678</v>
      </c>
      <c r="AZ400" s="389">
        <f t="shared" si="227"/>
        <v>1.8125263195954056</v>
      </c>
      <c r="BA400" s="389">
        <f t="shared" si="227"/>
        <v>1.7597342908693259</v>
      </c>
      <c r="BB400" s="389">
        <f t="shared" si="227"/>
        <v>1.7084798940478891</v>
      </c>
      <c r="BC400" s="389">
        <f t="shared" si="227"/>
        <v>1.6587183437358151</v>
      </c>
      <c r="BD400" s="389">
        <f t="shared" si="228"/>
        <v>1.6104061589668108</v>
      </c>
      <c r="BE400" s="389">
        <f t="shared" si="228"/>
        <v>1.5635011252104958</v>
      </c>
      <c r="BF400" s="389">
        <f t="shared" si="228"/>
        <v>1.517962257485918</v>
      </c>
      <c r="BG400" s="389">
        <f t="shared" si="228"/>
        <v>1.4737497645494353</v>
      </c>
      <c r="BH400" s="389">
        <f t="shared" si="228"/>
        <v>1.4308250141256653</v>
      </c>
      <c r="BI400" s="389">
        <f t="shared" si="228"/>
        <v>1.3891504991511314</v>
      </c>
      <c r="BJ400" s="389">
        <f t="shared" si="228"/>
        <v>1.3486898050010985</v>
      </c>
      <c r="BK400" s="390">
        <f t="shared" si="191"/>
        <v>36.239800129849542</v>
      </c>
    </row>
    <row r="401" spans="31:63" x14ac:dyDescent="0.3">
      <c r="AE401" s="367">
        <f t="shared" si="196"/>
        <v>714000000</v>
      </c>
      <c r="AF401" s="158">
        <f t="shared" si="217"/>
        <v>850</v>
      </c>
      <c r="AG401" s="41">
        <v>34</v>
      </c>
      <c r="AH401" s="41" t="s">
        <v>376</v>
      </c>
      <c r="AI401" s="362">
        <f t="shared" si="218"/>
        <v>30</v>
      </c>
      <c r="AJ401" s="370">
        <f t="shared" si="219"/>
        <v>27</v>
      </c>
      <c r="AK401" s="232">
        <f t="shared" si="226"/>
        <v>0.39750000000000002</v>
      </c>
      <c r="AL401" s="433">
        <f t="shared" si="220"/>
        <v>0.159</v>
      </c>
      <c r="AM401" s="224">
        <f t="shared" si="221"/>
        <v>1.5600000000000002E-3</v>
      </c>
      <c r="AN401" s="368">
        <f t="shared" si="222"/>
        <v>5.5650000000000005E-2</v>
      </c>
      <c r="AO401" s="369">
        <f t="shared" si="223"/>
        <v>2.3077257367928001</v>
      </c>
      <c r="AQ401" s="388">
        <f t="shared" si="189"/>
        <v>2.3649357367928001</v>
      </c>
      <c r="AR401" s="389">
        <f t="shared" si="215"/>
        <v>2.2960541133910679</v>
      </c>
      <c r="AS401" s="389">
        <f t="shared" si="215"/>
        <v>2.2291787508651146</v>
      </c>
      <c r="AT401" s="389">
        <f t="shared" si="227"/>
        <v>2.16425121443215</v>
      </c>
      <c r="AU401" s="389">
        <f t="shared" si="227"/>
        <v>2.1012147712933498</v>
      </c>
      <c r="AV401" s="389">
        <f t="shared" si="227"/>
        <v>2.0400143410615046</v>
      </c>
      <c r="AW401" s="389">
        <f t="shared" si="227"/>
        <v>1.9805964476325288</v>
      </c>
      <c r="AX401" s="389">
        <f t="shared" si="227"/>
        <v>1.9229091724587657</v>
      </c>
      <c r="AY401" s="389">
        <f t="shared" si="227"/>
        <v>1.8669021091832678</v>
      </c>
      <c r="AZ401" s="389">
        <f t="shared" si="227"/>
        <v>1.8125263195954056</v>
      </c>
      <c r="BA401" s="389">
        <f t="shared" si="227"/>
        <v>1.7597342908693259</v>
      </c>
      <c r="BB401" s="389">
        <f t="shared" si="227"/>
        <v>1.7084798940478891</v>
      </c>
      <c r="BC401" s="389">
        <f t="shared" si="227"/>
        <v>1.6587183437358151</v>
      </c>
      <c r="BD401" s="389">
        <f t="shared" si="228"/>
        <v>1.6104061589668108</v>
      </c>
      <c r="BE401" s="389">
        <f t="shared" si="228"/>
        <v>1.5635011252104958</v>
      </c>
      <c r="BF401" s="389">
        <f t="shared" si="228"/>
        <v>1.517962257485918</v>
      </c>
      <c r="BG401" s="389">
        <f t="shared" si="228"/>
        <v>1.4737497645494353</v>
      </c>
      <c r="BH401" s="389">
        <f t="shared" si="228"/>
        <v>1.4308250141256653</v>
      </c>
      <c r="BI401" s="389">
        <f t="shared" si="228"/>
        <v>1.3891504991511314</v>
      </c>
      <c r="BJ401" s="389">
        <f t="shared" si="228"/>
        <v>1.3486898050010985</v>
      </c>
      <c r="BK401" s="390">
        <f t="shared" si="191"/>
        <v>36.239800129849542</v>
      </c>
    </row>
    <row r="402" spans="31:63" x14ac:dyDescent="0.3">
      <c r="AE402" s="367">
        <f t="shared" si="196"/>
        <v>735000000</v>
      </c>
      <c r="AF402" s="158">
        <f t="shared" si="217"/>
        <v>875</v>
      </c>
      <c r="AG402" s="41">
        <v>35</v>
      </c>
      <c r="AH402" s="41" t="s">
        <v>376</v>
      </c>
      <c r="AI402" s="362">
        <f t="shared" si="218"/>
        <v>30</v>
      </c>
      <c r="AJ402" s="370">
        <f t="shared" si="219"/>
        <v>27</v>
      </c>
      <c r="AK402" s="232">
        <f t="shared" si="226"/>
        <v>0.39750000000000002</v>
      </c>
      <c r="AL402" s="433">
        <f t="shared" si="220"/>
        <v>0.159</v>
      </c>
      <c r="AM402" s="224">
        <f t="shared" si="221"/>
        <v>1.5600000000000002E-3</v>
      </c>
      <c r="AN402" s="368">
        <f t="shared" si="222"/>
        <v>5.5650000000000005E-2</v>
      </c>
      <c r="AO402" s="369">
        <f t="shared" si="223"/>
        <v>2.3077257367928001</v>
      </c>
      <c r="AQ402" s="388">
        <f t="shared" si="189"/>
        <v>2.3649357367928001</v>
      </c>
      <c r="AR402" s="389">
        <f t="shared" si="215"/>
        <v>2.2960541133910679</v>
      </c>
      <c r="AS402" s="389">
        <f t="shared" si="215"/>
        <v>2.2291787508651146</v>
      </c>
      <c r="AT402" s="389">
        <f t="shared" si="227"/>
        <v>2.16425121443215</v>
      </c>
      <c r="AU402" s="389">
        <f t="shared" si="227"/>
        <v>2.1012147712933498</v>
      </c>
      <c r="AV402" s="389">
        <f t="shared" si="227"/>
        <v>2.0400143410615046</v>
      </c>
      <c r="AW402" s="389">
        <f t="shared" si="227"/>
        <v>1.9805964476325288</v>
      </c>
      <c r="AX402" s="389">
        <f t="shared" si="227"/>
        <v>1.9229091724587657</v>
      </c>
      <c r="AY402" s="389">
        <f t="shared" si="227"/>
        <v>1.8669021091832678</v>
      </c>
      <c r="AZ402" s="389">
        <f t="shared" si="227"/>
        <v>1.8125263195954056</v>
      </c>
      <c r="BA402" s="389">
        <f t="shared" si="227"/>
        <v>1.7597342908693259</v>
      </c>
      <c r="BB402" s="389">
        <f t="shared" si="227"/>
        <v>1.7084798940478891</v>
      </c>
      <c r="BC402" s="389">
        <f t="shared" si="227"/>
        <v>1.6587183437358151</v>
      </c>
      <c r="BD402" s="389">
        <f t="shared" si="228"/>
        <v>1.6104061589668108</v>
      </c>
      <c r="BE402" s="389">
        <f t="shared" si="228"/>
        <v>1.5635011252104958</v>
      </c>
      <c r="BF402" s="389">
        <f t="shared" si="228"/>
        <v>1.517962257485918</v>
      </c>
      <c r="BG402" s="389">
        <f t="shared" si="228"/>
        <v>1.4737497645494353</v>
      </c>
      <c r="BH402" s="389">
        <f t="shared" si="228"/>
        <v>1.4308250141256653</v>
      </c>
      <c r="BI402" s="389">
        <f t="shared" si="228"/>
        <v>1.3891504991511314</v>
      </c>
      <c r="BJ402" s="389">
        <f t="shared" si="228"/>
        <v>1.3486898050010985</v>
      </c>
      <c r="BK402" s="390">
        <f t="shared" si="191"/>
        <v>36.239800129849542</v>
      </c>
    </row>
    <row r="403" spans="31:63" x14ac:dyDescent="0.3">
      <c r="AE403" s="367">
        <f t="shared" si="196"/>
        <v>756000000</v>
      </c>
      <c r="AF403" s="158">
        <f t="shared" si="217"/>
        <v>900</v>
      </c>
      <c r="AG403" s="41">
        <v>36</v>
      </c>
      <c r="AH403" s="41" t="s">
        <v>376</v>
      </c>
      <c r="AI403" s="362">
        <f t="shared" si="218"/>
        <v>30</v>
      </c>
      <c r="AJ403" s="370">
        <f t="shared" si="219"/>
        <v>27</v>
      </c>
      <c r="AK403" s="232">
        <f t="shared" si="226"/>
        <v>0.39750000000000002</v>
      </c>
      <c r="AL403" s="433">
        <f t="shared" si="220"/>
        <v>0.159</v>
      </c>
      <c r="AM403" s="224">
        <f t="shared" si="221"/>
        <v>1.5600000000000002E-3</v>
      </c>
      <c r="AN403" s="368">
        <f t="shared" si="222"/>
        <v>5.5650000000000005E-2</v>
      </c>
      <c r="AO403" s="369">
        <f t="shared" si="223"/>
        <v>2.3077257367928001</v>
      </c>
      <c r="AQ403" s="388">
        <f t="shared" si="189"/>
        <v>2.3649357367928001</v>
      </c>
      <c r="AR403" s="389">
        <f t="shared" si="215"/>
        <v>2.2960541133910679</v>
      </c>
      <c r="AS403" s="389">
        <f t="shared" si="215"/>
        <v>2.2291787508651146</v>
      </c>
      <c r="AT403" s="389">
        <f t="shared" si="227"/>
        <v>2.16425121443215</v>
      </c>
      <c r="AU403" s="389">
        <f t="shared" si="227"/>
        <v>2.1012147712933498</v>
      </c>
      <c r="AV403" s="389">
        <f t="shared" si="227"/>
        <v>2.0400143410615046</v>
      </c>
      <c r="AW403" s="389">
        <f t="shared" si="227"/>
        <v>1.9805964476325288</v>
      </c>
      <c r="AX403" s="389">
        <f t="shared" si="227"/>
        <v>1.9229091724587657</v>
      </c>
      <c r="AY403" s="389">
        <f t="shared" si="227"/>
        <v>1.8669021091832678</v>
      </c>
      <c r="AZ403" s="389">
        <f t="shared" si="227"/>
        <v>1.8125263195954056</v>
      </c>
      <c r="BA403" s="389">
        <f t="shared" si="227"/>
        <v>1.7597342908693259</v>
      </c>
      <c r="BB403" s="389">
        <f t="shared" si="227"/>
        <v>1.7084798940478891</v>
      </c>
      <c r="BC403" s="389">
        <f t="shared" si="227"/>
        <v>1.6587183437358151</v>
      </c>
      <c r="BD403" s="389">
        <f t="shared" si="228"/>
        <v>1.6104061589668108</v>
      </c>
      <c r="BE403" s="389">
        <f t="shared" si="228"/>
        <v>1.5635011252104958</v>
      </c>
      <c r="BF403" s="389">
        <f t="shared" si="228"/>
        <v>1.517962257485918</v>
      </c>
      <c r="BG403" s="389">
        <f t="shared" si="228"/>
        <v>1.4737497645494353</v>
      </c>
      <c r="BH403" s="389">
        <f t="shared" si="228"/>
        <v>1.4308250141256653</v>
      </c>
      <c r="BI403" s="389">
        <f t="shared" si="228"/>
        <v>1.3891504991511314</v>
      </c>
      <c r="BJ403" s="389">
        <f t="shared" si="228"/>
        <v>1.3486898050010985</v>
      </c>
      <c r="BK403" s="390">
        <f t="shared" si="191"/>
        <v>36.239800129849542</v>
      </c>
    </row>
    <row r="404" spans="31:63" x14ac:dyDescent="0.3">
      <c r="AE404" s="367">
        <f t="shared" si="196"/>
        <v>777000000</v>
      </c>
      <c r="AF404" s="158">
        <f t="shared" si="217"/>
        <v>925</v>
      </c>
      <c r="AG404" s="41">
        <v>37</v>
      </c>
      <c r="AH404" s="41" t="s">
        <v>376</v>
      </c>
      <c r="AI404" s="362">
        <f t="shared" si="218"/>
        <v>30</v>
      </c>
      <c r="AJ404" s="370">
        <f t="shared" si="219"/>
        <v>27</v>
      </c>
      <c r="AK404" s="232">
        <f t="shared" si="226"/>
        <v>0.39750000000000002</v>
      </c>
      <c r="AL404" s="433">
        <f t="shared" si="220"/>
        <v>0.159</v>
      </c>
      <c r="AM404" s="224">
        <f t="shared" si="221"/>
        <v>1.5600000000000002E-3</v>
      </c>
      <c r="AN404" s="368">
        <f t="shared" si="222"/>
        <v>5.5650000000000005E-2</v>
      </c>
      <c r="AO404" s="369">
        <f t="shared" si="223"/>
        <v>2.3077257367928001</v>
      </c>
      <c r="AQ404" s="388">
        <f t="shared" si="189"/>
        <v>2.3649357367928001</v>
      </c>
      <c r="AR404" s="389">
        <f t="shared" si="215"/>
        <v>2.2960541133910679</v>
      </c>
      <c r="AS404" s="389">
        <f t="shared" si="215"/>
        <v>2.2291787508651146</v>
      </c>
      <c r="AT404" s="389">
        <f t="shared" si="227"/>
        <v>2.16425121443215</v>
      </c>
      <c r="AU404" s="389">
        <f t="shared" si="227"/>
        <v>2.1012147712933498</v>
      </c>
      <c r="AV404" s="389">
        <f t="shared" si="227"/>
        <v>2.0400143410615046</v>
      </c>
      <c r="AW404" s="389">
        <f t="shared" si="227"/>
        <v>1.9805964476325288</v>
      </c>
      <c r="AX404" s="389">
        <f t="shared" si="227"/>
        <v>1.9229091724587657</v>
      </c>
      <c r="AY404" s="389">
        <f t="shared" si="227"/>
        <v>1.8669021091832678</v>
      </c>
      <c r="AZ404" s="389">
        <f t="shared" si="227"/>
        <v>1.8125263195954056</v>
      </c>
      <c r="BA404" s="389">
        <f t="shared" si="227"/>
        <v>1.7597342908693259</v>
      </c>
      <c r="BB404" s="389">
        <f t="shared" si="227"/>
        <v>1.7084798940478891</v>
      </c>
      <c r="BC404" s="389">
        <f t="shared" si="227"/>
        <v>1.6587183437358151</v>
      </c>
      <c r="BD404" s="389">
        <f t="shared" si="228"/>
        <v>1.6104061589668108</v>
      </c>
      <c r="BE404" s="389">
        <f t="shared" si="228"/>
        <v>1.5635011252104958</v>
      </c>
      <c r="BF404" s="389">
        <f t="shared" si="228"/>
        <v>1.517962257485918</v>
      </c>
      <c r="BG404" s="389">
        <f t="shared" si="228"/>
        <v>1.4737497645494353</v>
      </c>
      <c r="BH404" s="389">
        <f t="shared" si="228"/>
        <v>1.4308250141256653</v>
      </c>
      <c r="BI404" s="389">
        <f t="shared" si="228"/>
        <v>1.3891504991511314</v>
      </c>
      <c r="BJ404" s="389">
        <f t="shared" si="228"/>
        <v>1.3486898050010985</v>
      </c>
      <c r="BK404" s="390">
        <f t="shared" si="191"/>
        <v>36.239800129849542</v>
      </c>
    </row>
    <row r="405" spans="31:63" x14ac:dyDescent="0.3">
      <c r="AE405" s="367">
        <f t="shared" si="196"/>
        <v>798000000</v>
      </c>
      <c r="AF405" s="158">
        <f t="shared" si="217"/>
        <v>950</v>
      </c>
      <c r="AG405" s="41">
        <v>38</v>
      </c>
      <c r="AH405" s="41" t="s">
        <v>376</v>
      </c>
      <c r="AI405" s="362">
        <f t="shared" si="218"/>
        <v>30</v>
      </c>
      <c r="AJ405" s="370">
        <f t="shared" si="219"/>
        <v>27</v>
      </c>
      <c r="AK405" s="232">
        <f t="shared" si="226"/>
        <v>0.39750000000000002</v>
      </c>
      <c r="AL405" s="433">
        <f t="shared" si="220"/>
        <v>0.159</v>
      </c>
      <c r="AM405" s="224">
        <f t="shared" si="221"/>
        <v>1.5600000000000002E-3</v>
      </c>
      <c r="AN405" s="368">
        <f t="shared" si="222"/>
        <v>5.5650000000000005E-2</v>
      </c>
      <c r="AO405" s="369">
        <f t="shared" si="223"/>
        <v>2.3077257367928001</v>
      </c>
      <c r="AQ405" s="388">
        <f t="shared" si="189"/>
        <v>2.3649357367928001</v>
      </c>
      <c r="AR405" s="389">
        <f t="shared" si="215"/>
        <v>2.2960541133910679</v>
      </c>
      <c r="AS405" s="389">
        <f t="shared" si="215"/>
        <v>2.2291787508651146</v>
      </c>
      <c r="AT405" s="389">
        <f t="shared" si="227"/>
        <v>2.16425121443215</v>
      </c>
      <c r="AU405" s="389">
        <f t="shared" si="227"/>
        <v>2.1012147712933498</v>
      </c>
      <c r="AV405" s="389">
        <f t="shared" si="227"/>
        <v>2.0400143410615046</v>
      </c>
      <c r="AW405" s="389">
        <f t="shared" si="227"/>
        <v>1.9805964476325288</v>
      </c>
      <c r="AX405" s="389">
        <f t="shared" si="227"/>
        <v>1.9229091724587657</v>
      </c>
      <c r="AY405" s="389">
        <f t="shared" si="227"/>
        <v>1.8669021091832678</v>
      </c>
      <c r="AZ405" s="389">
        <f t="shared" si="227"/>
        <v>1.8125263195954056</v>
      </c>
      <c r="BA405" s="389">
        <f t="shared" si="227"/>
        <v>1.7597342908693259</v>
      </c>
      <c r="BB405" s="389">
        <f t="shared" si="227"/>
        <v>1.7084798940478891</v>
      </c>
      <c r="BC405" s="389">
        <f t="shared" si="227"/>
        <v>1.6587183437358151</v>
      </c>
      <c r="BD405" s="389">
        <f t="shared" si="228"/>
        <v>1.6104061589668108</v>
      </c>
      <c r="BE405" s="389">
        <f t="shared" si="228"/>
        <v>1.5635011252104958</v>
      </c>
      <c r="BF405" s="389">
        <f t="shared" si="228"/>
        <v>1.517962257485918</v>
      </c>
      <c r="BG405" s="389">
        <f t="shared" si="228"/>
        <v>1.4737497645494353</v>
      </c>
      <c r="BH405" s="389">
        <f t="shared" si="228"/>
        <v>1.4308250141256653</v>
      </c>
      <c r="BI405" s="389">
        <f t="shared" si="228"/>
        <v>1.3891504991511314</v>
      </c>
      <c r="BJ405" s="389">
        <f t="shared" si="228"/>
        <v>1.3486898050010985</v>
      </c>
      <c r="BK405" s="390">
        <f t="shared" si="191"/>
        <v>36.239800129849542</v>
      </c>
    </row>
    <row r="406" spans="31:63" x14ac:dyDescent="0.3">
      <c r="AE406" s="367">
        <f t="shared" si="196"/>
        <v>819000000</v>
      </c>
      <c r="AF406" s="158">
        <f t="shared" si="217"/>
        <v>975</v>
      </c>
      <c r="AG406" s="41">
        <v>39</v>
      </c>
      <c r="AH406" s="41" t="s">
        <v>376</v>
      </c>
      <c r="AI406" s="362">
        <f t="shared" si="218"/>
        <v>30</v>
      </c>
      <c r="AJ406" s="370">
        <f t="shared" si="219"/>
        <v>27</v>
      </c>
      <c r="AK406" s="232">
        <f t="shared" si="226"/>
        <v>0.39750000000000002</v>
      </c>
      <c r="AL406" s="433">
        <f t="shared" si="220"/>
        <v>0.159</v>
      </c>
      <c r="AM406" s="224">
        <f t="shared" si="221"/>
        <v>1.5600000000000002E-3</v>
      </c>
      <c r="AN406" s="368">
        <f t="shared" si="222"/>
        <v>5.5650000000000005E-2</v>
      </c>
      <c r="AO406" s="369">
        <f t="shared" si="223"/>
        <v>2.3077257367928001</v>
      </c>
      <c r="AQ406" s="388">
        <f t="shared" si="189"/>
        <v>2.3649357367928001</v>
      </c>
      <c r="AR406" s="389">
        <f t="shared" si="215"/>
        <v>2.2960541133910679</v>
      </c>
      <c r="AS406" s="389">
        <f t="shared" si="215"/>
        <v>2.2291787508651146</v>
      </c>
      <c r="AT406" s="389">
        <f t="shared" si="227"/>
        <v>2.16425121443215</v>
      </c>
      <c r="AU406" s="389">
        <f t="shared" si="227"/>
        <v>2.1012147712933498</v>
      </c>
      <c r="AV406" s="389">
        <f t="shared" si="227"/>
        <v>2.0400143410615046</v>
      </c>
      <c r="AW406" s="389">
        <f t="shared" si="227"/>
        <v>1.9805964476325288</v>
      </c>
      <c r="AX406" s="389">
        <f t="shared" si="227"/>
        <v>1.9229091724587657</v>
      </c>
      <c r="AY406" s="389">
        <f t="shared" si="227"/>
        <v>1.8669021091832678</v>
      </c>
      <c r="AZ406" s="389">
        <f t="shared" si="227"/>
        <v>1.8125263195954056</v>
      </c>
      <c r="BA406" s="389">
        <f t="shared" si="227"/>
        <v>1.7597342908693259</v>
      </c>
      <c r="BB406" s="389">
        <f t="shared" si="227"/>
        <v>1.7084798940478891</v>
      </c>
      <c r="BC406" s="389">
        <f t="shared" si="227"/>
        <v>1.6587183437358151</v>
      </c>
      <c r="BD406" s="389">
        <f t="shared" si="228"/>
        <v>1.6104061589668108</v>
      </c>
      <c r="BE406" s="389">
        <f t="shared" si="228"/>
        <v>1.5635011252104958</v>
      </c>
      <c r="BF406" s="389">
        <f t="shared" si="228"/>
        <v>1.517962257485918</v>
      </c>
      <c r="BG406" s="389">
        <f t="shared" si="228"/>
        <v>1.4737497645494353</v>
      </c>
      <c r="BH406" s="389">
        <f t="shared" si="228"/>
        <v>1.4308250141256653</v>
      </c>
      <c r="BI406" s="389">
        <f t="shared" si="228"/>
        <v>1.3891504991511314</v>
      </c>
      <c r="BJ406" s="389">
        <f t="shared" si="228"/>
        <v>1.3486898050010985</v>
      </c>
      <c r="BK406" s="390">
        <f t="shared" si="191"/>
        <v>36.239800129849542</v>
      </c>
    </row>
    <row r="407" spans="31:63" x14ac:dyDescent="0.3">
      <c r="AE407" s="367">
        <f t="shared" si="196"/>
        <v>840000000</v>
      </c>
      <c r="AF407" s="158">
        <f t="shared" si="217"/>
        <v>1000</v>
      </c>
      <c r="AG407" s="41">
        <v>40</v>
      </c>
      <c r="AH407" s="41" t="s">
        <v>376</v>
      </c>
      <c r="AI407" s="362">
        <f t="shared" si="218"/>
        <v>30</v>
      </c>
      <c r="AJ407" s="370">
        <f t="shared" si="219"/>
        <v>27</v>
      </c>
      <c r="AK407" s="232">
        <f t="shared" si="226"/>
        <v>0.39750000000000002</v>
      </c>
      <c r="AL407" s="433">
        <f t="shared" si="220"/>
        <v>0.159</v>
      </c>
      <c r="AM407" s="224">
        <f t="shared" si="221"/>
        <v>1.5600000000000002E-3</v>
      </c>
      <c r="AN407" s="368">
        <f t="shared" si="222"/>
        <v>5.5650000000000005E-2</v>
      </c>
      <c r="AO407" s="369">
        <f t="shared" si="223"/>
        <v>2.3077257367928001</v>
      </c>
      <c r="AQ407" s="388">
        <f t="shared" si="189"/>
        <v>2.3649357367928001</v>
      </c>
      <c r="AR407" s="389">
        <f t="shared" ref="AR407:AS426" si="229">$AQ407/POWER(1+($B$10/100),AR$366-2024)</f>
        <v>2.2960541133910679</v>
      </c>
      <c r="AS407" s="389">
        <f t="shared" si="229"/>
        <v>2.2291787508651146</v>
      </c>
      <c r="AT407" s="389">
        <f t="shared" si="227"/>
        <v>2.16425121443215</v>
      </c>
      <c r="AU407" s="389">
        <f t="shared" si="227"/>
        <v>2.1012147712933498</v>
      </c>
      <c r="AV407" s="389">
        <f t="shared" si="227"/>
        <v>2.0400143410615046</v>
      </c>
      <c r="AW407" s="389">
        <f t="shared" si="227"/>
        <v>1.9805964476325288</v>
      </c>
      <c r="AX407" s="389">
        <f t="shared" si="227"/>
        <v>1.9229091724587657</v>
      </c>
      <c r="AY407" s="389">
        <f t="shared" si="227"/>
        <v>1.8669021091832678</v>
      </c>
      <c r="AZ407" s="389">
        <f t="shared" si="227"/>
        <v>1.8125263195954056</v>
      </c>
      <c r="BA407" s="389">
        <f t="shared" si="227"/>
        <v>1.7597342908693259</v>
      </c>
      <c r="BB407" s="389">
        <f t="shared" si="227"/>
        <v>1.7084798940478891</v>
      </c>
      <c r="BC407" s="389">
        <f t="shared" si="227"/>
        <v>1.6587183437358151</v>
      </c>
      <c r="BD407" s="389">
        <f t="shared" si="228"/>
        <v>1.6104061589668108</v>
      </c>
      <c r="BE407" s="389">
        <f t="shared" si="228"/>
        <v>1.5635011252104958</v>
      </c>
      <c r="BF407" s="389">
        <f t="shared" si="228"/>
        <v>1.517962257485918</v>
      </c>
      <c r="BG407" s="389">
        <f t="shared" si="228"/>
        <v>1.4737497645494353</v>
      </c>
      <c r="BH407" s="389">
        <f t="shared" si="228"/>
        <v>1.4308250141256653</v>
      </c>
      <c r="BI407" s="389">
        <f t="shared" si="228"/>
        <v>1.3891504991511314</v>
      </c>
      <c r="BJ407" s="389">
        <f t="shared" si="228"/>
        <v>1.3486898050010985</v>
      </c>
      <c r="BK407" s="390">
        <f t="shared" si="191"/>
        <v>36.239800129849542</v>
      </c>
    </row>
    <row r="408" spans="31:63" x14ac:dyDescent="0.3">
      <c r="AE408" s="367">
        <f t="shared" si="196"/>
        <v>861000000</v>
      </c>
      <c r="AF408" s="158">
        <f t="shared" si="217"/>
        <v>1025</v>
      </c>
      <c r="AG408" s="41">
        <v>41</v>
      </c>
      <c r="AH408" s="41" t="s">
        <v>376</v>
      </c>
      <c r="AI408" s="362">
        <f t="shared" si="218"/>
        <v>30</v>
      </c>
      <c r="AJ408" s="370">
        <f t="shared" si="219"/>
        <v>27</v>
      </c>
      <c r="AK408" s="232">
        <f t="shared" si="226"/>
        <v>0.39750000000000002</v>
      </c>
      <c r="AL408" s="433">
        <f t="shared" si="220"/>
        <v>0.159</v>
      </c>
      <c r="AM408" s="224">
        <f t="shared" si="221"/>
        <v>1.5600000000000002E-3</v>
      </c>
      <c r="AN408" s="368">
        <f t="shared" si="222"/>
        <v>5.5650000000000005E-2</v>
      </c>
      <c r="AO408" s="369">
        <f t="shared" si="223"/>
        <v>2.3077257367928001</v>
      </c>
      <c r="AQ408" s="388">
        <f t="shared" si="189"/>
        <v>2.3649357367928001</v>
      </c>
      <c r="AR408" s="389">
        <f t="shared" si="229"/>
        <v>2.2960541133910679</v>
      </c>
      <c r="AS408" s="389">
        <f t="shared" si="229"/>
        <v>2.2291787508651146</v>
      </c>
      <c r="AT408" s="389">
        <f t="shared" ref="AT408:BC417" si="230">$AQ408/POWER(1+($B$10/100),AT$366-2024)</f>
        <v>2.16425121443215</v>
      </c>
      <c r="AU408" s="389">
        <f t="shared" si="230"/>
        <v>2.1012147712933498</v>
      </c>
      <c r="AV408" s="389">
        <f t="shared" si="230"/>
        <v>2.0400143410615046</v>
      </c>
      <c r="AW408" s="389">
        <f t="shared" si="230"/>
        <v>1.9805964476325288</v>
      </c>
      <c r="AX408" s="389">
        <f t="shared" si="230"/>
        <v>1.9229091724587657</v>
      </c>
      <c r="AY408" s="389">
        <f t="shared" si="230"/>
        <v>1.8669021091832678</v>
      </c>
      <c r="AZ408" s="389">
        <f t="shared" si="230"/>
        <v>1.8125263195954056</v>
      </c>
      <c r="BA408" s="389">
        <f t="shared" si="230"/>
        <v>1.7597342908693259</v>
      </c>
      <c r="BB408" s="389">
        <f t="shared" si="230"/>
        <v>1.7084798940478891</v>
      </c>
      <c r="BC408" s="389">
        <f t="shared" si="230"/>
        <v>1.6587183437358151</v>
      </c>
      <c r="BD408" s="389">
        <f t="shared" ref="BD408:BJ417" si="231">$AQ408/POWER(1+($B$10/100),BD$366-2024)</f>
        <v>1.6104061589668108</v>
      </c>
      <c r="BE408" s="389">
        <f t="shared" si="231"/>
        <v>1.5635011252104958</v>
      </c>
      <c r="BF408" s="389">
        <f t="shared" si="231"/>
        <v>1.517962257485918</v>
      </c>
      <c r="BG408" s="389">
        <f t="shared" si="231"/>
        <v>1.4737497645494353</v>
      </c>
      <c r="BH408" s="389">
        <f t="shared" si="231"/>
        <v>1.4308250141256653</v>
      </c>
      <c r="BI408" s="389">
        <f t="shared" si="231"/>
        <v>1.3891504991511314</v>
      </c>
      <c r="BJ408" s="389">
        <f t="shared" si="231"/>
        <v>1.3486898050010985</v>
      </c>
      <c r="BK408" s="390">
        <f t="shared" si="191"/>
        <v>36.239800129849542</v>
      </c>
    </row>
    <row r="409" spans="31:63" x14ac:dyDescent="0.3">
      <c r="AE409" s="367">
        <f t="shared" si="196"/>
        <v>882000000</v>
      </c>
      <c r="AF409" s="158">
        <f t="shared" si="217"/>
        <v>1050</v>
      </c>
      <c r="AG409" s="41">
        <v>42</v>
      </c>
      <c r="AH409" s="41" t="s">
        <v>376</v>
      </c>
      <c r="AI409" s="362">
        <f t="shared" si="218"/>
        <v>30</v>
      </c>
      <c r="AJ409" s="370">
        <f t="shared" si="219"/>
        <v>27</v>
      </c>
      <c r="AK409" s="232">
        <f t="shared" si="226"/>
        <v>0.39750000000000002</v>
      </c>
      <c r="AL409" s="433">
        <f t="shared" si="220"/>
        <v>0.159</v>
      </c>
      <c r="AM409" s="224">
        <f t="shared" si="221"/>
        <v>1.5600000000000002E-3</v>
      </c>
      <c r="AN409" s="368">
        <f t="shared" si="222"/>
        <v>5.5650000000000005E-2</v>
      </c>
      <c r="AO409" s="369">
        <f t="shared" si="223"/>
        <v>2.3077257367928001</v>
      </c>
      <c r="AQ409" s="388">
        <f t="shared" si="189"/>
        <v>2.3649357367928001</v>
      </c>
      <c r="AR409" s="389">
        <f t="shared" si="229"/>
        <v>2.2960541133910679</v>
      </c>
      <c r="AS409" s="389">
        <f t="shared" si="229"/>
        <v>2.2291787508651146</v>
      </c>
      <c r="AT409" s="389">
        <f t="shared" si="230"/>
        <v>2.16425121443215</v>
      </c>
      <c r="AU409" s="389">
        <f t="shared" si="230"/>
        <v>2.1012147712933498</v>
      </c>
      <c r="AV409" s="389">
        <f t="shared" si="230"/>
        <v>2.0400143410615046</v>
      </c>
      <c r="AW409" s="389">
        <f t="shared" si="230"/>
        <v>1.9805964476325288</v>
      </c>
      <c r="AX409" s="389">
        <f t="shared" si="230"/>
        <v>1.9229091724587657</v>
      </c>
      <c r="AY409" s="389">
        <f t="shared" si="230"/>
        <v>1.8669021091832678</v>
      </c>
      <c r="AZ409" s="389">
        <f t="shared" si="230"/>
        <v>1.8125263195954056</v>
      </c>
      <c r="BA409" s="389">
        <f t="shared" si="230"/>
        <v>1.7597342908693259</v>
      </c>
      <c r="BB409" s="389">
        <f t="shared" si="230"/>
        <v>1.7084798940478891</v>
      </c>
      <c r="BC409" s="389">
        <f t="shared" si="230"/>
        <v>1.6587183437358151</v>
      </c>
      <c r="BD409" s="389">
        <f t="shared" si="231"/>
        <v>1.6104061589668108</v>
      </c>
      <c r="BE409" s="389">
        <f t="shared" si="231"/>
        <v>1.5635011252104958</v>
      </c>
      <c r="BF409" s="389">
        <f t="shared" si="231"/>
        <v>1.517962257485918</v>
      </c>
      <c r="BG409" s="389">
        <f t="shared" si="231"/>
        <v>1.4737497645494353</v>
      </c>
      <c r="BH409" s="389">
        <f t="shared" si="231"/>
        <v>1.4308250141256653</v>
      </c>
      <c r="BI409" s="389">
        <f t="shared" si="231"/>
        <v>1.3891504991511314</v>
      </c>
      <c r="BJ409" s="389">
        <f t="shared" si="231"/>
        <v>1.3486898050010985</v>
      </c>
      <c r="BK409" s="390">
        <f t="shared" si="191"/>
        <v>36.239800129849542</v>
      </c>
    </row>
    <row r="410" spans="31:63" x14ac:dyDescent="0.3">
      <c r="AE410" s="367">
        <f t="shared" si="196"/>
        <v>903000000</v>
      </c>
      <c r="AF410" s="158">
        <f t="shared" si="217"/>
        <v>1075</v>
      </c>
      <c r="AG410" s="41">
        <v>43</v>
      </c>
      <c r="AH410" s="41" t="s">
        <v>376</v>
      </c>
      <c r="AI410" s="362">
        <f t="shared" si="218"/>
        <v>30</v>
      </c>
      <c r="AJ410" s="370">
        <f t="shared" si="219"/>
        <v>27</v>
      </c>
      <c r="AK410" s="232">
        <f t="shared" si="226"/>
        <v>0.39750000000000002</v>
      </c>
      <c r="AL410" s="433">
        <f t="shared" si="220"/>
        <v>0.159</v>
      </c>
      <c r="AM410" s="224">
        <f t="shared" si="221"/>
        <v>1.5600000000000002E-3</v>
      </c>
      <c r="AN410" s="368">
        <f t="shared" si="222"/>
        <v>5.5650000000000005E-2</v>
      </c>
      <c r="AO410" s="369">
        <f t="shared" si="223"/>
        <v>2.3077257367928001</v>
      </c>
      <c r="AQ410" s="388">
        <f t="shared" si="189"/>
        <v>2.3649357367928001</v>
      </c>
      <c r="AR410" s="389">
        <f t="shared" si="229"/>
        <v>2.2960541133910679</v>
      </c>
      <c r="AS410" s="389">
        <f t="shared" si="229"/>
        <v>2.2291787508651146</v>
      </c>
      <c r="AT410" s="389">
        <f t="shared" si="230"/>
        <v>2.16425121443215</v>
      </c>
      <c r="AU410" s="389">
        <f t="shared" si="230"/>
        <v>2.1012147712933498</v>
      </c>
      <c r="AV410" s="389">
        <f t="shared" si="230"/>
        <v>2.0400143410615046</v>
      </c>
      <c r="AW410" s="389">
        <f t="shared" si="230"/>
        <v>1.9805964476325288</v>
      </c>
      <c r="AX410" s="389">
        <f t="shared" si="230"/>
        <v>1.9229091724587657</v>
      </c>
      <c r="AY410" s="389">
        <f t="shared" si="230"/>
        <v>1.8669021091832678</v>
      </c>
      <c r="AZ410" s="389">
        <f t="shared" si="230"/>
        <v>1.8125263195954056</v>
      </c>
      <c r="BA410" s="389">
        <f t="shared" si="230"/>
        <v>1.7597342908693259</v>
      </c>
      <c r="BB410" s="389">
        <f t="shared" si="230"/>
        <v>1.7084798940478891</v>
      </c>
      <c r="BC410" s="389">
        <f t="shared" si="230"/>
        <v>1.6587183437358151</v>
      </c>
      <c r="BD410" s="389">
        <f t="shared" si="231"/>
        <v>1.6104061589668108</v>
      </c>
      <c r="BE410" s="389">
        <f t="shared" si="231"/>
        <v>1.5635011252104958</v>
      </c>
      <c r="BF410" s="389">
        <f t="shared" si="231"/>
        <v>1.517962257485918</v>
      </c>
      <c r="BG410" s="389">
        <f t="shared" si="231"/>
        <v>1.4737497645494353</v>
      </c>
      <c r="BH410" s="389">
        <f t="shared" si="231"/>
        <v>1.4308250141256653</v>
      </c>
      <c r="BI410" s="389">
        <f t="shared" si="231"/>
        <v>1.3891504991511314</v>
      </c>
      <c r="BJ410" s="389">
        <f t="shared" si="231"/>
        <v>1.3486898050010985</v>
      </c>
      <c r="BK410" s="390">
        <f t="shared" si="191"/>
        <v>36.239800129849542</v>
      </c>
    </row>
    <row r="411" spans="31:63" x14ac:dyDescent="0.3">
      <c r="AE411" s="367">
        <f t="shared" si="196"/>
        <v>924000000</v>
      </c>
      <c r="AF411" s="158">
        <f t="shared" si="217"/>
        <v>1100</v>
      </c>
      <c r="AG411" s="41">
        <v>44</v>
      </c>
      <c r="AH411" s="41" t="s">
        <v>376</v>
      </c>
      <c r="AI411" s="362">
        <f t="shared" si="218"/>
        <v>30</v>
      </c>
      <c r="AJ411" s="370">
        <f t="shared" si="219"/>
        <v>27</v>
      </c>
      <c r="AK411" s="232">
        <f t="shared" si="226"/>
        <v>0.39750000000000002</v>
      </c>
      <c r="AL411" s="433">
        <f t="shared" si="220"/>
        <v>0.159</v>
      </c>
      <c r="AM411" s="224">
        <f t="shared" si="221"/>
        <v>1.5600000000000002E-3</v>
      </c>
      <c r="AN411" s="368">
        <f t="shared" si="222"/>
        <v>5.5650000000000005E-2</v>
      </c>
      <c r="AO411" s="369">
        <f t="shared" si="223"/>
        <v>2.3077257367928001</v>
      </c>
      <c r="AQ411" s="388">
        <f t="shared" si="189"/>
        <v>2.3649357367928001</v>
      </c>
      <c r="AR411" s="389">
        <f t="shared" si="229"/>
        <v>2.2960541133910679</v>
      </c>
      <c r="AS411" s="389">
        <f t="shared" si="229"/>
        <v>2.2291787508651146</v>
      </c>
      <c r="AT411" s="389">
        <f t="shared" si="230"/>
        <v>2.16425121443215</v>
      </c>
      <c r="AU411" s="389">
        <f t="shared" si="230"/>
        <v>2.1012147712933498</v>
      </c>
      <c r="AV411" s="389">
        <f t="shared" si="230"/>
        <v>2.0400143410615046</v>
      </c>
      <c r="AW411" s="389">
        <f t="shared" si="230"/>
        <v>1.9805964476325288</v>
      </c>
      <c r="AX411" s="389">
        <f t="shared" si="230"/>
        <v>1.9229091724587657</v>
      </c>
      <c r="AY411" s="389">
        <f t="shared" si="230"/>
        <v>1.8669021091832678</v>
      </c>
      <c r="AZ411" s="389">
        <f t="shared" si="230"/>
        <v>1.8125263195954056</v>
      </c>
      <c r="BA411" s="389">
        <f t="shared" si="230"/>
        <v>1.7597342908693259</v>
      </c>
      <c r="BB411" s="389">
        <f t="shared" si="230"/>
        <v>1.7084798940478891</v>
      </c>
      <c r="BC411" s="389">
        <f t="shared" si="230"/>
        <v>1.6587183437358151</v>
      </c>
      <c r="BD411" s="389">
        <f t="shared" si="231"/>
        <v>1.6104061589668108</v>
      </c>
      <c r="BE411" s="389">
        <f t="shared" si="231"/>
        <v>1.5635011252104958</v>
      </c>
      <c r="BF411" s="389">
        <f t="shared" si="231"/>
        <v>1.517962257485918</v>
      </c>
      <c r="BG411" s="389">
        <f t="shared" si="231"/>
        <v>1.4737497645494353</v>
      </c>
      <c r="BH411" s="389">
        <f t="shared" si="231"/>
        <v>1.4308250141256653</v>
      </c>
      <c r="BI411" s="389">
        <f t="shared" si="231"/>
        <v>1.3891504991511314</v>
      </c>
      <c r="BJ411" s="389">
        <f t="shared" si="231"/>
        <v>1.3486898050010985</v>
      </c>
      <c r="BK411" s="390">
        <f t="shared" si="191"/>
        <v>36.239800129849542</v>
      </c>
    </row>
    <row r="412" spans="31:63" x14ac:dyDescent="0.3">
      <c r="AE412" s="367">
        <f t="shared" si="196"/>
        <v>945000000</v>
      </c>
      <c r="AF412" s="158">
        <f t="shared" si="217"/>
        <v>1125</v>
      </c>
      <c r="AG412" s="41">
        <v>45</v>
      </c>
      <c r="AH412" s="41" t="s">
        <v>376</v>
      </c>
      <c r="AI412" s="362">
        <f t="shared" si="218"/>
        <v>30</v>
      </c>
      <c r="AJ412" s="370">
        <f t="shared" si="219"/>
        <v>27</v>
      </c>
      <c r="AK412" s="232">
        <f t="shared" si="226"/>
        <v>0.39750000000000002</v>
      </c>
      <c r="AL412" s="433">
        <f t="shared" si="220"/>
        <v>0.159</v>
      </c>
      <c r="AM412" s="224">
        <f t="shared" si="221"/>
        <v>1.5600000000000002E-3</v>
      </c>
      <c r="AN412" s="368">
        <f t="shared" si="222"/>
        <v>5.5650000000000005E-2</v>
      </c>
      <c r="AO412" s="369">
        <f t="shared" si="223"/>
        <v>2.3077257367928001</v>
      </c>
      <c r="AQ412" s="388">
        <f t="shared" si="189"/>
        <v>2.3649357367928001</v>
      </c>
      <c r="AR412" s="389">
        <f t="shared" si="229"/>
        <v>2.2960541133910679</v>
      </c>
      <c r="AS412" s="389">
        <f t="shared" si="229"/>
        <v>2.2291787508651146</v>
      </c>
      <c r="AT412" s="389">
        <f t="shared" si="230"/>
        <v>2.16425121443215</v>
      </c>
      <c r="AU412" s="389">
        <f t="shared" si="230"/>
        <v>2.1012147712933498</v>
      </c>
      <c r="AV412" s="389">
        <f t="shared" si="230"/>
        <v>2.0400143410615046</v>
      </c>
      <c r="AW412" s="389">
        <f t="shared" si="230"/>
        <v>1.9805964476325288</v>
      </c>
      <c r="AX412" s="389">
        <f t="shared" si="230"/>
        <v>1.9229091724587657</v>
      </c>
      <c r="AY412" s="389">
        <f t="shared" si="230"/>
        <v>1.8669021091832678</v>
      </c>
      <c r="AZ412" s="389">
        <f t="shared" si="230"/>
        <v>1.8125263195954056</v>
      </c>
      <c r="BA412" s="389">
        <f t="shared" si="230"/>
        <v>1.7597342908693259</v>
      </c>
      <c r="BB412" s="389">
        <f t="shared" si="230"/>
        <v>1.7084798940478891</v>
      </c>
      <c r="BC412" s="389">
        <f t="shared" si="230"/>
        <v>1.6587183437358151</v>
      </c>
      <c r="BD412" s="389">
        <f t="shared" si="231"/>
        <v>1.6104061589668108</v>
      </c>
      <c r="BE412" s="389">
        <f t="shared" si="231"/>
        <v>1.5635011252104958</v>
      </c>
      <c r="BF412" s="389">
        <f t="shared" si="231"/>
        <v>1.517962257485918</v>
      </c>
      <c r="BG412" s="389">
        <f t="shared" si="231"/>
        <v>1.4737497645494353</v>
      </c>
      <c r="BH412" s="389">
        <f t="shared" si="231"/>
        <v>1.4308250141256653</v>
      </c>
      <c r="BI412" s="389">
        <f t="shared" si="231"/>
        <v>1.3891504991511314</v>
      </c>
      <c r="BJ412" s="389">
        <f t="shared" si="231"/>
        <v>1.3486898050010985</v>
      </c>
      <c r="BK412" s="390">
        <f t="shared" si="191"/>
        <v>36.239800129849542</v>
      </c>
    </row>
    <row r="413" spans="31:63" x14ac:dyDescent="0.3">
      <c r="AE413" s="367">
        <f t="shared" si="196"/>
        <v>966000000</v>
      </c>
      <c r="AF413" s="158">
        <f t="shared" si="217"/>
        <v>1150</v>
      </c>
      <c r="AG413" s="41">
        <v>46</v>
      </c>
      <c r="AH413" s="41" t="s">
        <v>376</v>
      </c>
      <c r="AI413" s="362">
        <f t="shared" si="218"/>
        <v>30</v>
      </c>
      <c r="AJ413" s="370">
        <f t="shared" si="219"/>
        <v>27</v>
      </c>
      <c r="AK413" s="232">
        <f t="shared" si="226"/>
        <v>0.39750000000000002</v>
      </c>
      <c r="AL413" s="433">
        <f t="shared" si="220"/>
        <v>0.159</v>
      </c>
      <c r="AM413" s="224">
        <f t="shared" si="221"/>
        <v>1.5600000000000002E-3</v>
      </c>
      <c r="AN413" s="368">
        <f t="shared" si="222"/>
        <v>5.5650000000000005E-2</v>
      </c>
      <c r="AO413" s="369">
        <f t="shared" si="223"/>
        <v>2.3077257367928001</v>
      </c>
      <c r="AQ413" s="388">
        <f t="shared" si="189"/>
        <v>2.3649357367928001</v>
      </c>
      <c r="AR413" s="389">
        <f t="shared" si="229"/>
        <v>2.2960541133910679</v>
      </c>
      <c r="AS413" s="389">
        <f t="shared" si="229"/>
        <v>2.2291787508651146</v>
      </c>
      <c r="AT413" s="389">
        <f t="shared" si="230"/>
        <v>2.16425121443215</v>
      </c>
      <c r="AU413" s="389">
        <f t="shared" si="230"/>
        <v>2.1012147712933498</v>
      </c>
      <c r="AV413" s="389">
        <f t="shared" si="230"/>
        <v>2.0400143410615046</v>
      </c>
      <c r="AW413" s="389">
        <f t="shared" si="230"/>
        <v>1.9805964476325288</v>
      </c>
      <c r="AX413" s="389">
        <f t="shared" si="230"/>
        <v>1.9229091724587657</v>
      </c>
      <c r="AY413" s="389">
        <f t="shared" si="230"/>
        <v>1.8669021091832678</v>
      </c>
      <c r="AZ413" s="389">
        <f t="shared" si="230"/>
        <v>1.8125263195954056</v>
      </c>
      <c r="BA413" s="389">
        <f t="shared" si="230"/>
        <v>1.7597342908693259</v>
      </c>
      <c r="BB413" s="389">
        <f t="shared" si="230"/>
        <v>1.7084798940478891</v>
      </c>
      <c r="BC413" s="389">
        <f t="shared" si="230"/>
        <v>1.6587183437358151</v>
      </c>
      <c r="BD413" s="389">
        <f t="shared" si="231"/>
        <v>1.6104061589668108</v>
      </c>
      <c r="BE413" s="389">
        <f t="shared" si="231"/>
        <v>1.5635011252104958</v>
      </c>
      <c r="BF413" s="389">
        <f t="shared" si="231"/>
        <v>1.517962257485918</v>
      </c>
      <c r="BG413" s="389">
        <f t="shared" si="231"/>
        <v>1.4737497645494353</v>
      </c>
      <c r="BH413" s="389">
        <f t="shared" si="231"/>
        <v>1.4308250141256653</v>
      </c>
      <c r="BI413" s="389">
        <f t="shared" si="231"/>
        <v>1.3891504991511314</v>
      </c>
      <c r="BJ413" s="389">
        <f t="shared" si="231"/>
        <v>1.3486898050010985</v>
      </c>
      <c r="BK413" s="390">
        <f t="shared" si="191"/>
        <v>36.239800129849542</v>
      </c>
    </row>
    <row r="414" spans="31:63" x14ac:dyDescent="0.3">
      <c r="AE414" s="367">
        <f t="shared" si="196"/>
        <v>987000000</v>
      </c>
      <c r="AF414" s="158">
        <f t="shared" si="217"/>
        <v>1175</v>
      </c>
      <c r="AG414" s="41">
        <v>47</v>
      </c>
      <c r="AH414" s="41" t="s">
        <v>376</v>
      </c>
      <c r="AI414" s="362">
        <f t="shared" si="218"/>
        <v>30</v>
      </c>
      <c r="AJ414" s="370">
        <f t="shared" si="219"/>
        <v>27</v>
      </c>
      <c r="AK414" s="232">
        <f t="shared" si="226"/>
        <v>0.39750000000000002</v>
      </c>
      <c r="AL414" s="433">
        <f t="shared" si="220"/>
        <v>0.159</v>
      </c>
      <c r="AM414" s="224">
        <f t="shared" si="221"/>
        <v>1.5600000000000002E-3</v>
      </c>
      <c r="AN414" s="368">
        <f t="shared" si="222"/>
        <v>5.5650000000000005E-2</v>
      </c>
      <c r="AO414" s="369">
        <f t="shared" si="223"/>
        <v>2.3077257367928001</v>
      </c>
      <c r="AQ414" s="388">
        <f t="shared" si="189"/>
        <v>2.3649357367928001</v>
      </c>
      <c r="AR414" s="389">
        <f t="shared" si="229"/>
        <v>2.2960541133910679</v>
      </c>
      <c r="AS414" s="389">
        <f t="shared" si="229"/>
        <v>2.2291787508651146</v>
      </c>
      <c r="AT414" s="389">
        <f t="shared" si="230"/>
        <v>2.16425121443215</v>
      </c>
      <c r="AU414" s="389">
        <f t="shared" si="230"/>
        <v>2.1012147712933498</v>
      </c>
      <c r="AV414" s="389">
        <f t="shared" si="230"/>
        <v>2.0400143410615046</v>
      </c>
      <c r="AW414" s="389">
        <f t="shared" si="230"/>
        <v>1.9805964476325288</v>
      </c>
      <c r="AX414" s="389">
        <f t="shared" si="230"/>
        <v>1.9229091724587657</v>
      </c>
      <c r="AY414" s="389">
        <f t="shared" si="230"/>
        <v>1.8669021091832678</v>
      </c>
      <c r="AZ414" s="389">
        <f t="shared" si="230"/>
        <v>1.8125263195954056</v>
      </c>
      <c r="BA414" s="389">
        <f t="shared" si="230"/>
        <v>1.7597342908693259</v>
      </c>
      <c r="BB414" s="389">
        <f t="shared" si="230"/>
        <v>1.7084798940478891</v>
      </c>
      <c r="BC414" s="389">
        <f t="shared" si="230"/>
        <v>1.6587183437358151</v>
      </c>
      <c r="BD414" s="389">
        <f t="shared" si="231"/>
        <v>1.6104061589668108</v>
      </c>
      <c r="BE414" s="389">
        <f t="shared" si="231"/>
        <v>1.5635011252104958</v>
      </c>
      <c r="BF414" s="389">
        <f t="shared" si="231"/>
        <v>1.517962257485918</v>
      </c>
      <c r="BG414" s="389">
        <f t="shared" si="231"/>
        <v>1.4737497645494353</v>
      </c>
      <c r="BH414" s="389">
        <f t="shared" si="231"/>
        <v>1.4308250141256653</v>
      </c>
      <c r="BI414" s="389">
        <f t="shared" si="231"/>
        <v>1.3891504991511314</v>
      </c>
      <c r="BJ414" s="389">
        <f t="shared" si="231"/>
        <v>1.3486898050010985</v>
      </c>
      <c r="BK414" s="390">
        <f t="shared" si="191"/>
        <v>36.239800129849542</v>
      </c>
    </row>
    <row r="415" spans="31:63" x14ac:dyDescent="0.3">
      <c r="AE415" s="367">
        <f t="shared" si="196"/>
        <v>1008000000</v>
      </c>
      <c r="AF415" s="158">
        <f t="shared" si="217"/>
        <v>1200</v>
      </c>
      <c r="AG415" s="41">
        <v>48</v>
      </c>
      <c r="AH415" s="41" t="s">
        <v>376</v>
      </c>
      <c r="AI415" s="362">
        <f t="shared" si="218"/>
        <v>30</v>
      </c>
      <c r="AJ415" s="370">
        <f t="shared" si="219"/>
        <v>27</v>
      </c>
      <c r="AK415" s="232">
        <f t="shared" si="226"/>
        <v>0.39750000000000002</v>
      </c>
      <c r="AL415" s="433">
        <f t="shared" si="220"/>
        <v>0.159</v>
      </c>
      <c r="AM415" s="224">
        <f t="shared" si="221"/>
        <v>1.5600000000000002E-3</v>
      </c>
      <c r="AN415" s="368">
        <f t="shared" si="222"/>
        <v>5.5650000000000005E-2</v>
      </c>
      <c r="AO415" s="369">
        <f t="shared" si="223"/>
        <v>2.3077257367928001</v>
      </c>
      <c r="AQ415" s="388">
        <f t="shared" si="189"/>
        <v>2.3649357367928001</v>
      </c>
      <c r="AR415" s="389">
        <f t="shared" si="229"/>
        <v>2.2960541133910679</v>
      </c>
      <c r="AS415" s="389">
        <f t="shared" si="229"/>
        <v>2.2291787508651146</v>
      </c>
      <c r="AT415" s="389">
        <f t="shared" si="230"/>
        <v>2.16425121443215</v>
      </c>
      <c r="AU415" s="389">
        <f t="shared" si="230"/>
        <v>2.1012147712933498</v>
      </c>
      <c r="AV415" s="389">
        <f t="shared" si="230"/>
        <v>2.0400143410615046</v>
      </c>
      <c r="AW415" s="389">
        <f t="shared" si="230"/>
        <v>1.9805964476325288</v>
      </c>
      <c r="AX415" s="389">
        <f t="shared" si="230"/>
        <v>1.9229091724587657</v>
      </c>
      <c r="AY415" s="389">
        <f t="shared" si="230"/>
        <v>1.8669021091832678</v>
      </c>
      <c r="AZ415" s="389">
        <f t="shared" si="230"/>
        <v>1.8125263195954056</v>
      </c>
      <c r="BA415" s="389">
        <f t="shared" si="230"/>
        <v>1.7597342908693259</v>
      </c>
      <c r="BB415" s="389">
        <f t="shared" si="230"/>
        <v>1.7084798940478891</v>
      </c>
      <c r="BC415" s="389">
        <f t="shared" si="230"/>
        <v>1.6587183437358151</v>
      </c>
      <c r="BD415" s="389">
        <f t="shared" si="231"/>
        <v>1.6104061589668108</v>
      </c>
      <c r="BE415" s="389">
        <f t="shared" si="231"/>
        <v>1.5635011252104958</v>
      </c>
      <c r="BF415" s="389">
        <f t="shared" si="231"/>
        <v>1.517962257485918</v>
      </c>
      <c r="BG415" s="389">
        <f t="shared" si="231"/>
        <v>1.4737497645494353</v>
      </c>
      <c r="BH415" s="389">
        <f t="shared" si="231"/>
        <v>1.4308250141256653</v>
      </c>
      <c r="BI415" s="389">
        <f t="shared" si="231"/>
        <v>1.3891504991511314</v>
      </c>
      <c r="BJ415" s="389">
        <f t="shared" si="231"/>
        <v>1.3486898050010985</v>
      </c>
      <c r="BK415" s="390">
        <f t="shared" si="191"/>
        <v>36.239800129849542</v>
      </c>
    </row>
    <row r="416" spans="31:63" x14ac:dyDescent="0.3">
      <c r="AE416" s="367">
        <f t="shared" si="196"/>
        <v>1029000000</v>
      </c>
      <c r="AF416" s="158">
        <f t="shared" si="217"/>
        <v>1225</v>
      </c>
      <c r="AG416" s="41">
        <v>49</v>
      </c>
      <c r="AH416" s="41" t="s">
        <v>376</v>
      </c>
      <c r="AI416" s="362">
        <f t="shared" si="218"/>
        <v>30</v>
      </c>
      <c r="AJ416" s="370">
        <f t="shared" si="219"/>
        <v>27</v>
      </c>
      <c r="AK416" s="232">
        <f t="shared" si="226"/>
        <v>0.39750000000000002</v>
      </c>
      <c r="AL416" s="433">
        <f t="shared" si="220"/>
        <v>0.159</v>
      </c>
      <c r="AM416" s="224">
        <f t="shared" si="221"/>
        <v>1.5600000000000002E-3</v>
      </c>
      <c r="AN416" s="368">
        <f t="shared" si="222"/>
        <v>5.5650000000000005E-2</v>
      </c>
      <c r="AO416" s="369">
        <f t="shared" si="223"/>
        <v>2.3077257367928001</v>
      </c>
      <c r="AQ416" s="388">
        <f t="shared" si="189"/>
        <v>2.3649357367928001</v>
      </c>
      <c r="AR416" s="389">
        <f t="shared" si="229"/>
        <v>2.2960541133910679</v>
      </c>
      <c r="AS416" s="389">
        <f t="shared" si="229"/>
        <v>2.2291787508651146</v>
      </c>
      <c r="AT416" s="389">
        <f t="shared" si="230"/>
        <v>2.16425121443215</v>
      </c>
      <c r="AU416" s="389">
        <f t="shared" si="230"/>
        <v>2.1012147712933498</v>
      </c>
      <c r="AV416" s="389">
        <f t="shared" si="230"/>
        <v>2.0400143410615046</v>
      </c>
      <c r="AW416" s="389">
        <f t="shared" si="230"/>
        <v>1.9805964476325288</v>
      </c>
      <c r="AX416" s="389">
        <f t="shared" si="230"/>
        <v>1.9229091724587657</v>
      </c>
      <c r="AY416" s="389">
        <f t="shared" si="230"/>
        <v>1.8669021091832678</v>
      </c>
      <c r="AZ416" s="389">
        <f t="shared" si="230"/>
        <v>1.8125263195954056</v>
      </c>
      <c r="BA416" s="389">
        <f t="shared" si="230"/>
        <v>1.7597342908693259</v>
      </c>
      <c r="BB416" s="389">
        <f t="shared" si="230"/>
        <v>1.7084798940478891</v>
      </c>
      <c r="BC416" s="389">
        <f t="shared" si="230"/>
        <v>1.6587183437358151</v>
      </c>
      <c r="BD416" s="389">
        <f t="shared" si="231"/>
        <v>1.6104061589668108</v>
      </c>
      <c r="BE416" s="389">
        <f t="shared" si="231"/>
        <v>1.5635011252104958</v>
      </c>
      <c r="BF416" s="389">
        <f t="shared" si="231"/>
        <v>1.517962257485918</v>
      </c>
      <c r="BG416" s="389">
        <f t="shared" si="231"/>
        <v>1.4737497645494353</v>
      </c>
      <c r="BH416" s="389">
        <f t="shared" si="231"/>
        <v>1.4308250141256653</v>
      </c>
      <c r="BI416" s="389">
        <f t="shared" si="231"/>
        <v>1.3891504991511314</v>
      </c>
      <c r="BJ416" s="389">
        <f t="shared" si="231"/>
        <v>1.3486898050010985</v>
      </c>
      <c r="BK416" s="390">
        <f t="shared" si="191"/>
        <v>36.239800129849542</v>
      </c>
    </row>
    <row r="417" spans="31:63" x14ac:dyDescent="0.3">
      <c r="AE417" s="367">
        <f t="shared" si="196"/>
        <v>1050000000</v>
      </c>
      <c r="AF417" s="158">
        <f t="shared" si="217"/>
        <v>1250</v>
      </c>
      <c r="AG417" s="41">
        <v>50</v>
      </c>
      <c r="AH417" s="41" t="s">
        <v>376</v>
      </c>
      <c r="AI417" s="362">
        <f t="shared" si="218"/>
        <v>30</v>
      </c>
      <c r="AJ417" s="370">
        <f t="shared" si="219"/>
        <v>27</v>
      </c>
      <c r="AK417" s="232">
        <f t="shared" si="226"/>
        <v>0.39750000000000002</v>
      </c>
      <c r="AL417" s="433">
        <f t="shared" si="220"/>
        <v>0.159</v>
      </c>
      <c r="AM417" s="224">
        <f t="shared" si="221"/>
        <v>1.5600000000000002E-3</v>
      </c>
      <c r="AN417" s="368">
        <f t="shared" si="222"/>
        <v>5.5650000000000005E-2</v>
      </c>
      <c r="AO417" s="369">
        <f t="shared" si="223"/>
        <v>2.3077257367928001</v>
      </c>
      <c r="AQ417" s="388">
        <f t="shared" si="189"/>
        <v>2.3649357367928001</v>
      </c>
      <c r="AR417" s="389">
        <f t="shared" si="229"/>
        <v>2.2960541133910679</v>
      </c>
      <c r="AS417" s="389">
        <f t="shared" si="229"/>
        <v>2.2291787508651146</v>
      </c>
      <c r="AT417" s="389">
        <f t="shared" si="230"/>
        <v>2.16425121443215</v>
      </c>
      <c r="AU417" s="389">
        <f t="shared" si="230"/>
        <v>2.1012147712933498</v>
      </c>
      <c r="AV417" s="389">
        <f t="shared" si="230"/>
        <v>2.0400143410615046</v>
      </c>
      <c r="AW417" s="389">
        <f t="shared" si="230"/>
        <v>1.9805964476325288</v>
      </c>
      <c r="AX417" s="389">
        <f t="shared" si="230"/>
        <v>1.9229091724587657</v>
      </c>
      <c r="AY417" s="389">
        <f t="shared" si="230"/>
        <v>1.8669021091832678</v>
      </c>
      <c r="AZ417" s="389">
        <f t="shared" si="230"/>
        <v>1.8125263195954056</v>
      </c>
      <c r="BA417" s="389">
        <f t="shared" si="230"/>
        <v>1.7597342908693259</v>
      </c>
      <c r="BB417" s="389">
        <f t="shared" si="230"/>
        <v>1.7084798940478891</v>
      </c>
      <c r="BC417" s="389">
        <f t="shared" si="230"/>
        <v>1.6587183437358151</v>
      </c>
      <c r="BD417" s="389">
        <f t="shared" si="231"/>
        <v>1.6104061589668108</v>
      </c>
      <c r="BE417" s="389">
        <f t="shared" si="231"/>
        <v>1.5635011252104958</v>
      </c>
      <c r="BF417" s="389">
        <f t="shared" si="231"/>
        <v>1.517962257485918</v>
      </c>
      <c r="BG417" s="389">
        <f t="shared" si="231"/>
        <v>1.4737497645494353</v>
      </c>
      <c r="BH417" s="389">
        <f t="shared" si="231"/>
        <v>1.4308250141256653</v>
      </c>
      <c r="BI417" s="389">
        <f t="shared" si="231"/>
        <v>1.3891504991511314</v>
      </c>
      <c r="BJ417" s="389">
        <f t="shared" si="231"/>
        <v>1.3486898050010985</v>
      </c>
      <c r="BK417" s="390">
        <f t="shared" si="191"/>
        <v>36.239800129849542</v>
      </c>
    </row>
    <row r="418" spans="31:63" x14ac:dyDescent="0.3">
      <c r="AE418" s="367">
        <f t="shared" si="196"/>
        <v>1071000000</v>
      </c>
      <c r="AF418" s="158">
        <f t="shared" si="217"/>
        <v>1275</v>
      </c>
      <c r="AG418" s="41">
        <v>51</v>
      </c>
      <c r="AH418" s="41" t="s">
        <v>376</v>
      </c>
      <c r="AI418" s="362">
        <f t="shared" si="218"/>
        <v>30</v>
      </c>
      <c r="AJ418" s="370">
        <f t="shared" si="219"/>
        <v>27</v>
      </c>
      <c r="AK418" s="232">
        <f t="shared" si="226"/>
        <v>0.39750000000000002</v>
      </c>
      <c r="AL418" s="433">
        <f t="shared" si="220"/>
        <v>0.159</v>
      </c>
      <c r="AM418" s="224">
        <f t="shared" si="221"/>
        <v>1.5600000000000002E-3</v>
      </c>
      <c r="AN418" s="368">
        <f t="shared" si="222"/>
        <v>5.5650000000000005E-2</v>
      </c>
      <c r="AO418" s="369">
        <f t="shared" si="223"/>
        <v>2.3077257367928001</v>
      </c>
      <c r="AQ418" s="388">
        <f t="shared" si="189"/>
        <v>2.3649357367928001</v>
      </c>
      <c r="AR418" s="389">
        <f t="shared" si="229"/>
        <v>2.2960541133910679</v>
      </c>
      <c r="AS418" s="389">
        <f t="shared" si="229"/>
        <v>2.2291787508651146</v>
      </c>
      <c r="AT418" s="389">
        <f t="shared" ref="AT418:BC427" si="232">$AQ418/POWER(1+($B$10/100),AT$366-2024)</f>
        <v>2.16425121443215</v>
      </c>
      <c r="AU418" s="389">
        <f t="shared" si="232"/>
        <v>2.1012147712933498</v>
      </c>
      <c r="AV418" s="389">
        <f t="shared" si="232"/>
        <v>2.0400143410615046</v>
      </c>
      <c r="AW418" s="389">
        <f t="shared" si="232"/>
        <v>1.9805964476325288</v>
      </c>
      <c r="AX418" s="389">
        <f t="shared" si="232"/>
        <v>1.9229091724587657</v>
      </c>
      <c r="AY418" s="389">
        <f t="shared" si="232"/>
        <v>1.8669021091832678</v>
      </c>
      <c r="AZ418" s="389">
        <f t="shared" si="232"/>
        <v>1.8125263195954056</v>
      </c>
      <c r="BA418" s="389">
        <f t="shared" si="232"/>
        <v>1.7597342908693259</v>
      </c>
      <c r="BB418" s="389">
        <f t="shared" si="232"/>
        <v>1.7084798940478891</v>
      </c>
      <c r="BC418" s="389">
        <f t="shared" si="232"/>
        <v>1.6587183437358151</v>
      </c>
      <c r="BD418" s="389">
        <f t="shared" ref="BD418:BJ427" si="233">$AQ418/POWER(1+($B$10/100),BD$366-2024)</f>
        <v>1.6104061589668108</v>
      </c>
      <c r="BE418" s="389">
        <f t="shared" si="233"/>
        <v>1.5635011252104958</v>
      </c>
      <c r="BF418" s="389">
        <f t="shared" si="233"/>
        <v>1.517962257485918</v>
      </c>
      <c r="BG418" s="389">
        <f t="shared" si="233"/>
        <v>1.4737497645494353</v>
      </c>
      <c r="BH418" s="389">
        <f t="shared" si="233"/>
        <v>1.4308250141256653</v>
      </c>
      <c r="BI418" s="389">
        <f t="shared" si="233"/>
        <v>1.3891504991511314</v>
      </c>
      <c r="BJ418" s="389">
        <f t="shared" si="233"/>
        <v>1.3486898050010985</v>
      </c>
      <c r="BK418" s="390">
        <f t="shared" si="191"/>
        <v>36.239800129849542</v>
      </c>
    </row>
    <row r="419" spans="31:63" x14ac:dyDescent="0.3">
      <c r="AE419" s="367">
        <f t="shared" si="196"/>
        <v>1092000000</v>
      </c>
      <c r="AF419" s="158">
        <f t="shared" si="217"/>
        <v>1300</v>
      </c>
      <c r="AG419" s="41">
        <v>52</v>
      </c>
      <c r="AH419" s="41" t="s">
        <v>376</v>
      </c>
      <c r="AI419" s="362">
        <f t="shared" si="218"/>
        <v>30</v>
      </c>
      <c r="AJ419" s="370">
        <f t="shared" si="219"/>
        <v>27</v>
      </c>
      <c r="AK419" s="232">
        <f t="shared" si="226"/>
        <v>0.39750000000000002</v>
      </c>
      <c r="AL419" s="433">
        <f t="shared" si="220"/>
        <v>0.159</v>
      </c>
      <c r="AM419" s="224">
        <f t="shared" si="221"/>
        <v>1.5600000000000002E-3</v>
      </c>
      <c r="AN419" s="368">
        <f t="shared" si="222"/>
        <v>5.5650000000000005E-2</v>
      </c>
      <c r="AO419" s="369">
        <f t="shared" si="223"/>
        <v>2.3077257367928001</v>
      </c>
      <c r="AQ419" s="388">
        <f t="shared" si="189"/>
        <v>2.3649357367928001</v>
      </c>
      <c r="AR419" s="389">
        <f t="shared" si="229"/>
        <v>2.2960541133910679</v>
      </c>
      <c r="AS419" s="389">
        <f t="shared" si="229"/>
        <v>2.2291787508651146</v>
      </c>
      <c r="AT419" s="389">
        <f t="shared" si="232"/>
        <v>2.16425121443215</v>
      </c>
      <c r="AU419" s="389">
        <f t="shared" si="232"/>
        <v>2.1012147712933498</v>
      </c>
      <c r="AV419" s="389">
        <f t="shared" si="232"/>
        <v>2.0400143410615046</v>
      </c>
      <c r="AW419" s="389">
        <f t="shared" si="232"/>
        <v>1.9805964476325288</v>
      </c>
      <c r="AX419" s="389">
        <f t="shared" si="232"/>
        <v>1.9229091724587657</v>
      </c>
      <c r="AY419" s="389">
        <f t="shared" si="232"/>
        <v>1.8669021091832678</v>
      </c>
      <c r="AZ419" s="389">
        <f t="shared" si="232"/>
        <v>1.8125263195954056</v>
      </c>
      <c r="BA419" s="389">
        <f t="shared" si="232"/>
        <v>1.7597342908693259</v>
      </c>
      <c r="BB419" s="389">
        <f t="shared" si="232"/>
        <v>1.7084798940478891</v>
      </c>
      <c r="BC419" s="389">
        <f t="shared" si="232"/>
        <v>1.6587183437358151</v>
      </c>
      <c r="BD419" s="389">
        <f t="shared" si="233"/>
        <v>1.6104061589668108</v>
      </c>
      <c r="BE419" s="389">
        <f t="shared" si="233"/>
        <v>1.5635011252104958</v>
      </c>
      <c r="BF419" s="389">
        <f t="shared" si="233"/>
        <v>1.517962257485918</v>
      </c>
      <c r="BG419" s="389">
        <f t="shared" si="233"/>
        <v>1.4737497645494353</v>
      </c>
      <c r="BH419" s="389">
        <f t="shared" si="233"/>
        <v>1.4308250141256653</v>
      </c>
      <c r="BI419" s="389">
        <f t="shared" si="233"/>
        <v>1.3891504991511314</v>
      </c>
      <c r="BJ419" s="389">
        <f t="shared" si="233"/>
        <v>1.3486898050010985</v>
      </c>
      <c r="BK419" s="390">
        <f t="shared" si="191"/>
        <v>36.239800129849542</v>
      </c>
    </row>
    <row r="420" spans="31:63" x14ac:dyDescent="0.3">
      <c r="AE420" s="367">
        <f t="shared" si="196"/>
        <v>1113000000</v>
      </c>
      <c r="AF420" s="158">
        <f t="shared" si="217"/>
        <v>1325</v>
      </c>
      <c r="AG420" s="41">
        <v>53</v>
      </c>
      <c r="AH420" s="41" t="s">
        <v>376</v>
      </c>
      <c r="AI420" s="362">
        <f t="shared" si="218"/>
        <v>30</v>
      </c>
      <c r="AJ420" s="370">
        <f t="shared" si="219"/>
        <v>27</v>
      </c>
      <c r="AK420" s="232">
        <f t="shared" si="226"/>
        <v>0.39750000000000002</v>
      </c>
      <c r="AL420" s="433">
        <f t="shared" si="220"/>
        <v>0.159</v>
      </c>
      <c r="AM420" s="224">
        <f t="shared" si="221"/>
        <v>1.5600000000000002E-3</v>
      </c>
      <c r="AN420" s="368">
        <f t="shared" si="222"/>
        <v>5.5650000000000005E-2</v>
      </c>
      <c r="AO420" s="369">
        <f t="shared" si="223"/>
        <v>2.3077257367928001</v>
      </c>
      <c r="AQ420" s="388">
        <f t="shared" si="189"/>
        <v>2.3649357367928001</v>
      </c>
      <c r="AR420" s="389">
        <f t="shared" si="229"/>
        <v>2.2960541133910679</v>
      </c>
      <c r="AS420" s="389">
        <f t="shared" si="229"/>
        <v>2.2291787508651146</v>
      </c>
      <c r="AT420" s="389">
        <f t="shared" si="232"/>
        <v>2.16425121443215</v>
      </c>
      <c r="AU420" s="389">
        <f t="shared" si="232"/>
        <v>2.1012147712933498</v>
      </c>
      <c r="AV420" s="389">
        <f t="shared" si="232"/>
        <v>2.0400143410615046</v>
      </c>
      <c r="AW420" s="389">
        <f t="shared" si="232"/>
        <v>1.9805964476325288</v>
      </c>
      <c r="AX420" s="389">
        <f t="shared" si="232"/>
        <v>1.9229091724587657</v>
      </c>
      <c r="AY420" s="389">
        <f t="shared" si="232"/>
        <v>1.8669021091832678</v>
      </c>
      <c r="AZ420" s="389">
        <f t="shared" si="232"/>
        <v>1.8125263195954056</v>
      </c>
      <c r="BA420" s="389">
        <f t="shared" si="232"/>
        <v>1.7597342908693259</v>
      </c>
      <c r="BB420" s="389">
        <f t="shared" si="232"/>
        <v>1.7084798940478891</v>
      </c>
      <c r="BC420" s="389">
        <f t="shared" si="232"/>
        <v>1.6587183437358151</v>
      </c>
      <c r="BD420" s="389">
        <f t="shared" si="233"/>
        <v>1.6104061589668108</v>
      </c>
      <c r="BE420" s="389">
        <f t="shared" si="233"/>
        <v>1.5635011252104958</v>
      </c>
      <c r="BF420" s="389">
        <f t="shared" si="233"/>
        <v>1.517962257485918</v>
      </c>
      <c r="BG420" s="389">
        <f t="shared" si="233"/>
        <v>1.4737497645494353</v>
      </c>
      <c r="BH420" s="389">
        <f t="shared" si="233"/>
        <v>1.4308250141256653</v>
      </c>
      <c r="BI420" s="389">
        <f t="shared" si="233"/>
        <v>1.3891504991511314</v>
      </c>
      <c r="BJ420" s="389">
        <f t="shared" si="233"/>
        <v>1.3486898050010985</v>
      </c>
      <c r="BK420" s="390">
        <f t="shared" si="191"/>
        <v>36.239800129849542</v>
      </c>
    </row>
    <row r="421" spans="31:63" x14ac:dyDescent="0.3">
      <c r="AE421" s="367">
        <f t="shared" si="196"/>
        <v>1134000000</v>
      </c>
      <c r="AF421" s="158">
        <f t="shared" si="217"/>
        <v>1350</v>
      </c>
      <c r="AG421" s="41">
        <v>54</v>
      </c>
      <c r="AH421" s="41" t="s">
        <v>376</v>
      </c>
      <c r="AI421" s="362">
        <f t="shared" si="218"/>
        <v>30</v>
      </c>
      <c r="AJ421" s="370">
        <f t="shared" si="219"/>
        <v>27</v>
      </c>
      <c r="AK421" s="232">
        <f t="shared" si="226"/>
        <v>0.39750000000000002</v>
      </c>
      <c r="AL421" s="433">
        <f t="shared" si="220"/>
        <v>0.159</v>
      </c>
      <c r="AM421" s="224">
        <f t="shared" si="221"/>
        <v>1.5600000000000002E-3</v>
      </c>
      <c r="AN421" s="368">
        <f t="shared" si="222"/>
        <v>5.5650000000000005E-2</v>
      </c>
      <c r="AO421" s="369">
        <f t="shared" si="223"/>
        <v>2.3077257367928001</v>
      </c>
      <c r="AQ421" s="388">
        <f t="shared" si="189"/>
        <v>2.3649357367928001</v>
      </c>
      <c r="AR421" s="389">
        <f t="shared" si="229"/>
        <v>2.2960541133910679</v>
      </c>
      <c r="AS421" s="389">
        <f t="shared" si="229"/>
        <v>2.2291787508651146</v>
      </c>
      <c r="AT421" s="389">
        <f t="shared" si="232"/>
        <v>2.16425121443215</v>
      </c>
      <c r="AU421" s="389">
        <f t="shared" si="232"/>
        <v>2.1012147712933498</v>
      </c>
      <c r="AV421" s="389">
        <f t="shared" si="232"/>
        <v>2.0400143410615046</v>
      </c>
      <c r="AW421" s="389">
        <f t="shared" si="232"/>
        <v>1.9805964476325288</v>
      </c>
      <c r="AX421" s="389">
        <f t="shared" si="232"/>
        <v>1.9229091724587657</v>
      </c>
      <c r="AY421" s="389">
        <f t="shared" si="232"/>
        <v>1.8669021091832678</v>
      </c>
      <c r="AZ421" s="389">
        <f t="shared" si="232"/>
        <v>1.8125263195954056</v>
      </c>
      <c r="BA421" s="389">
        <f t="shared" si="232"/>
        <v>1.7597342908693259</v>
      </c>
      <c r="BB421" s="389">
        <f t="shared" si="232"/>
        <v>1.7084798940478891</v>
      </c>
      <c r="BC421" s="389">
        <f t="shared" si="232"/>
        <v>1.6587183437358151</v>
      </c>
      <c r="BD421" s="389">
        <f t="shared" si="233"/>
        <v>1.6104061589668108</v>
      </c>
      <c r="BE421" s="389">
        <f t="shared" si="233"/>
        <v>1.5635011252104958</v>
      </c>
      <c r="BF421" s="389">
        <f t="shared" si="233"/>
        <v>1.517962257485918</v>
      </c>
      <c r="BG421" s="389">
        <f t="shared" si="233"/>
        <v>1.4737497645494353</v>
      </c>
      <c r="BH421" s="389">
        <f t="shared" si="233"/>
        <v>1.4308250141256653</v>
      </c>
      <c r="BI421" s="389">
        <f t="shared" si="233"/>
        <v>1.3891504991511314</v>
      </c>
      <c r="BJ421" s="389">
        <f t="shared" si="233"/>
        <v>1.3486898050010985</v>
      </c>
      <c r="BK421" s="390">
        <f t="shared" si="191"/>
        <v>36.239800129849542</v>
      </c>
    </row>
    <row r="422" spans="31:63" x14ac:dyDescent="0.3">
      <c r="AE422" s="367">
        <f t="shared" si="196"/>
        <v>1155000000</v>
      </c>
      <c r="AF422" s="158">
        <f t="shared" si="217"/>
        <v>1375</v>
      </c>
      <c r="AG422" s="41">
        <v>55</v>
      </c>
      <c r="AH422" s="41" t="s">
        <v>376</v>
      </c>
      <c r="AI422" s="362">
        <f t="shared" si="218"/>
        <v>30</v>
      </c>
      <c r="AJ422" s="370">
        <f t="shared" si="219"/>
        <v>27</v>
      </c>
      <c r="AK422" s="232">
        <f t="shared" si="226"/>
        <v>0.39750000000000002</v>
      </c>
      <c r="AL422" s="433">
        <f t="shared" si="220"/>
        <v>0.159</v>
      </c>
      <c r="AM422" s="224">
        <f t="shared" si="221"/>
        <v>1.5600000000000002E-3</v>
      </c>
      <c r="AN422" s="368">
        <f t="shared" si="222"/>
        <v>5.5650000000000005E-2</v>
      </c>
      <c r="AO422" s="369">
        <f t="shared" si="223"/>
        <v>2.3077257367928001</v>
      </c>
      <c r="AQ422" s="388">
        <f t="shared" si="189"/>
        <v>2.3649357367928001</v>
      </c>
      <c r="AR422" s="389">
        <f t="shared" si="229"/>
        <v>2.2960541133910679</v>
      </c>
      <c r="AS422" s="389">
        <f t="shared" si="229"/>
        <v>2.2291787508651146</v>
      </c>
      <c r="AT422" s="389">
        <f t="shared" si="232"/>
        <v>2.16425121443215</v>
      </c>
      <c r="AU422" s="389">
        <f t="shared" si="232"/>
        <v>2.1012147712933498</v>
      </c>
      <c r="AV422" s="389">
        <f t="shared" si="232"/>
        <v>2.0400143410615046</v>
      </c>
      <c r="AW422" s="389">
        <f t="shared" si="232"/>
        <v>1.9805964476325288</v>
      </c>
      <c r="AX422" s="389">
        <f t="shared" si="232"/>
        <v>1.9229091724587657</v>
      </c>
      <c r="AY422" s="389">
        <f t="shared" si="232"/>
        <v>1.8669021091832678</v>
      </c>
      <c r="AZ422" s="389">
        <f t="shared" si="232"/>
        <v>1.8125263195954056</v>
      </c>
      <c r="BA422" s="389">
        <f t="shared" si="232"/>
        <v>1.7597342908693259</v>
      </c>
      <c r="BB422" s="389">
        <f t="shared" si="232"/>
        <v>1.7084798940478891</v>
      </c>
      <c r="BC422" s="389">
        <f t="shared" si="232"/>
        <v>1.6587183437358151</v>
      </c>
      <c r="BD422" s="389">
        <f t="shared" si="233"/>
        <v>1.6104061589668108</v>
      </c>
      <c r="BE422" s="389">
        <f t="shared" si="233"/>
        <v>1.5635011252104958</v>
      </c>
      <c r="BF422" s="389">
        <f t="shared" si="233"/>
        <v>1.517962257485918</v>
      </c>
      <c r="BG422" s="389">
        <f t="shared" si="233"/>
        <v>1.4737497645494353</v>
      </c>
      <c r="BH422" s="389">
        <f t="shared" si="233"/>
        <v>1.4308250141256653</v>
      </c>
      <c r="BI422" s="389">
        <f t="shared" si="233"/>
        <v>1.3891504991511314</v>
      </c>
      <c r="BJ422" s="389">
        <f t="shared" si="233"/>
        <v>1.3486898050010985</v>
      </c>
      <c r="BK422" s="390">
        <f t="shared" si="191"/>
        <v>36.239800129849542</v>
      </c>
    </row>
    <row r="423" spans="31:63" x14ac:dyDescent="0.3">
      <c r="AE423" s="367">
        <f t="shared" si="196"/>
        <v>1176000000</v>
      </c>
      <c r="AF423" s="158">
        <f t="shared" si="217"/>
        <v>1400</v>
      </c>
      <c r="AG423" s="41">
        <v>56</v>
      </c>
      <c r="AH423" s="41" t="s">
        <v>376</v>
      </c>
      <c r="AI423" s="362">
        <f t="shared" si="218"/>
        <v>30</v>
      </c>
      <c r="AJ423" s="370">
        <f t="shared" si="219"/>
        <v>27</v>
      </c>
      <c r="AK423" s="232">
        <f t="shared" si="226"/>
        <v>0.39750000000000002</v>
      </c>
      <c r="AL423" s="433">
        <f t="shared" si="220"/>
        <v>0.159</v>
      </c>
      <c r="AM423" s="224">
        <f t="shared" si="221"/>
        <v>1.5600000000000002E-3</v>
      </c>
      <c r="AN423" s="368">
        <f t="shared" si="222"/>
        <v>5.5650000000000005E-2</v>
      </c>
      <c r="AO423" s="369">
        <f t="shared" si="223"/>
        <v>2.3077257367928001</v>
      </c>
      <c r="AQ423" s="388">
        <f t="shared" si="189"/>
        <v>2.3649357367928001</v>
      </c>
      <c r="AR423" s="389">
        <f t="shared" si="229"/>
        <v>2.2960541133910679</v>
      </c>
      <c r="AS423" s="389">
        <f t="shared" si="229"/>
        <v>2.2291787508651146</v>
      </c>
      <c r="AT423" s="389">
        <f t="shared" si="232"/>
        <v>2.16425121443215</v>
      </c>
      <c r="AU423" s="389">
        <f t="shared" si="232"/>
        <v>2.1012147712933498</v>
      </c>
      <c r="AV423" s="389">
        <f t="shared" si="232"/>
        <v>2.0400143410615046</v>
      </c>
      <c r="AW423" s="389">
        <f t="shared" si="232"/>
        <v>1.9805964476325288</v>
      </c>
      <c r="AX423" s="389">
        <f t="shared" si="232"/>
        <v>1.9229091724587657</v>
      </c>
      <c r="AY423" s="389">
        <f t="shared" si="232"/>
        <v>1.8669021091832678</v>
      </c>
      <c r="AZ423" s="389">
        <f t="shared" si="232"/>
        <v>1.8125263195954056</v>
      </c>
      <c r="BA423" s="389">
        <f t="shared" si="232"/>
        <v>1.7597342908693259</v>
      </c>
      <c r="BB423" s="389">
        <f t="shared" si="232"/>
        <v>1.7084798940478891</v>
      </c>
      <c r="BC423" s="389">
        <f t="shared" si="232"/>
        <v>1.6587183437358151</v>
      </c>
      <c r="BD423" s="389">
        <f t="shared" si="233"/>
        <v>1.6104061589668108</v>
      </c>
      <c r="BE423" s="389">
        <f t="shared" si="233"/>
        <v>1.5635011252104958</v>
      </c>
      <c r="BF423" s="389">
        <f t="shared" si="233"/>
        <v>1.517962257485918</v>
      </c>
      <c r="BG423" s="389">
        <f t="shared" si="233"/>
        <v>1.4737497645494353</v>
      </c>
      <c r="BH423" s="389">
        <f t="shared" si="233"/>
        <v>1.4308250141256653</v>
      </c>
      <c r="BI423" s="389">
        <f t="shared" si="233"/>
        <v>1.3891504991511314</v>
      </c>
      <c r="BJ423" s="389">
        <f t="shared" si="233"/>
        <v>1.3486898050010985</v>
      </c>
      <c r="BK423" s="390">
        <f t="shared" si="191"/>
        <v>36.239800129849542</v>
      </c>
    </row>
    <row r="424" spans="31:63" x14ac:dyDescent="0.3">
      <c r="AE424" s="367">
        <f t="shared" si="196"/>
        <v>1197000000</v>
      </c>
      <c r="AF424" s="158">
        <f t="shared" si="217"/>
        <v>1425</v>
      </c>
      <c r="AG424" s="41">
        <v>57</v>
      </c>
      <c r="AH424" s="41" t="s">
        <v>376</v>
      </c>
      <c r="AI424" s="362">
        <f t="shared" si="218"/>
        <v>30</v>
      </c>
      <c r="AJ424" s="370">
        <f t="shared" si="219"/>
        <v>27</v>
      </c>
      <c r="AK424" s="232">
        <f t="shared" si="226"/>
        <v>0.39750000000000002</v>
      </c>
      <c r="AL424" s="433">
        <f t="shared" si="220"/>
        <v>0.159</v>
      </c>
      <c r="AM424" s="224">
        <f t="shared" si="221"/>
        <v>1.5600000000000002E-3</v>
      </c>
      <c r="AN424" s="368">
        <f t="shared" si="222"/>
        <v>5.5650000000000005E-2</v>
      </c>
      <c r="AO424" s="369">
        <f t="shared" si="223"/>
        <v>2.3077257367928001</v>
      </c>
      <c r="AQ424" s="388">
        <f t="shared" si="189"/>
        <v>2.3649357367928001</v>
      </c>
      <c r="AR424" s="389">
        <f t="shared" si="229"/>
        <v>2.2960541133910679</v>
      </c>
      <c r="AS424" s="389">
        <f t="shared" si="229"/>
        <v>2.2291787508651146</v>
      </c>
      <c r="AT424" s="389">
        <f t="shared" si="232"/>
        <v>2.16425121443215</v>
      </c>
      <c r="AU424" s="389">
        <f t="shared" si="232"/>
        <v>2.1012147712933498</v>
      </c>
      <c r="AV424" s="389">
        <f t="shared" si="232"/>
        <v>2.0400143410615046</v>
      </c>
      <c r="AW424" s="389">
        <f t="shared" si="232"/>
        <v>1.9805964476325288</v>
      </c>
      <c r="AX424" s="389">
        <f t="shared" si="232"/>
        <v>1.9229091724587657</v>
      </c>
      <c r="AY424" s="389">
        <f t="shared" si="232"/>
        <v>1.8669021091832678</v>
      </c>
      <c r="AZ424" s="389">
        <f t="shared" si="232"/>
        <v>1.8125263195954056</v>
      </c>
      <c r="BA424" s="389">
        <f t="shared" si="232"/>
        <v>1.7597342908693259</v>
      </c>
      <c r="BB424" s="389">
        <f t="shared" si="232"/>
        <v>1.7084798940478891</v>
      </c>
      <c r="BC424" s="389">
        <f t="shared" si="232"/>
        <v>1.6587183437358151</v>
      </c>
      <c r="BD424" s="389">
        <f t="shared" si="233"/>
        <v>1.6104061589668108</v>
      </c>
      <c r="BE424" s="389">
        <f t="shared" si="233"/>
        <v>1.5635011252104958</v>
      </c>
      <c r="BF424" s="389">
        <f t="shared" si="233"/>
        <v>1.517962257485918</v>
      </c>
      <c r="BG424" s="389">
        <f t="shared" si="233"/>
        <v>1.4737497645494353</v>
      </c>
      <c r="BH424" s="389">
        <f t="shared" si="233"/>
        <v>1.4308250141256653</v>
      </c>
      <c r="BI424" s="389">
        <f t="shared" si="233"/>
        <v>1.3891504991511314</v>
      </c>
      <c r="BJ424" s="389">
        <f t="shared" si="233"/>
        <v>1.3486898050010985</v>
      </c>
      <c r="BK424" s="390">
        <f t="shared" si="191"/>
        <v>36.239800129849542</v>
      </c>
    </row>
    <row r="425" spans="31:63" x14ac:dyDescent="0.3">
      <c r="AE425" s="367">
        <f t="shared" si="196"/>
        <v>1218000000</v>
      </c>
      <c r="AF425" s="158">
        <f t="shared" si="217"/>
        <v>1450</v>
      </c>
      <c r="AG425" s="41">
        <v>58</v>
      </c>
      <c r="AH425" s="41" t="s">
        <v>376</v>
      </c>
      <c r="AI425" s="362">
        <f t="shared" si="218"/>
        <v>30</v>
      </c>
      <c r="AJ425" s="370">
        <f t="shared" si="219"/>
        <v>27</v>
      </c>
      <c r="AK425" s="232">
        <f t="shared" si="226"/>
        <v>0.39750000000000002</v>
      </c>
      <c r="AL425" s="433">
        <f t="shared" si="220"/>
        <v>0.159</v>
      </c>
      <c r="AM425" s="224">
        <f t="shared" si="221"/>
        <v>1.5600000000000002E-3</v>
      </c>
      <c r="AN425" s="368">
        <f t="shared" si="222"/>
        <v>5.5650000000000005E-2</v>
      </c>
      <c r="AO425" s="369">
        <f t="shared" si="223"/>
        <v>2.3077257367928001</v>
      </c>
      <c r="AQ425" s="388">
        <f t="shared" si="189"/>
        <v>2.3649357367928001</v>
      </c>
      <c r="AR425" s="389">
        <f t="shared" si="229"/>
        <v>2.2960541133910679</v>
      </c>
      <c r="AS425" s="389">
        <f t="shared" si="229"/>
        <v>2.2291787508651146</v>
      </c>
      <c r="AT425" s="389">
        <f t="shared" si="232"/>
        <v>2.16425121443215</v>
      </c>
      <c r="AU425" s="389">
        <f t="shared" si="232"/>
        <v>2.1012147712933498</v>
      </c>
      <c r="AV425" s="389">
        <f t="shared" si="232"/>
        <v>2.0400143410615046</v>
      </c>
      <c r="AW425" s="389">
        <f t="shared" si="232"/>
        <v>1.9805964476325288</v>
      </c>
      <c r="AX425" s="389">
        <f t="shared" si="232"/>
        <v>1.9229091724587657</v>
      </c>
      <c r="AY425" s="389">
        <f t="shared" si="232"/>
        <v>1.8669021091832678</v>
      </c>
      <c r="AZ425" s="389">
        <f t="shared" si="232"/>
        <v>1.8125263195954056</v>
      </c>
      <c r="BA425" s="389">
        <f t="shared" si="232"/>
        <v>1.7597342908693259</v>
      </c>
      <c r="BB425" s="389">
        <f t="shared" si="232"/>
        <v>1.7084798940478891</v>
      </c>
      <c r="BC425" s="389">
        <f t="shared" si="232"/>
        <v>1.6587183437358151</v>
      </c>
      <c r="BD425" s="389">
        <f t="shared" si="233"/>
        <v>1.6104061589668108</v>
      </c>
      <c r="BE425" s="389">
        <f t="shared" si="233"/>
        <v>1.5635011252104958</v>
      </c>
      <c r="BF425" s="389">
        <f t="shared" si="233"/>
        <v>1.517962257485918</v>
      </c>
      <c r="BG425" s="389">
        <f t="shared" si="233"/>
        <v>1.4737497645494353</v>
      </c>
      <c r="BH425" s="389">
        <f t="shared" si="233"/>
        <v>1.4308250141256653</v>
      </c>
      <c r="BI425" s="389">
        <f t="shared" si="233"/>
        <v>1.3891504991511314</v>
      </c>
      <c r="BJ425" s="389">
        <f t="shared" si="233"/>
        <v>1.3486898050010985</v>
      </c>
      <c r="BK425" s="390">
        <f t="shared" si="191"/>
        <v>36.239800129849542</v>
      </c>
    </row>
    <row r="426" spans="31:63" x14ac:dyDescent="0.3">
      <c r="AE426" s="367">
        <f t="shared" si="196"/>
        <v>1239000000</v>
      </c>
      <c r="AF426" s="158">
        <f t="shared" si="217"/>
        <v>1475</v>
      </c>
      <c r="AG426" s="41">
        <v>59</v>
      </c>
      <c r="AH426" s="41" t="s">
        <v>376</v>
      </c>
      <c r="AI426" s="362">
        <f t="shared" si="218"/>
        <v>30</v>
      </c>
      <c r="AJ426" s="370">
        <f t="shared" si="219"/>
        <v>27</v>
      </c>
      <c r="AK426" s="232">
        <f t="shared" si="226"/>
        <v>0.39750000000000002</v>
      </c>
      <c r="AL426" s="433">
        <f t="shared" si="220"/>
        <v>0.159</v>
      </c>
      <c r="AM426" s="224">
        <f t="shared" si="221"/>
        <v>1.5600000000000002E-3</v>
      </c>
      <c r="AN426" s="368">
        <f t="shared" si="222"/>
        <v>5.5650000000000005E-2</v>
      </c>
      <c r="AO426" s="369">
        <f t="shared" si="223"/>
        <v>2.3077257367928001</v>
      </c>
      <c r="AQ426" s="388">
        <f t="shared" si="189"/>
        <v>2.3649357367928001</v>
      </c>
      <c r="AR426" s="389">
        <f t="shared" si="229"/>
        <v>2.2960541133910679</v>
      </c>
      <c r="AS426" s="389">
        <f t="shared" si="229"/>
        <v>2.2291787508651146</v>
      </c>
      <c r="AT426" s="389">
        <f t="shared" si="232"/>
        <v>2.16425121443215</v>
      </c>
      <c r="AU426" s="389">
        <f t="shared" si="232"/>
        <v>2.1012147712933498</v>
      </c>
      <c r="AV426" s="389">
        <f t="shared" si="232"/>
        <v>2.0400143410615046</v>
      </c>
      <c r="AW426" s="389">
        <f t="shared" si="232"/>
        <v>1.9805964476325288</v>
      </c>
      <c r="AX426" s="389">
        <f t="shared" si="232"/>
        <v>1.9229091724587657</v>
      </c>
      <c r="AY426" s="389">
        <f t="shared" si="232"/>
        <v>1.8669021091832678</v>
      </c>
      <c r="AZ426" s="389">
        <f t="shared" si="232"/>
        <v>1.8125263195954056</v>
      </c>
      <c r="BA426" s="389">
        <f t="shared" si="232"/>
        <v>1.7597342908693259</v>
      </c>
      <c r="BB426" s="389">
        <f t="shared" si="232"/>
        <v>1.7084798940478891</v>
      </c>
      <c r="BC426" s="389">
        <f t="shared" si="232"/>
        <v>1.6587183437358151</v>
      </c>
      <c r="BD426" s="389">
        <f t="shared" si="233"/>
        <v>1.6104061589668108</v>
      </c>
      <c r="BE426" s="389">
        <f t="shared" si="233"/>
        <v>1.5635011252104958</v>
      </c>
      <c r="BF426" s="389">
        <f t="shared" si="233"/>
        <v>1.517962257485918</v>
      </c>
      <c r="BG426" s="389">
        <f t="shared" si="233"/>
        <v>1.4737497645494353</v>
      </c>
      <c r="BH426" s="389">
        <f t="shared" si="233"/>
        <v>1.4308250141256653</v>
      </c>
      <c r="BI426" s="389">
        <f t="shared" si="233"/>
        <v>1.3891504991511314</v>
      </c>
      <c r="BJ426" s="389">
        <f t="shared" si="233"/>
        <v>1.3486898050010985</v>
      </c>
      <c r="BK426" s="390">
        <f t="shared" si="191"/>
        <v>36.239800129849542</v>
      </c>
    </row>
    <row r="427" spans="31:63" x14ac:dyDescent="0.3">
      <c r="AE427" s="367">
        <f t="shared" si="196"/>
        <v>1260000000</v>
      </c>
      <c r="AF427" s="158">
        <f t="shared" si="217"/>
        <v>1500</v>
      </c>
      <c r="AG427" s="41">
        <v>60</v>
      </c>
      <c r="AH427" s="41" t="s">
        <v>376</v>
      </c>
      <c r="AI427" s="362">
        <f t="shared" si="218"/>
        <v>30</v>
      </c>
      <c r="AJ427" s="370">
        <f t="shared" si="219"/>
        <v>27</v>
      </c>
      <c r="AK427" s="232">
        <f t="shared" si="226"/>
        <v>0.39750000000000002</v>
      </c>
      <c r="AL427" s="433">
        <f t="shared" si="220"/>
        <v>0.159</v>
      </c>
      <c r="AM427" s="224">
        <f t="shared" si="221"/>
        <v>1.5600000000000002E-3</v>
      </c>
      <c r="AN427" s="368">
        <f t="shared" si="222"/>
        <v>5.5650000000000005E-2</v>
      </c>
      <c r="AO427" s="369">
        <f t="shared" si="223"/>
        <v>2.3077257367928001</v>
      </c>
      <c r="AQ427" s="388">
        <f t="shared" si="189"/>
        <v>2.3649357367928001</v>
      </c>
      <c r="AR427" s="389">
        <f t="shared" ref="AR427:AS446" si="234">$AQ427/POWER(1+($B$10/100),AR$366-2024)</f>
        <v>2.2960541133910679</v>
      </c>
      <c r="AS427" s="389">
        <f t="shared" si="234"/>
        <v>2.2291787508651146</v>
      </c>
      <c r="AT427" s="389">
        <f t="shared" si="232"/>
        <v>2.16425121443215</v>
      </c>
      <c r="AU427" s="389">
        <f t="shared" si="232"/>
        <v>2.1012147712933498</v>
      </c>
      <c r="AV427" s="389">
        <f t="shared" si="232"/>
        <v>2.0400143410615046</v>
      </c>
      <c r="AW427" s="389">
        <f t="shared" si="232"/>
        <v>1.9805964476325288</v>
      </c>
      <c r="AX427" s="389">
        <f t="shared" si="232"/>
        <v>1.9229091724587657</v>
      </c>
      <c r="AY427" s="389">
        <f t="shared" si="232"/>
        <v>1.8669021091832678</v>
      </c>
      <c r="AZ427" s="389">
        <f t="shared" si="232"/>
        <v>1.8125263195954056</v>
      </c>
      <c r="BA427" s="389">
        <f t="shared" si="232"/>
        <v>1.7597342908693259</v>
      </c>
      <c r="BB427" s="389">
        <f t="shared" si="232"/>
        <v>1.7084798940478891</v>
      </c>
      <c r="BC427" s="389">
        <f t="shared" si="232"/>
        <v>1.6587183437358151</v>
      </c>
      <c r="BD427" s="389">
        <f t="shared" si="233"/>
        <v>1.6104061589668108</v>
      </c>
      <c r="BE427" s="389">
        <f t="shared" si="233"/>
        <v>1.5635011252104958</v>
      </c>
      <c r="BF427" s="389">
        <f t="shared" si="233"/>
        <v>1.517962257485918</v>
      </c>
      <c r="BG427" s="389">
        <f t="shared" si="233"/>
        <v>1.4737497645494353</v>
      </c>
      <c r="BH427" s="389">
        <f t="shared" si="233"/>
        <v>1.4308250141256653</v>
      </c>
      <c r="BI427" s="389">
        <f t="shared" si="233"/>
        <v>1.3891504991511314</v>
      </c>
      <c r="BJ427" s="389">
        <f t="shared" si="233"/>
        <v>1.3486898050010985</v>
      </c>
      <c r="BK427" s="390">
        <f t="shared" si="191"/>
        <v>36.239800129849542</v>
      </c>
    </row>
    <row r="428" spans="31:63" x14ac:dyDescent="0.3">
      <c r="AE428" s="367">
        <f t="shared" si="196"/>
        <v>1281000000</v>
      </c>
      <c r="AF428" s="158">
        <f t="shared" si="217"/>
        <v>1525</v>
      </c>
      <c r="AG428" s="41">
        <v>61</v>
      </c>
      <c r="AH428" s="41" t="s">
        <v>376</v>
      </c>
      <c r="AI428" s="362">
        <f t="shared" si="218"/>
        <v>30</v>
      </c>
      <c r="AJ428" s="370">
        <f t="shared" si="219"/>
        <v>27</v>
      </c>
      <c r="AK428" s="232">
        <f t="shared" si="226"/>
        <v>0.39750000000000002</v>
      </c>
      <c r="AL428" s="433">
        <f t="shared" si="220"/>
        <v>0.159</v>
      </c>
      <c r="AM428" s="224">
        <f t="shared" si="221"/>
        <v>1.5600000000000002E-3</v>
      </c>
      <c r="AN428" s="368">
        <f t="shared" si="222"/>
        <v>5.5650000000000005E-2</v>
      </c>
      <c r="AO428" s="369">
        <f t="shared" si="223"/>
        <v>2.3077257367928001</v>
      </c>
      <c r="AQ428" s="388">
        <f t="shared" si="189"/>
        <v>2.3649357367928001</v>
      </c>
      <c r="AR428" s="389">
        <f t="shared" si="234"/>
        <v>2.2960541133910679</v>
      </c>
      <c r="AS428" s="389">
        <f t="shared" si="234"/>
        <v>2.2291787508651146</v>
      </c>
      <c r="AT428" s="389">
        <f t="shared" ref="AT428:BC437" si="235">$AQ428/POWER(1+($B$10/100),AT$366-2024)</f>
        <v>2.16425121443215</v>
      </c>
      <c r="AU428" s="389">
        <f t="shared" si="235"/>
        <v>2.1012147712933498</v>
      </c>
      <c r="AV428" s="389">
        <f t="shared" si="235"/>
        <v>2.0400143410615046</v>
      </c>
      <c r="AW428" s="389">
        <f t="shared" si="235"/>
        <v>1.9805964476325288</v>
      </c>
      <c r="AX428" s="389">
        <f t="shared" si="235"/>
        <v>1.9229091724587657</v>
      </c>
      <c r="AY428" s="389">
        <f t="shared" si="235"/>
        <v>1.8669021091832678</v>
      </c>
      <c r="AZ428" s="389">
        <f t="shared" si="235"/>
        <v>1.8125263195954056</v>
      </c>
      <c r="BA428" s="389">
        <f t="shared" si="235"/>
        <v>1.7597342908693259</v>
      </c>
      <c r="BB428" s="389">
        <f t="shared" si="235"/>
        <v>1.7084798940478891</v>
      </c>
      <c r="BC428" s="389">
        <f t="shared" si="235"/>
        <v>1.6587183437358151</v>
      </c>
      <c r="BD428" s="389">
        <f t="shared" ref="BD428:BJ437" si="236">$AQ428/POWER(1+($B$10/100),BD$366-2024)</f>
        <v>1.6104061589668108</v>
      </c>
      <c r="BE428" s="389">
        <f t="shared" si="236"/>
        <v>1.5635011252104958</v>
      </c>
      <c r="BF428" s="389">
        <f t="shared" si="236"/>
        <v>1.517962257485918</v>
      </c>
      <c r="BG428" s="389">
        <f t="shared" si="236"/>
        <v>1.4737497645494353</v>
      </c>
      <c r="BH428" s="389">
        <f t="shared" si="236"/>
        <v>1.4308250141256653</v>
      </c>
      <c r="BI428" s="389">
        <f t="shared" si="236"/>
        <v>1.3891504991511314</v>
      </c>
      <c r="BJ428" s="389">
        <f t="shared" si="236"/>
        <v>1.3486898050010985</v>
      </c>
      <c r="BK428" s="390">
        <f t="shared" si="191"/>
        <v>36.239800129849542</v>
      </c>
    </row>
    <row r="429" spans="31:63" x14ac:dyDescent="0.3">
      <c r="AE429" s="367">
        <f t="shared" si="196"/>
        <v>1302000000</v>
      </c>
      <c r="AF429" s="158">
        <f t="shared" si="217"/>
        <v>1550</v>
      </c>
      <c r="AG429" s="41">
        <v>62</v>
      </c>
      <c r="AH429" s="41" t="s">
        <v>376</v>
      </c>
      <c r="AI429" s="362">
        <f t="shared" si="218"/>
        <v>30</v>
      </c>
      <c r="AJ429" s="370">
        <f t="shared" si="219"/>
        <v>27</v>
      </c>
      <c r="AK429" s="232">
        <f t="shared" si="226"/>
        <v>0.39750000000000002</v>
      </c>
      <c r="AL429" s="433">
        <f t="shared" si="220"/>
        <v>0.159</v>
      </c>
      <c r="AM429" s="224">
        <f t="shared" si="221"/>
        <v>1.5600000000000002E-3</v>
      </c>
      <c r="AN429" s="368">
        <f t="shared" si="222"/>
        <v>5.5650000000000005E-2</v>
      </c>
      <c r="AO429" s="369">
        <f t="shared" si="223"/>
        <v>2.3077257367928001</v>
      </c>
      <c r="AQ429" s="388">
        <f t="shared" si="189"/>
        <v>2.3649357367928001</v>
      </c>
      <c r="AR429" s="389">
        <f t="shared" si="234"/>
        <v>2.2960541133910679</v>
      </c>
      <c r="AS429" s="389">
        <f t="shared" si="234"/>
        <v>2.2291787508651146</v>
      </c>
      <c r="AT429" s="389">
        <f t="shared" si="235"/>
        <v>2.16425121443215</v>
      </c>
      <c r="AU429" s="389">
        <f t="shared" si="235"/>
        <v>2.1012147712933498</v>
      </c>
      <c r="AV429" s="389">
        <f t="shared" si="235"/>
        <v>2.0400143410615046</v>
      </c>
      <c r="AW429" s="389">
        <f t="shared" si="235"/>
        <v>1.9805964476325288</v>
      </c>
      <c r="AX429" s="389">
        <f t="shared" si="235"/>
        <v>1.9229091724587657</v>
      </c>
      <c r="AY429" s="389">
        <f t="shared" si="235"/>
        <v>1.8669021091832678</v>
      </c>
      <c r="AZ429" s="389">
        <f t="shared" si="235"/>
        <v>1.8125263195954056</v>
      </c>
      <c r="BA429" s="389">
        <f t="shared" si="235"/>
        <v>1.7597342908693259</v>
      </c>
      <c r="BB429" s="389">
        <f t="shared" si="235"/>
        <v>1.7084798940478891</v>
      </c>
      <c r="BC429" s="389">
        <f t="shared" si="235"/>
        <v>1.6587183437358151</v>
      </c>
      <c r="BD429" s="389">
        <f t="shared" si="236"/>
        <v>1.6104061589668108</v>
      </c>
      <c r="BE429" s="389">
        <f t="shared" si="236"/>
        <v>1.5635011252104958</v>
      </c>
      <c r="BF429" s="389">
        <f t="shared" si="236"/>
        <v>1.517962257485918</v>
      </c>
      <c r="BG429" s="389">
        <f t="shared" si="236"/>
        <v>1.4737497645494353</v>
      </c>
      <c r="BH429" s="389">
        <f t="shared" si="236"/>
        <v>1.4308250141256653</v>
      </c>
      <c r="BI429" s="389">
        <f t="shared" si="236"/>
        <v>1.3891504991511314</v>
      </c>
      <c r="BJ429" s="389">
        <f t="shared" si="236"/>
        <v>1.3486898050010985</v>
      </c>
      <c r="BK429" s="390">
        <f t="shared" si="191"/>
        <v>36.239800129849542</v>
      </c>
    </row>
    <row r="430" spans="31:63" x14ac:dyDescent="0.3">
      <c r="AE430" s="367">
        <f t="shared" si="196"/>
        <v>1323000000</v>
      </c>
      <c r="AF430" s="158">
        <f t="shared" si="217"/>
        <v>1575</v>
      </c>
      <c r="AG430" s="41">
        <v>63</v>
      </c>
      <c r="AH430" s="41" t="s">
        <v>376</v>
      </c>
      <c r="AI430" s="362">
        <f t="shared" si="218"/>
        <v>30</v>
      </c>
      <c r="AJ430" s="370">
        <f t="shared" si="219"/>
        <v>27</v>
      </c>
      <c r="AK430" s="232">
        <f t="shared" si="226"/>
        <v>0.39750000000000002</v>
      </c>
      <c r="AL430" s="433">
        <f t="shared" si="220"/>
        <v>0.159</v>
      </c>
      <c r="AM430" s="224">
        <f t="shared" si="221"/>
        <v>1.5600000000000002E-3</v>
      </c>
      <c r="AN430" s="368">
        <f t="shared" si="222"/>
        <v>5.5650000000000005E-2</v>
      </c>
      <c r="AO430" s="369">
        <f t="shared" si="223"/>
        <v>2.3077257367928001</v>
      </c>
      <c r="AQ430" s="388">
        <f t="shared" si="189"/>
        <v>2.3649357367928001</v>
      </c>
      <c r="AR430" s="389">
        <f t="shared" si="234"/>
        <v>2.2960541133910679</v>
      </c>
      <c r="AS430" s="389">
        <f t="shared" si="234"/>
        <v>2.2291787508651146</v>
      </c>
      <c r="AT430" s="389">
        <f t="shared" si="235"/>
        <v>2.16425121443215</v>
      </c>
      <c r="AU430" s="389">
        <f t="shared" si="235"/>
        <v>2.1012147712933498</v>
      </c>
      <c r="AV430" s="389">
        <f t="shared" si="235"/>
        <v>2.0400143410615046</v>
      </c>
      <c r="AW430" s="389">
        <f t="shared" si="235"/>
        <v>1.9805964476325288</v>
      </c>
      <c r="AX430" s="389">
        <f t="shared" si="235"/>
        <v>1.9229091724587657</v>
      </c>
      <c r="AY430" s="389">
        <f t="shared" si="235"/>
        <v>1.8669021091832678</v>
      </c>
      <c r="AZ430" s="389">
        <f t="shared" si="235"/>
        <v>1.8125263195954056</v>
      </c>
      <c r="BA430" s="389">
        <f t="shared" si="235"/>
        <v>1.7597342908693259</v>
      </c>
      <c r="BB430" s="389">
        <f t="shared" si="235"/>
        <v>1.7084798940478891</v>
      </c>
      <c r="BC430" s="389">
        <f t="shared" si="235"/>
        <v>1.6587183437358151</v>
      </c>
      <c r="BD430" s="389">
        <f t="shared" si="236"/>
        <v>1.6104061589668108</v>
      </c>
      <c r="BE430" s="389">
        <f t="shared" si="236"/>
        <v>1.5635011252104958</v>
      </c>
      <c r="BF430" s="389">
        <f t="shared" si="236"/>
        <v>1.517962257485918</v>
      </c>
      <c r="BG430" s="389">
        <f t="shared" si="236"/>
        <v>1.4737497645494353</v>
      </c>
      <c r="BH430" s="389">
        <f t="shared" si="236"/>
        <v>1.4308250141256653</v>
      </c>
      <c r="BI430" s="389">
        <f t="shared" si="236"/>
        <v>1.3891504991511314</v>
      </c>
      <c r="BJ430" s="389">
        <f t="shared" si="236"/>
        <v>1.3486898050010985</v>
      </c>
      <c r="BK430" s="390">
        <f t="shared" si="191"/>
        <v>36.239800129849542</v>
      </c>
    </row>
    <row r="431" spans="31:63" x14ac:dyDescent="0.3">
      <c r="AE431" s="367">
        <f t="shared" si="196"/>
        <v>1344000000</v>
      </c>
      <c r="AF431" s="158">
        <f t="shared" si="217"/>
        <v>1600</v>
      </c>
      <c r="AG431" s="41">
        <v>64</v>
      </c>
      <c r="AH431" s="41" t="s">
        <v>376</v>
      </c>
      <c r="AI431" s="362">
        <f t="shared" si="218"/>
        <v>30</v>
      </c>
      <c r="AJ431" s="370">
        <f t="shared" si="219"/>
        <v>27</v>
      </c>
      <c r="AK431" s="232">
        <f t="shared" si="226"/>
        <v>0.39750000000000002</v>
      </c>
      <c r="AL431" s="433">
        <f t="shared" si="220"/>
        <v>0.159</v>
      </c>
      <c r="AM431" s="224">
        <f t="shared" si="221"/>
        <v>1.5600000000000002E-3</v>
      </c>
      <c r="AN431" s="368">
        <f t="shared" si="222"/>
        <v>5.5650000000000005E-2</v>
      </c>
      <c r="AO431" s="369">
        <f t="shared" si="223"/>
        <v>2.3077257367928001</v>
      </c>
      <c r="AQ431" s="388">
        <f t="shared" ref="AQ431:AQ494" si="237">(AM431+AN431+AO431)</f>
        <v>2.3649357367928001</v>
      </c>
      <c r="AR431" s="389">
        <f t="shared" si="234"/>
        <v>2.2960541133910679</v>
      </c>
      <c r="AS431" s="389">
        <f t="shared" si="234"/>
        <v>2.2291787508651146</v>
      </c>
      <c r="AT431" s="389">
        <f t="shared" si="235"/>
        <v>2.16425121443215</v>
      </c>
      <c r="AU431" s="389">
        <f t="shared" si="235"/>
        <v>2.1012147712933498</v>
      </c>
      <c r="AV431" s="389">
        <f t="shared" si="235"/>
        <v>2.0400143410615046</v>
      </c>
      <c r="AW431" s="389">
        <f t="shared" si="235"/>
        <v>1.9805964476325288</v>
      </c>
      <c r="AX431" s="389">
        <f t="shared" si="235"/>
        <v>1.9229091724587657</v>
      </c>
      <c r="AY431" s="389">
        <f t="shared" si="235"/>
        <v>1.8669021091832678</v>
      </c>
      <c r="AZ431" s="389">
        <f t="shared" si="235"/>
        <v>1.8125263195954056</v>
      </c>
      <c r="BA431" s="389">
        <f t="shared" si="235"/>
        <v>1.7597342908693259</v>
      </c>
      <c r="BB431" s="389">
        <f t="shared" si="235"/>
        <v>1.7084798940478891</v>
      </c>
      <c r="BC431" s="389">
        <f t="shared" si="235"/>
        <v>1.6587183437358151</v>
      </c>
      <c r="BD431" s="389">
        <f t="shared" si="236"/>
        <v>1.6104061589668108</v>
      </c>
      <c r="BE431" s="389">
        <f t="shared" si="236"/>
        <v>1.5635011252104958</v>
      </c>
      <c r="BF431" s="389">
        <f t="shared" si="236"/>
        <v>1.517962257485918</v>
      </c>
      <c r="BG431" s="389">
        <f t="shared" si="236"/>
        <v>1.4737497645494353</v>
      </c>
      <c r="BH431" s="389">
        <f t="shared" si="236"/>
        <v>1.4308250141256653</v>
      </c>
      <c r="BI431" s="389">
        <f t="shared" si="236"/>
        <v>1.3891504991511314</v>
      </c>
      <c r="BJ431" s="389">
        <f t="shared" si="236"/>
        <v>1.3486898050010985</v>
      </c>
      <c r="BK431" s="390">
        <f t="shared" ref="BK431:BK494" si="238">SUM(AQ431:BJ431)</f>
        <v>36.239800129849542</v>
      </c>
    </row>
    <row r="432" spans="31:63" x14ac:dyDescent="0.3">
      <c r="AE432" s="367">
        <f t="shared" si="196"/>
        <v>1365000000</v>
      </c>
      <c r="AF432" s="158">
        <f t="shared" si="217"/>
        <v>1625</v>
      </c>
      <c r="AG432" s="41">
        <v>65</v>
      </c>
      <c r="AH432" s="41" t="s">
        <v>376</v>
      </c>
      <c r="AI432" s="362">
        <f t="shared" si="218"/>
        <v>30</v>
      </c>
      <c r="AJ432" s="370">
        <f t="shared" si="219"/>
        <v>27</v>
      </c>
      <c r="AK432" s="232">
        <f t="shared" si="226"/>
        <v>0.39750000000000002</v>
      </c>
      <c r="AL432" s="433">
        <f t="shared" si="220"/>
        <v>0.159</v>
      </c>
      <c r="AM432" s="224">
        <f t="shared" si="221"/>
        <v>1.5600000000000002E-3</v>
      </c>
      <c r="AN432" s="368">
        <f t="shared" si="222"/>
        <v>5.5650000000000005E-2</v>
      </c>
      <c r="AO432" s="369">
        <f t="shared" si="223"/>
        <v>2.3077257367928001</v>
      </c>
      <c r="AQ432" s="388">
        <f t="shared" si="237"/>
        <v>2.3649357367928001</v>
      </c>
      <c r="AR432" s="389">
        <f t="shared" si="234"/>
        <v>2.2960541133910679</v>
      </c>
      <c r="AS432" s="389">
        <f t="shared" si="234"/>
        <v>2.2291787508651146</v>
      </c>
      <c r="AT432" s="389">
        <f t="shared" si="235"/>
        <v>2.16425121443215</v>
      </c>
      <c r="AU432" s="389">
        <f t="shared" si="235"/>
        <v>2.1012147712933498</v>
      </c>
      <c r="AV432" s="389">
        <f t="shared" si="235"/>
        <v>2.0400143410615046</v>
      </c>
      <c r="AW432" s="389">
        <f t="shared" si="235"/>
        <v>1.9805964476325288</v>
      </c>
      <c r="AX432" s="389">
        <f t="shared" si="235"/>
        <v>1.9229091724587657</v>
      </c>
      <c r="AY432" s="389">
        <f t="shared" si="235"/>
        <v>1.8669021091832678</v>
      </c>
      <c r="AZ432" s="389">
        <f t="shared" si="235"/>
        <v>1.8125263195954056</v>
      </c>
      <c r="BA432" s="389">
        <f t="shared" si="235"/>
        <v>1.7597342908693259</v>
      </c>
      <c r="BB432" s="389">
        <f t="shared" si="235"/>
        <v>1.7084798940478891</v>
      </c>
      <c r="BC432" s="389">
        <f t="shared" si="235"/>
        <v>1.6587183437358151</v>
      </c>
      <c r="BD432" s="389">
        <f t="shared" si="236"/>
        <v>1.6104061589668108</v>
      </c>
      <c r="BE432" s="389">
        <f t="shared" si="236"/>
        <v>1.5635011252104958</v>
      </c>
      <c r="BF432" s="389">
        <f t="shared" si="236"/>
        <v>1.517962257485918</v>
      </c>
      <c r="BG432" s="389">
        <f t="shared" si="236"/>
        <v>1.4737497645494353</v>
      </c>
      <c r="BH432" s="389">
        <f t="shared" si="236"/>
        <v>1.4308250141256653</v>
      </c>
      <c r="BI432" s="389">
        <f t="shared" si="236"/>
        <v>1.3891504991511314</v>
      </c>
      <c r="BJ432" s="389">
        <f t="shared" si="236"/>
        <v>1.3486898050010985</v>
      </c>
      <c r="BK432" s="390">
        <f t="shared" si="238"/>
        <v>36.239800129849542</v>
      </c>
    </row>
    <row r="433" spans="31:63" x14ac:dyDescent="0.3">
      <c r="AE433" s="367">
        <f t="shared" ref="AE433:AE496" si="239">AE251</f>
        <v>1386000000</v>
      </c>
      <c r="AF433" s="158">
        <f t="shared" ref="AF433:AF496" si="240">AF251</f>
        <v>1650</v>
      </c>
      <c r="AG433" s="41">
        <v>66</v>
      </c>
      <c r="AH433" s="41" t="s">
        <v>376</v>
      </c>
      <c r="AI433" s="362">
        <f t="shared" si="218"/>
        <v>30</v>
      </c>
      <c r="AJ433" s="370">
        <f t="shared" si="219"/>
        <v>27</v>
      </c>
      <c r="AK433" s="232">
        <f t="shared" si="226"/>
        <v>0.39750000000000002</v>
      </c>
      <c r="AL433" s="433">
        <f t="shared" si="220"/>
        <v>0.159</v>
      </c>
      <c r="AM433" s="224">
        <f t="shared" si="221"/>
        <v>1.5600000000000002E-3</v>
      </c>
      <c r="AN433" s="368">
        <f t="shared" si="222"/>
        <v>5.5650000000000005E-2</v>
      </c>
      <c r="AO433" s="369">
        <f t="shared" si="223"/>
        <v>2.3077257367928001</v>
      </c>
      <c r="AQ433" s="388">
        <f t="shared" si="237"/>
        <v>2.3649357367928001</v>
      </c>
      <c r="AR433" s="389">
        <f t="shared" si="234"/>
        <v>2.2960541133910679</v>
      </c>
      <c r="AS433" s="389">
        <f t="shared" si="234"/>
        <v>2.2291787508651146</v>
      </c>
      <c r="AT433" s="389">
        <f t="shared" si="235"/>
        <v>2.16425121443215</v>
      </c>
      <c r="AU433" s="389">
        <f t="shared" si="235"/>
        <v>2.1012147712933498</v>
      </c>
      <c r="AV433" s="389">
        <f t="shared" si="235"/>
        <v>2.0400143410615046</v>
      </c>
      <c r="AW433" s="389">
        <f t="shared" si="235"/>
        <v>1.9805964476325288</v>
      </c>
      <c r="AX433" s="389">
        <f t="shared" si="235"/>
        <v>1.9229091724587657</v>
      </c>
      <c r="AY433" s="389">
        <f t="shared" si="235"/>
        <v>1.8669021091832678</v>
      </c>
      <c r="AZ433" s="389">
        <f t="shared" si="235"/>
        <v>1.8125263195954056</v>
      </c>
      <c r="BA433" s="389">
        <f t="shared" si="235"/>
        <v>1.7597342908693259</v>
      </c>
      <c r="BB433" s="389">
        <f t="shared" si="235"/>
        <v>1.7084798940478891</v>
      </c>
      <c r="BC433" s="389">
        <f t="shared" si="235"/>
        <v>1.6587183437358151</v>
      </c>
      <c r="BD433" s="389">
        <f t="shared" si="236"/>
        <v>1.6104061589668108</v>
      </c>
      <c r="BE433" s="389">
        <f t="shared" si="236"/>
        <v>1.5635011252104958</v>
      </c>
      <c r="BF433" s="389">
        <f t="shared" si="236"/>
        <v>1.517962257485918</v>
      </c>
      <c r="BG433" s="389">
        <f t="shared" si="236"/>
        <v>1.4737497645494353</v>
      </c>
      <c r="BH433" s="389">
        <f t="shared" si="236"/>
        <v>1.4308250141256653</v>
      </c>
      <c r="BI433" s="389">
        <f t="shared" si="236"/>
        <v>1.3891504991511314</v>
      </c>
      <c r="BJ433" s="389">
        <f t="shared" si="236"/>
        <v>1.3486898050010985</v>
      </c>
      <c r="BK433" s="390">
        <f t="shared" si="238"/>
        <v>36.239800129849542</v>
      </c>
    </row>
    <row r="434" spans="31:63" x14ac:dyDescent="0.3">
      <c r="AE434" s="367">
        <f t="shared" si="239"/>
        <v>1407000000</v>
      </c>
      <c r="AF434" s="158">
        <f t="shared" si="240"/>
        <v>1675</v>
      </c>
      <c r="AG434" s="41">
        <v>67</v>
      </c>
      <c r="AH434" s="41" t="s">
        <v>376</v>
      </c>
      <c r="AI434" s="362">
        <f t="shared" si="218"/>
        <v>30</v>
      </c>
      <c r="AJ434" s="370">
        <f t="shared" si="219"/>
        <v>27</v>
      </c>
      <c r="AK434" s="232">
        <f t="shared" si="226"/>
        <v>0.39750000000000002</v>
      </c>
      <c r="AL434" s="433">
        <f t="shared" si="220"/>
        <v>0.159</v>
      </c>
      <c r="AM434" s="224">
        <f t="shared" si="221"/>
        <v>1.5600000000000002E-3</v>
      </c>
      <c r="AN434" s="368">
        <f t="shared" si="222"/>
        <v>5.5650000000000005E-2</v>
      </c>
      <c r="AO434" s="369">
        <f t="shared" si="223"/>
        <v>2.3077257367928001</v>
      </c>
      <c r="AQ434" s="388">
        <f t="shared" si="237"/>
        <v>2.3649357367928001</v>
      </c>
      <c r="AR434" s="389">
        <f t="shared" si="234"/>
        <v>2.2960541133910679</v>
      </c>
      <c r="AS434" s="389">
        <f t="shared" si="234"/>
        <v>2.2291787508651146</v>
      </c>
      <c r="AT434" s="389">
        <f t="shared" si="235"/>
        <v>2.16425121443215</v>
      </c>
      <c r="AU434" s="389">
        <f t="shared" si="235"/>
        <v>2.1012147712933498</v>
      </c>
      <c r="AV434" s="389">
        <f t="shared" si="235"/>
        <v>2.0400143410615046</v>
      </c>
      <c r="AW434" s="389">
        <f t="shared" si="235"/>
        <v>1.9805964476325288</v>
      </c>
      <c r="AX434" s="389">
        <f t="shared" si="235"/>
        <v>1.9229091724587657</v>
      </c>
      <c r="AY434" s="389">
        <f t="shared" si="235"/>
        <v>1.8669021091832678</v>
      </c>
      <c r="AZ434" s="389">
        <f t="shared" si="235"/>
        <v>1.8125263195954056</v>
      </c>
      <c r="BA434" s="389">
        <f t="shared" si="235"/>
        <v>1.7597342908693259</v>
      </c>
      <c r="BB434" s="389">
        <f t="shared" si="235"/>
        <v>1.7084798940478891</v>
      </c>
      <c r="BC434" s="389">
        <f t="shared" si="235"/>
        <v>1.6587183437358151</v>
      </c>
      <c r="BD434" s="389">
        <f t="shared" si="236"/>
        <v>1.6104061589668108</v>
      </c>
      <c r="BE434" s="389">
        <f t="shared" si="236"/>
        <v>1.5635011252104958</v>
      </c>
      <c r="BF434" s="389">
        <f t="shared" si="236"/>
        <v>1.517962257485918</v>
      </c>
      <c r="BG434" s="389">
        <f t="shared" si="236"/>
        <v>1.4737497645494353</v>
      </c>
      <c r="BH434" s="389">
        <f t="shared" si="236"/>
        <v>1.4308250141256653</v>
      </c>
      <c r="BI434" s="389">
        <f t="shared" si="236"/>
        <v>1.3891504991511314</v>
      </c>
      <c r="BJ434" s="389">
        <f t="shared" si="236"/>
        <v>1.3486898050010985</v>
      </c>
      <c r="BK434" s="390">
        <f t="shared" si="238"/>
        <v>36.239800129849542</v>
      </c>
    </row>
    <row r="435" spans="31:63" x14ac:dyDescent="0.3">
      <c r="AE435" s="367">
        <f t="shared" si="239"/>
        <v>1428000000</v>
      </c>
      <c r="AF435" s="158">
        <f t="shared" si="240"/>
        <v>1700</v>
      </c>
      <c r="AG435" s="41">
        <v>68</v>
      </c>
      <c r="AH435" s="41" t="s">
        <v>376</v>
      </c>
      <c r="AI435" s="362">
        <f t="shared" si="218"/>
        <v>30</v>
      </c>
      <c r="AJ435" s="370">
        <f t="shared" si="219"/>
        <v>27</v>
      </c>
      <c r="AK435" s="232">
        <f t="shared" si="226"/>
        <v>0.39750000000000002</v>
      </c>
      <c r="AL435" s="433">
        <f t="shared" si="220"/>
        <v>0.159</v>
      </c>
      <c r="AM435" s="224">
        <f t="shared" si="221"/>
        <v>1.5600000000000002E-3</v>
      </c>
      <c r="AN435" s="368">
        <f t="shared" si="222"/>
        <v>5.5650000000000005E-2</v>
      </c>
      <c r="AO435" s="369">
        <f t="shared" si="223"/>
        <v>2.3077257367928001</v>
      </c>
      <c r="AQ435" s="388">
        <f t="shared" si="237"/>
        <v>2.3649357367928001</v>
      </c>
      <c r="AR435" s="389">
        <f t="shared" si="234"/>
        <v>2.2960541133910679</v>
      </c>
      <c r="AS435" s="389">
        <f t="shared" si="234"/>
        <v>2.2291787508651146</v>
      </c>
      <c r="AT435" s="389">
        <f t="shared" si="235"/>
        <v>2.16425121443215</v>
      </c>
      <c r="AU435" s="389">
        <f t="shared" si="235"/>
        <v>2.1012147712933498</v>
      </c>
      <c r="AV435" s="389">
        <f t="shared" si="235"/>
        <v>2.0400143410615046</v>
      </c>
      <c r="AW435" s="389">
        <f t="shared" si="235"/>
        <v>1.9805964476325288</v>
      </c>
      <c r="AX435" s="389">
        <f t="shared" si="235"/>
        <v>1.9229091724587657</v>
      </c>
      <c r="AY435" s="389">
        <f t="shared" si="235"/>
        <v>1.8669021091832678</v>
      </c>
      <c r="AZ435" s="389">
        <f t="shared" si="235"/>
        <v>1.8125263195954056</v>
      </c>
      <c r="BA435" s="389">
        <f t="shared" si="235"/>
        <v>1.7597342908693259</v>
      </c>
      <c r="BB435" s="389">
        <f t="shared" si="235"/>
        <v>1.7084798940478891</v>
      </c>
      <c r="BC435" s="389">
        <f t="shared" si="235"/>
        <v>1.6587183437358151</v>
      </c>
      <c r="BD435" s="389">
        <f t="shared" si="236"/>
        <v>1.6104061589668108</v>
      </c>
      <c r="BE435" s="389">
        <f t="shared" si="236"/>
        <v>1.5635011252104958</v>
      </c>
      <c r="BF435" s="389">
        <f t="shared" si="236"/>
        <v>1.517962257485918</v>
      </c>
      <c r="BG435" s="389">
        <f t="shared" si="236"/>
        <v>1.4737497645494353</v>
      </c>
      <c r="BH435" s="389">
        <f t="shared" si="236"/>
        <v>1.4308250141256653</v>
      </c>
      <c r="BI435" s="389">
        <f t="shared" si="236"/>
        <v>1.3891504991511314</v>
      </c>
      <c r="BJ435" s="389">
        <f t="shared" si="236"/>
        <v>1.3486898050010985</v>
      </c>
      <c r="BK435" s="390">
        <f t="shared" si="238"/>
        <v>36.239800129849542</v>
      </c>
    </row>
    <row r="436" spans="31:63" x14ac:dyDescent="0.3">
      <c r="AE436" s="367">
        <f t="shared" si="239"/>
        <v>1449000000</v>
      </c>
      <c r="AF436" s="158">
        <f t="shared" si="240"/>
        <v>1725</v>
      </c>
      <c r="AG436" s="41">
        <v>69</v>
      </c>
      <c r="AH436" s="41" t="s">
        <v>376</v>
      </c>
      <c r="AI436" s="362">
        <f t="shared" si="218"/>
        <v>30</v>
      </c>
      <c r="AJ436" s="370">
        <f t="shared" si="219"/>
        <v>27</v>
      </c>
      <c r="AK436" s="232">
        <f t="shared" si="226"/>
        <v>0.39750000000000002</v>
      </c>
      <c r="AL436" s="433">
        <f t="shared" si="220"/>
        <v>0.159</v>
      </c>
      <c r="AM436" s="224">
        <f t="shared" si="221"/>
        <v>1.5600000000000002E-3</v>
      </c>
      <c r="AN436" s="368">
        <f t="shared" si="222"/>
        <v>5.5650000000000005E-2</v>
      </c>
      <c r="AO436" s="369">
        <f t="shared" si="223"/>
        <v>2.3077257367928001</v>
      </c>
      <c r="AQ436" s="388">
        <f t="shared" si="237"/>
        <v>2.3649357367928001</v>
      </c>
      <c r="AR436" s="389">
        <f t="shared" si="234"/>
        <v>2.2960541133910679</v>
      </c>
      <c r="AS436" s="389">
        <f t="shared" si="234"/>
        <v>2.2291787508651146</v>
      </c>
      <c r="AT436" s="389">
        <f t="shared" si="235"/>
        <v>2.16425121443215</v>
      </c>
      <c r="AU436" s="389">
        <f t="shared" si="235"/>
        <v>2.1012147712933498</v>
      </c>
      <c r="AV436" s="389">
        <f t="shared" si="235"/>
        <v>2.0400143410615046</v>
      </c>
      <c r="AW436" s="389">
        <f t="shared" si="235"/>
        <v>1.9805964476325288</v>
      </c>
      <c r="AX436" s="389">
        <f t="shared" si="235"/>
        <v>1.9229091724587657</v>
      </c>
      <c r="AY436" s="389">
        <f t="shared" si="235"/>
        <v>1.8669021091832678</v>
      </c>
      <c r="AZ436" s="389">
        <f t="shared" si="235"/>
        <v>1.8125263195954056</v>
      </c>
      <c r="BA436" s="389">
        <f t="shared" si="235"/>
        <v>1.7597342908693259</v>
      </c>
      <c r="BB436" s="389">
        <f t="shared" si="235"/>
        <v>1.7084798940478891</v>
      </c>
      <c r="BC436" s="389">
        <f t="shared" si="235"/>
        <v>1.6587183437358151</v>
      </c>
      <c r="BD436" s="389">
        <f t="shared" si="236"/>
        <v>1.6104061589668108</v>
      </c>
      <c r="BE436" s="389">
        <f t="shared" si="236"/>
        <v>1.5635011252104958</v>
      </c>
      <c r="BF436" s="389">
        <f t="shared" si="236"/>
        <v>1.517962257485918</v>
      </c>
      <c r="BG436" s="389">
        <f t="shared" si="236"/>
        <v>1.4737497645494353</v>
      </c>
      <c r="BH436" s="389">
        <f t="shared" si="236"/>
        <v>1.4308250141256653</v>
      </c>
      <c r="BI436" s="389">
        <f t="shared" si="236"/>
        <v>1.3891504991511314</v>
      </c>
      <c r="BJ436" s="389">
        <f t="shared" si="236"/>
        <v>1.3486898050010985</v>
      </c>
      <c r="BK436" s="390">
        <f t="shared" si="238"/>
        <v>36.239800129849542</v>
      </c>
    </row>
    <row r="437" spans="31:63" x14ac:dyDescent="0.3">
      <c r="AE437" s="367">
        <f t="shared" si="239"/>
        <v>1470000000</v>
      </c>
      <c r="AF437" s="158">
        <f t="shared" si="240"/>
        <v>1750</v>
      </c>
      <c r="AG437" s="41">
        <v>70</v>
      </c>
      <c r="AH437" s="41" t="s">
        <v>376</v>
      </c>
      <c r="AI437" s="362">
        <f t="shared" si="218"/>
        <v>30</v>
      </c>
      <c r="AJ437" s="370">
        <f t="shared" si="219"/>
        <v>27</v>
      </c>
      <c r="AK437" s="232">
        <f t="shared" si="226"/>
        <v>0.39750000000000002</v>
      </c>
      <c r="AL437" s="433">
        <f t="shared" si="220"/>
        <v>0.159</v>
      </c>
      <c r="AM437" s="224">
        <f t="shared" si="221"/>
        <v>1.5600000000000002E-3</v>
      </c>
      <c r="AN437" s="368">
        <f t="shared" si="222"/>
        <v>5.5650000000000005E-2</v>
      </c>
      <c r="AO437" s="369">
        <f t="shared" si="223"/>
        <v>2.3077257367928001</v>
      </c>
      <c r="AQ437" s="388">
        <f t="shared" si="237"/>
        <v>2.3649357367928001</v>
      </c>
      <c r="AR437" s="389">
        <f t="shared" si="234"/>
        <v>2.2960541133910679</v>
      </c>
      <c r="AS437" s="389">
        <f t="shared" si="234"/>
        <v>2.2291787508651146</v>
      </c>
      <c r="AT437" s="389">
        <f t="shared" si="235"/>
        <v>2.16425121443215</v>
      </c>
      <c r="AU437" s="389">
        <f t="shared" si="235"/>
        <v>2.1012147712933498</v>
      </c>
      <c r="AV437" s="389">
        <f t="shared" si="235"/>
        <v>2.0400143410615046</v>
      </c>
      <c r="AW437" s="389">
        <f t="shared" si="235"/>
        <v>1.9805964476325288</v>
      </c>
      <c r="AX437" s="389">
        <f t="shared" si="235"/>
        <v>1.9229091724587657</v>
      </c>
      <c r="AY437" s="389">
        <f t="shared" si="235"/>
        <v>1.8669021091832678</v>
      </c>
      <c r="AZ437" s="389">
        <f t="shared" si="235"/>
        <v>1.8125263195954056</v>
      </c>
      <c r="BA437" s="389">
        <f t="shared" si="235"/>
        <v>1.7597342908693259</v>
      </c>
      <c r="BB437" s="389">
        <f t="shared" si="235"/>
        <v>1.7084798940478891</v>
      </c>
      <c r="BC437" s="389">
        <f t="shared" si="235"/>
        <v>1.6587183437358151</v>
      </c>
      <c r="BD437" s="389">
        <f t="shared" si="236"/>
        <v>1.6104061589668108</v>
      </c>
      <c r="BE437" s="389">
        <f t="shared" si="236"/>
        <v>1.5635011252104958</v>
      </c>
      <c r="BF437" s="389">
        <f t="shared" si="236"/>
        <v>1.517962257485918</v>
      </c>
      <c r="BG437" s="389">
        <f t="shared" si="236"/>
        <v>1.4737497645494353</v>
      </c>
      <c r="BH437" s="389">
        <f t="shared" si="236"/>
        <v>1.4308250141256653</v>
      </c>
      <c r="BI437" s="389">
        <f t="shared" si="236"/>
        <v>1.3891504991511314</v>
      </c>
      <c r="BJ437" s="389">
        <f t="shared" si="236"/>
        <v>1.3486898050010985</v>
      </c>
      <c r="BK437" s="390">
        <f t="shared" si="238"/>
        <v>36.239800129849542</v>
      </c>
    </row>
    <row r="438" spans="31:63" x14ac:dyDescent="0.3">
      <c r="AE438" s="367">
        <f t="shared" si="239"/>
        <v>1491000000</v>
      </c>
      <c r="AF438" s="158">
        <f t="shared" si="240"/>
        <v>1775</v>
      </c>
      <c r="AG438" s="41">
        <v>71</v>
      </c>
      <c r="AH438" s="41" t="s">
        <v>376</v>
      </c>
      <c r="AI438" s="362">
        <f t="shared" si="218"/>
        <v>30</v>
      </c>
      <c r="AJ438" s="370">
        <f t="shared" si="219"/>
        <v>27</v>
      </c>
      <c r="AK438" s="232">
        <f t="shared" si="226"/>
        <v>0.39750000000000002</v>
      </c>
      <c r="AL438" s="433">
        <f t="shared" si="220"/>
        <v>0.159</v>
      </c>
      <c r="AM438" s="224">
        <f t="shared" si="221"/>
        <v>1.5600000000000002E-3</v>
      </c>
      <c r="AN438" s="368">
        <f t="shared" si="222"/>
        <v>5.5650000000000005E-2</v>
      </c>
      <c r="AO438" s="369">
        <f t="shared" si="223"/>
        <v>2.3077257367928001</v>
      </c>
      <c r="AQ438" s="388">
        <f t="shared" si="237"/>
        <v>2.3649357367928001</v>
      </c>
      <c r="AR438" s="389">
        <f t="shared" si="234"/>
        <v>2.2960541133910679</v>
      </c>
      <c r="AS438" s="389">
        <f t="shared" si="234"/>
        <v>2.2291787508651146</v>
      </c>
      <c r="AT438" s="389">
        <f t="shared" ref="AT438:BC447" si="241">$AQ438/POWER(1+($B$10/100),AT$366-2024)</f>
        <v>2.16425121443215</v>
      </c>
      <c r="AU438" s="389">
        <f t="shared" si="241"/>
        <v>2.1012147712933498</v>
      </c>
      <c r="AV438" s="389">
        <f t="shared" si="241"/>
        <v>2.0400143410615046</v>
      </c>
      <c r="AW438" s="389">
        <f t="shared" si="241"/>
        <v>1.9805964476325288</v>
      </c>
      <c r="AX438" s="389">
        <f t="shared" si="241"/>
        <v>1.9229091724587657</v>
      </c>
      <c r="AY438" s="389">
        <f t="shared" si="241"/>
        <v>1.8669021091832678</v>
      </c>
      <c r="AZ438" s="389">
        <f t="shared" si="241"/>
        <v>1.8125263195954056</v>
      </c>
      <c r="BA438" s="389">
        <f t="shared" si="241"/>
        <v>1.7597342908693259</v>
      </c>
      <c r="BB438" s="389">
        <f t="shared" si="241"/>
        <v>1.7084798940478891</v>
      </c>
      <c r="BC438" s="389">
        <f t="shared" si="241"/>
        <v>1.6587183437358151</v>
      </c>
      <c r="BD438" s="389">
        <f t="shared" ref="BD438:BJ447" si="242">$AQ438/POWER(1+($B$10/100),BD$366-2024)</f>
        <v>1.6104061589668108</v>
      </c>
      <c r="BE438" s="389">
        <f t="shared" si="242"/>
        <v>1.5635011252104958</v>
      </c>
      <c r="BF438" s="389">
        <f t="shared" si="242"/>
        <v>1.517962257485918</v>
      </c>
      <c r="BG438" s="389">
        <f t="shared" si="242"/>
        <v>1.4737497645494353</v>
      </c>
      <c r="BH438" s="389">
        <f t="shared" si="242"/>
        <v>1.4308250141256653</v>
      </c>
      <c r="BI438" s="389">
        <f t="shared" si="242"/>
        <v>1.3891504991511314</v>
      </c>
      <c r="BJ438" s="389">
        <f t="shared" si="242"/>
        <v>1.3486898050010985</v>
      </c>
      <c r="BK438" s="390">
        <f t="shared" si="238"/>
        <v>36.239800129849542</v>
      </c>
    </row>
    <row r="439" spans="31:63" x14ac:dyDescent="0.3">
      <c r="AE439" s="367">
        <f t="shared" si="239"/>
        <v>1512000000</v>
      </c>
      <c r="AF439" s="158">
        <f t="shared" si="240"/>
        <v>1800</v>
      </c>
      <c r="AG439" s="41">
        <v>72</v>
      </c>
      <c r="AH439" s="41" t="s">
        <v>376</v>
      </c>
      <c r="AI439" s="362">
        <f t="shared" si="218"/>
        <v>30</v>
      </c>
      <c r="AJ439" s="370">
        <f t="shared" si="219"/>
        <v>27</v>
      </c>
      <c r="AK439" s="232">
        <f t="shared" si="226"/>
        <v>0.39750000000000002</v>
      </c>
      <c r="AL439" s="433">
        <f t="shared" si="220"/>
        <v>0.159</v>
      </c>
      <c r="AM439" s="224">
        <f t="shared" si="221"/>
        <v>1.5600000000000002E-3</v>
      </c>
      <c r="AN439" s="368">
        <f t="shared" si="222"/>
        <v>5.5650000000000005E-2</v>
      </c>
      <c r="AO439" s="369">
        <f t="shared" si="223"/>
        <v>2.3077257367928001</v>
      </c>
      <c r="AQ439" s="388">
        <f t="shared" si="237"/>
        <v>2.3649357367928001</v>
      </c>
      <c r="AR439" s="389">
        <f t="shared" si="234"/>
        <v>2.2960541133910679</v>
      </c>
      <c r="AS439" s="389">
        <f t="shared" si="234"/>
        <v>2.2291787508651146</v>
      </c>
      <c r="AT439" s="389">
        <f t="shared" si="241"/>
        <v>2.16425121443215</v>
      </c>
      <c r="AU439" s="389">
        <f t="shared" si="241"/>
        <v>2.1012147712933498</v>
      </c>
      <c r="AV439" s="389">
        <f t="shared" si="241"/>
        <v>2.0400143410615046</v>
      </c>
      <c r="AW439" s="389">
        <f t="shared" si="241"/>
        <v>1.9805964476325288</v>
      </c>
      <c r="AX439" s="389">
        <f t="shared" si="241"/>
        <v>1.9229091724587657</v>
      </c>
      <c r="AY439" s="389">
        <f t="shared" si="241"/>
        <v>1.8669021091832678</v>
      </c>
      <c r="AZ439" s="389">
        <f t="shared" si="241"/>
        <v>1.8125263195954056</v>
      </c>
      <c r="BA439" s="389">
        <f t="shared" si="241"/>
        <v>1.7597342908693259</v>
      </c>
      <c r="BB439" s="389">
        <f t="shared" si="241"/>
        <v>1.7084798940478891</v>
      </c>
      <c r="BC439" s="389">
        <f t="shared" si="241"/>
        <v>1.6587183437358151</v>
      </c>
      <c r="BD439" s="389">
        <f t="shared" si="242"/>
        <v>1.6104061589668108</v>
      </c>
      <c r="BE439" s="389">
        <f t="shared" si="242"/>
        <v>1.5635011252104958</v>
      </c>
      <c r="BF439" s="389">
        <f t="shared" si="242"/>
        <v>1.517962257485918</v>
      </c>
      <c r="BG439" s="389">
        <f t="shared" si="242"/>
        <v>1.4737497645494353</v>
      </c>
      <c r="BH439" s="389">
        <f t="shared" si="242"/>
        <v>1.4308250141256653</v>
      </c>
      <c r="BI439" s="389">
        <f t="shared" si="242"/>
        <v>1.3891504991511314</v>
      </c>
      <c r="BJ439" s="389">
        <f t="shared" si="242"/>
        <v>1.3486898050010985</v>
      </c>
      <c r="BK439" s="390">
        <f t="shared" si="238"/>
        <v>36.239800129849542</v>
      </c>
    </row>
    <row r="440" spans="31:63" x14ac:dyDescent="0.3">
      <c r="AE440" s="367">
        <f t="shared" si="239"/>
        <v>1533000000</v>
      </c>
      <c r="AF440" s="158">
        <f t="shared" si="240"/>
        <v>1825</v>
      </c>
      <c r="AG440" s="41">
        <v>73</v>
      </c>
      <c r="AH440" s="41" t="s">
        <v>376</v>
      </c>
      <c r="AI440" s="362">
        <f t="shared" si="218"/>
        <v>30</v>
      </c>
      <c r="AJ440" s="370">
        <f t="shared" si="219"/>
        <v>27</v>
      </c>
      <c r="AK440" s="232">
        <f t="shared" si="226"/>
        <v>0.39750000000000002</v>
      </c>
      <c r="AL440" s="433">
        <f t="shared" si="220"/>
        <v>0.159</v>
      </c>
      <c r="AM440" s="224">
        <f t="shared" si="221"/>
        <v>1.5600000000000002E-3</v>
      </c>
      <c r="AN440" s="368">
        <f t="shared" si="222"/>
        <v>5.5650000000000005E-2</v>
      </c>
      <c r="AO440" s="369">
        <f t="shared" si="223"/>
        <v>2.3077257367928001</v>
      </c>
      <c r="AQ440" s="388">
        <f t="shared" si="237"/>
        <v>2.3649357367928001</v>
      </c>
      <c r="AR440" s="389">
        <f t="shared" si="234"/>
        <v>2.2960541133910679</v>
      </c>
      <c r="AS440" s="389">
        <f t="shared" si="234"/>
        <v>2.2291787508651146</v>
      </c>
      <c r="AT440" s="389">
        <f t="shared" si="241"/>
        <v>2.16425121443215</v>
      </c>
      <c r="AU440" s="389">
        <f t="shared" si="241"/>
        <v>2.1012147712933498</v>
      </c>
      <c r="AV440" s="389">
        <f t="shared" si="241"/>
        <v>2.0400143410615046</v>
      </c>
      <c r="AW440" s="389">
        <f t="shared" si="241"/>
        <v>1.9805964476325288</v>
      </c>
      <c r="AX440" s="389">
        <f t="shared" si="241"/>
        <v>1.9229091724587657</v>
      </c>
      <c r="AY440" s="389">
        <f t="shared" si="241"/>
        <v>1.8669021091832678</v>
      </c>
      <c r="AZ440" s="389">
        <f t="shared" si="241"/>
        <v>1.8125263195954056</v>
      </c>
      <c r="BA440" s="389">
        <f t="shared" si="241"/>
        <v>1.7597342908693259</v>
      </c>
      <c r="BB440" s="389">
        <f t="shared" si="241"/>
        <v>1.7084798940478891</v>
      </c>
      <c r="BC440" s="389">
        <f t="shared" si="241"/>
        <v>1.6587183437358151</v>
      </c>
      <c r="BD440" s="389">
        <f t="shared" si="242"/>
        <v>1.6104061589668108</v>
      </c>
      <c r="BE440" s="389">
        <f t="shared" si="242"/>
        <v>1.5635011252104958</v>
      </c>
      <c r="BF440" s="389">
        <f t="shared" si="242"/>
        <v>1.517962257485918</v>
      </c>
      <c r="BG440" s="389">
        <f t="shared" si="242"/>
        <v>1.4737497645494353</v>
      </c>
      <c r="BH440" s="389">
        <f t="shared" si="242"/>
        <v>1.4308250141256653</v>
      </c>
      <c r="BI440" s="389">
        <f t="shared" si="242"/>
        <v>1.3891504991511314</v>
      </c>
      <c r="BJ440" s="389">
        <f t="shared" si="242"/>
        <v>1.3486898050010985</v>
      </c>
      <c r="BK440" s="390">
        <f t="shared" si="238"/>
        <v>36.239800129849542</v>
      </c>
    </row>
    <row r="441" spans="31:63" x14ac:dyDescent="0.3">
      <c r="AE441" s="367">
        <f t="shared" si="239"/>
        <v>1554000000</v>
      </c>
      <c r="AF441" s="158">
        <f t="shared" si="240"/>
        <v>1850</v>
      </c>
      <c r="AG441" s="41">
        <v>74</v>
      </c>
      <c r="AH441" s="41" t="s">
        <v>376</v>
      </c>
      <c r="AI441" s="362">
        <f t="shared" si="218"/>
        <v>30</v>
      </c>
      <c r="AJ441" s="370">
        <f t="shared" si="219"/>
        <v>27</v>
      </c>
      <c r="AK441" s="232">
        <f t="shared" si="226"/>
        <v>0.39750000000000002</v>
      </c>
      <c r="AL441" s="433">
        <f t="shared" si="220"/>
        <v>0.159</v>
      </c>
      <c r="AM441" s="224">
        <f t="shared" si="221"/>
        <v>1.5600000000000002E-3</v>
      </c>
      <c r="AN441" s="368">
        <f t="shared" si="222"/>
        <v>5.5650000000000005E-2</v>
      </c>
      <c r="AO441" s="369">
        <f t="shared" si="223"/>
        <v>2.3077257367928001</v>
      </c>
      <c r="AQ441" s="388">
        <f t="shared" si="237"/>
        <v>2.3649357367928001</v>
      </c>
      <c r="AR441" s="389">
        <f t="shared" si="234"/>
        <v>2.2960541133910679</v>
      </c>
      <c r="AS441" s="389">
        <f t="shared" si="234"/>
        <v>2.2291787508651146</v>
      </c>
      <c r="AT441" s="389">
        <f t="shared" si="241"/>
        <v>2.16425121443215</v>
      </c>
      <c r="AU441" s="389">
        <f t="shared" si="241"/>
        <v>2.1012147712933498</v>
      </c>
      <c r="AV441" s="389">
        <f t="shared" si="241"/>
        <v>2.0400143410615046</v>
      </c>
      <c r="AW441" s="389">
        <f t="shared" si="241"/>
        <v>1.9805964476325288</v>
      </c>
      <c r="AX441" s="389">
        <f t="shared" si="241"/>
        <v>1.9229091724587657</v>
      </c>
      <c r="AY441" s="389">
        <f t="shared" si="241"/>
        <v>1.8669021091832678</v>
      </c>
      <c r="AZ441" s="389">
        <f t="shared" si="241"/>
        <v>1.8125263195954056</v>
      </c>
      <c r="BA441" s="389">
        <f t="shared" si="241"/>
        <v>1.7597342908693259</v>
      </c>
      <c r="BB441" s="389">
        <f t="shared" si="241"/>
        <v>1.7084798940478891</v>
      </c>
      <c r="BC441" s="389">
        <f t="shared" si="241"/>
        <v>1.6587183437358151</v>
      </c>
      <c r="BD441" s="389">
        <f t="shared" si="242"/>
        <v>1.6104061589668108</v>
      </c>
      <c r="BE441" s="389">
        <f t="shared" si="242"/>
        <v>1.5635011252104958</v>
      </c>
      <c r="BF441" s="389">
        <f t="shared" si="242"/>
        <v>1.517962257485918</v>
      </c>
      <c r="BG441" s="389">
        <f t="shared" si="242"/>
        <v>1.4737497645494353</v>
      </c>
      <c r="BH441" s="389">
        <f t="shared" si="242"/>
        <v>1.4308250141256653</v>
      </c>
      <c r="BI441" s="389">
        <f t="shared" si="242"/>
        <v>1.3891504991511314</v>
      </c>
      <c r="BJ441" s="389">
        <f t="shared" si="242"/>
        <v>1.3486898050010985</v>
      </c>
      <c r="BK441" s="390">
        <f t="shared" si="238"/>
        <v>36.239800129849542</v>
      </c>
    </row>
    <row r="442" spans="31:63" x14ac:dyDescent="0.3">
      <c r="AE442" s="367">
        <f t="shared" si="239"/>
        <v>1575000000</v>
      </c>
      <c r="AF442" s="158">
        <f t="shared" si="240"/>
        <v>1875</v>
      </c>
      <c r="AG442" s="41">
        <v>75</v>
      </c>
      <c r="AH442" s="41" t="s">
        <v>376</v>
      </c>
      <c r="AI442" s="362">
        <f t="shared" si="218"/>
        <v>30</v>
      </c>
      <c r="AJ442" s="370">
        <f t="shared" si="219"/>
        <v>27</v>
      </c>
      <c r="AK442" s="232">
        <f t="shared" si="226"/>
        <v>0.39750000000000002</v>
      </c>
      <c r="AL442" s="433">
        <f t="shared" si="220"/>
        <v>0.159</v>
      </c>
      <c r="AM442" s="224">
        <f t="shared" si="221"/>
        <v>1.5600000000000002E-3</v>
      </c>
      <c r="AN442" s="368">
        <f t="shared" si="222"/>
        <v>5.5650000000000005E-2</v>
      </c>
      <c r="AO442" s="369">
        <f t="shared" si="223"/>
        <v>2.3077257367928001</v>
      </c>
      <c r="AQ442" s="388">
        <f t="shared" si="237"/>
        <v>2.3649357367928001</v>
      </c>
      <c r="AR442" s="389">
        <f t="shared" si="234"/>
        <v>2.2960541133910679</v>
      </c>
      <c r="AS442" s="389">
        <f t="shared" si="234"/>
        <v>2.2291787508651146</v>
      </c>
      <c r="AT442" s="389">
        <f t="shared" si="241"/>
        <v>2.16425121443215</v>
      </c>
      <c r="AU442" s="389">
        <f t="shared" si="241"/>
        <v>2.1012147712933498</v>
      </c>
      <c r="AV442" s="389">
        <f t="shared" si="241"/>
        <v>2.0400143410615046</v>
      </c>
      <c r="AW442" s="389">
        <f t="shared" si="241"/>
        <v>1.9805964476325288</v>
      </c>
      <c r="AX442" s="389">
        <f t="shared" si="241"/>
        <v>1.9229091724587657</v>
      </c>
      <c r="AY442" s="389">
        <f t="shared" si="241"/>
        <v>1.8669021091832678</v>
      </c>
      <c r="AZ442" s="389">
        <f t="shared" si="241"/>
        <v>1.8125263195954056</v>
      </c>
      <c r="BA442" s="389">
        <f t="shared" si="241"/>
        <v>1.7597342908693259</v>
      </c>
      <c r="BB442" s="389">
        <f t="shared" si="241"/>
        <v>1.7084798940478891</v>
      </c>
      <c r="BC442" s="389">
        <f t="shared" si="241"/>
        <v>1.6587183437358151</v>
      </c>
      <c r="BD442" s="389">
        <f t="shared" si="242"/>
        <v>1.6104061589668108</v>
      </c>
      <c r="BE442" s="389">
        <f t="shared" si="242"/>
        <v>1.5635011252104958</v>
      </c>
      <c r="BF442" s="389">
        <f t="shared" si="242"/>
        <v>1.517962257485918</v>
      </c>
      <c r="BG442" s="389">
        <f t="shared" si="242"/>
        <v>1.4737497645494353</v>
      </c>
      <c r="BH442" s="389">
        <f t="shared" si="242"/>
        <v>1.4308250141256653</v>
      </c>
      <c r="BI442" s="389">
        <f t="shared" si="242"/>
        <v>1.3891504991511314</v>
      </c>
      <c r="BJ442" s="389">
        <f t="shared" si="242"/>
        <v>1.3486898050010985</v>
      </c>
      <c r="BK442" s="390">
        <f t="shared" si="238"/>
        <v>36.239800129849542</v>
      </c>
    </row>
    <row r="443" spans="31:63" x14ac:dyDescent="0.3">
      <c r="AE443" s="367">
        <f t="shared" si="239"/>
        <v>1596000000</v>
      </c>
      <c r="AF443" s="158">
        <f t="shared" si="240"/>
        <v>1900</v>
      </c>
      <c r="AG443" s="41">
        <v>76</v>
      </c>
      <c r="AH443" s="41" t="s">
        <v>376</v>
      </c>
      <c r="AI443" s="362">
        <f t="shared" si="218"/>
        <v>30</v>
      </c>
      <c r="AJ443" s="370">
        <f t="shared" si="219"/>
        <v>27</v>
      </c>
      <c r="AK443" s="232">
        <f t="shared" si="226"/>
        <v>0.39750000000000002</v>
      </c>
      <c r="AL443" s="433">
        <f t="shared" si="220"/>
        <v>0.159</v>
      </c>
      <c r="AM443" s="224">
        <f t="shared" si="221"/>
        <v>1.5600000000000002E-3</v>
      </c>
      <c r="AN443" s="368">
        <f t="shared" si="222"/>
        <v>5.5650000000000005E-2</v>
      </c>
      <c r="AO443" s="369">
        <f t="shared" si="223"/>
        <v>2.3077257367928001</v>
      </c>
      <c r="AQ443" s="388">
        <f t="shared" si="237"/>
        <v>2.3649357367928001</v>
      </c>
      <c r="AR443" s="389">
        <f t="shared" si="234"/>
        <v>2.2960541133910679</v>
      </c>
      <c r="AS443" s="389">
        <f t="shared" si="234"/>
        <v>2.2291787508651146</v>
      </c>
      <c r="AT443" s="389">
        <f t="shared" si="241"/>
        <v>2.16425121443215</v>
      </c>
      <c r="AU443" s="389">
        <f t="shared" si="241"/>
        <v>2.1012147712933498</v>
      </c>
      <c r="AV443" s="389">
        <f t="shared" si="241"/>
        <v>2.0400143410615046</v>
      </c>
      <c r="AW443" s="389">
        <f t="shared" si="241"/>
        <v>1.9805964476325288</v>
      </c>
      <c r="AX443" s="389">
        <f t="shared" si="241"/>
        <v>1.9229091724587657</v>
      </c>
      <c r="AY443" s="389">
        <f t="shared" si="241"/>
        <v>1.8669021091832678</v>
      </c>
      <c r="AZ443" s="389">
        <f t="shared" si="241"/>
        <v>1.8125263195954056</v>
      </c>
      <c r="BA443" s="389">
        <f t="shared" si="241"/>
        <v>1.7597342908693259</v>
      </c>
      <c r="BB443" s="389">
        <f t="shared" si="241"/>
        <v>1.7084798940478891</v>
      </c>
      <c r="BC443" s="389">
        <f t="shared" si="241"/>
        <v>1.6587183437358151</v>
      </c>
      <c r="BD443" s="389">
        <f t="shared" si="242"/>
        <v>1.6104061589668108</v>
      </c>
      <c r="BE443" s="389">
        <f t="shared" si="242"/>
        <v>1.5635011252104958</v>
      </c>
      <c r="BF443" s="389">
        <f t="shared" si="242"/>
        <v>1.517962257485918</v>
      </c>
      <c r="BG443" s="389">
        <f t="shared" si="242"/>
        <v>1.4737497645494353</v>
      </c>
      <c r="BH443" s="389">
        <f t="shared" si="242"/>
        <v>1.4308250141256653</v>
      </c>
      <c r="BI443" s="389">
        <f t="shared" si="242"/>
        <v>1.3891504991511314</v>
      </c>
      <c r="BJ443" s="389">
        <f t="shared" si="242"/>
        <v>1.3486898050010985</v>
      </c>
      <c r="BK443" s="390">
        <f t="shared" si="238"/>
        <v>36.239800129849542</v>
      </c>
    </row>
    <row r="444" spans="31:63" x14ac:dyDescent="0.3">
      <c r="AE444" s="367">
        <f t="shared" si="239"/>
        <v>1617000000</v>
      </c>
      <c r="AF444" s="158">
        <f t="shared" si="240"/>
        <v>1925</v>
      </c>
      <c r="AG444" s="41">
        <v>77</v>
      </c>
      <c r="AH444" s="41" t="s">
        <v>376</v>
      </c>
      <c r="AI444" s="362">
        <f t="shared" si="218"/>
        <v>30</v>
      </c>
      <c r="AJ444" s="370">
        <f t="shared" si="219"/>
        <v>27</v>
      </c>
      <c r="AK444" s="232">
        <f t="shared" si="226"/>
        <v>0.39750000000000002</v>
      </c>
      <c r="AL444" s="433">
        <f t="shared" si="220"/>
        <v>0.159</v>
      </c>
      <c r="AM444" s="224">
        <f t="shared" si="221"/>
        <v>1.5600000000000002E-3</v>
      </c>
      <c r="AN444" s="368">
        <f t="shared" si="222"/>
        <v>5.5650000000000005E-2</v>
      </c>
      <c r="AO444" s="369">
        <f t="shared" si="223"/>
        <v>2.3077257367928001</v>
      </c>
      <c r="AQ444" s="388">
        <f t="shared" si="237"/>
        <v>2.3649357367928001</v>
      </c>
      <c r="AR444" s="389">
        <f t="shared" si="234"/>
        <v>2.2960541133910679</v>
      </c>
      <c r="AS444" s="389">
        <f t="shared" si="234"/>
        <v>2.2291787508651146</v>
      </c>
      <c r="AT444" s="389">
        <f t="shared" si="241"/>
        <v>2.16425121443215</v>
      </c>
      <c r="AU444" s="389">
        <f t="shared" si="241"/>
        <v>2.1012147712933498</v>
      </c>
      <c r="AV444" s="389">
        <f t="shared" si="241"/>
        <v>2.0400143410615046</v>
      </c>
      <c r="AW444" s="389">
        <f t="shared" si="241"/>
        <v>1.9805964476325288</v>
      </c>
      <c r="AX444" s="389">
        <f t="shared" si="241"/>
        <v>1.9229091724587657</v>
      </c>
      <c r="AY444" s="389">
        <f t="shared" si="241"/>
        <v>1.8669021091832678</v>
      </c>
      <c r="AZ444" s="389">
        <f t="shared" si="241"/>
        <v>1.8125263195954056</v>
      </c>
      <c r="BA444" s="389">
        <f t="shared" si="241"/>
        <v>1.7597342908693259</v>
      </c>
      <c r="BB444" s="389">
        <f t="shared" si="241"/>
        <v>1.7084798940478891</v>
      </c>
      <c r="BC444" s="389">
        <f t="shared" si="241"/>
        <v>1.6587183437358151</v>
      </c>
      <c r="BD444" s="389">
        <f t="shared" si="242"/>
        <v>1.6104061589668108</v>
      </c>
      <c r="BE444" s="389">
        <f t="shared" si="242"/>
        <v>1.5635011252104958</v>
      </c>
      <c r="BF444" s="389">
        <f t="shared" si="242"/>
        <v>1.517962257485918</v>
      </c>
      <c r="BG444" s="389">
        <f t="shared" si="242"/>
        <v>1.4737497645494353</v>
      </c>
      <c r="BH444" s="389">
        <f t="shared" si="242"/>
        <v>1.4308250141256653</v>
      </c>
      <c r="BI444" s="389">
        <f t="shared" si="242"/>
        <v>1.3891504991511314</v>
      </c>
      <c r="BJ444" s="389">
        <f t="shared" si="242"/>
        <v>1.3486898050010985</v>
      </c>
      <c r="BK444" s="390">
        <f t="shared" si="238"/>
        <v>36.239800129849542</v>
      </c>
    </row>
    <row r="445" spans="31:63" x14ac:dyDescent="0.3">
      <c r="AE445" s="367">
        <f t="shared" si="239"/>
        <v>1638000000</v>
      </c>
      <c r="AF445" s="158">
        <f t="shared" si="240"/>
        <v>1950</v>
      </c>
      <c r="AG445" s="41">
        <v>78</v>
      </c>
      <c r="AH445" s="41" t="s">
        <v>376</v>
      </c>
      <c r="AI445" s="362">
        <f t="shared" si="218"/>
        <v>30</v>
      </c>
      <c r="AJ445" s="370">
        <f t="shared" si="219"/>
        <v>27</v>
      </c>
      <c r="AK445" s="232">
        <f t="shared" si="226"/>
        <v>0.39750000000000002</v>
      </c>
      <c r="AL445" s="433">
        <f t="shared" si="220"/>
        <v>0.159</v>
      </c>
      <c r="AM445" s="224">
        <f t="shared" si="221"/>
        <v>1.5600000000000002E-3</v>
      </c>
      <c r="AN445" s="368">
        <f t="shared" si="222"/>
        <v>5.5650000000000005E-2</v>
      </c>
      <c r="AO445" s="369">
        <f t="shared" si="223"/>
        <v>2.3077257367928001</v>
      </c>
      <c r="AQ445" s="388">
        <f t="shared" si="237"/>
        <v>2.3649357367928001</v>
      </c>
      <c r="AR445" s="389">
        <f t="shared" si="234"/>
        <v>2.2960541133910679</v>
      </c>
      <c r="AS445" s="389">
        <f t="shared" si="234"/>
        <v>2.2291787508651146</v>
      </c>
      <c r="AT445" s="389">
        <f t="shared" si="241"/>
        <v>2.16425121443215</v>
      </c>
      <c r="AU445" s="389">
        <f t="shared" si="241"/>
        <v>2.1012147712933498</v>
      </c>
      <c r="AV445" s="389">
        <f t="shared" si="241"/>
        <v>2.0400143410615046</v>
      </c>
      <c r="AW445" s="389">
        <f t="shared" si="241"/>
        <v>1.9805964476325288</v>
      </c>
      <c r="AX445" s="389">
        <f t="shared" si="241"/>
        <v>1.9229091724587657</v>
      </c>
      <c r="AY445" s="389">
        <f t="shared" si="241"/>
        <v>1.8669021091832678</v>
      </c>
      <c r="AZ445" s="389">
        <f t="shared" si="241"/>
        <v>1.8125263195954056</v>
      </c>
      <c r="BA445" s="389">
        <f t="shared" si="241"/>
        <v>1.7597342908693259</v>
      </c>
      <c r="BB445" s="389">
        <f t="shared" si="241"/>
        <v>1.7084798940478891</v>
      </c>
      <c r="BC445" s="389">
        <f t="shared" si="241"/>
        <v>1.6587183437358151</v>
      </c>
      <c r="BD445" s="389">
        <f t="shared" si="242"/>
        <v>1.6104061589668108</v>
      </c>
      <c r="BE445" s="389">
        <f t="shared" si="242"/>
        <v>1.5635011252104958</v>
      </c>
      <c r="BF445" s="389">
        <f t="shared" si="242"/>
        <v>1.517962257485918</v>
      </c>
      <c r="BG445" s="389">
        <f t="shared" si="242"/>
        <v>1.4737497645494353</v>
      </c>
      <c r="BH445" s="389">
        <f t="shared" si="242"/>
        <v>1.4308250141256653</v>
      </c>
      <c r="BI445" s="389">
        <f t="shared" si="242"/>
        <v>1.3891504991511314</v>
      </c>
      <c r="BJ445" s="389">
        <f t="shared" si="242"/>
        <v>1.3486898050010985</v>
      </c>
      <c r="BK445" s="390">
        <f t="shared" si="238"/>
        <v>36.239800129849542</v>
      </c>
    </row>
    <row r="446" spans="31:63" x14ac:dyDescent="0.3">
      <c r="AE446" s="367">
        <f t="shared" si="239"/>
        <v>1659000000</v>
      </c>
      <c r="AF446" s="158">
        <f t="shared" si="240"/>
        <v>1975</v>
      </c>
      <c r="AG446" s="41">
        <v>79</v>
      </c>
      <c r="AH446" s="41" t="s">
        <v>376</v>
      </c>
      <c r="AI446" s="362">
        <f t="shared" si="218"/>
        <v>30</v>
      </c>
      <c r="AJ446" s="370">
        <f t="shared" si="219"/>
        <v>27</v>
      </c>
      <c r="AK446" s="232">
        <f t="shared" si="226"/>
        <v>0.39750000000000002</v>
      </c>
      <c r="AL446" s="433">
        <f t="shared" si="220"/>
        <v>0.159</v>
      </c>
      <c r="AM446" s="224">
        <f t="shared" si="221"/>
        <v>1.5600000000000002E-3</v>
      </c>
      <c r="AN446" s="368">
        <f t="shared" si="222"/>
        <v>5.5650000000000005E-2</v>
      </c>
      <c r="AO446" s="369">
        <f t="shared" si="223"/>
        <v>2.3077257367928001</v>
      </c>
      <c r="AQ446" s="388">
        <f t="shared" si="237"/>
        <v>2.3649357367928001</v>
      </c>
      <c r="AR446" s="389">
        <f t="shared" si="234"/>
        <v>2.2960541133910679</v>
      </c>
      <c r="AS446" s="389">
        <f t="shared" si="234"/>
        <v>2.2291787508651146</v>
      </c>
      <c r="AT446" s="389">
        <f t="shared" si="241"/>
        <v>2.16425121443215</v>
      </c>
      <c r="AU446" s="389">
        <f t="shared" si="241"/>
        <v>2.1012147712933498</v>
      </c>
      <c r="AV446" s="389">
        <f t="shared" si="241"/>
        <v>2.0400143410615046</v>
      </c>
      <c r="AW446" s="389">
        <f t="shared" si="241"/>
        <v>1.9805964476325288</v>
      </c>
      <c r="AX446" s="389">
        <f t="shared" si="241"/>
        <v>1.9229091724587657</v>
      </c>
      <c r="AY446" s="389">
        <f t="shared" si="241"/>
        <v>1.8669021091832678</v>
      </c>
      <c r="AZ446" s="389">
        <f t="shared" si="241"/>
        <v>1.8125263195954056</v>
      </c>
      <c r="BA446" s="389">
        <f t="shared" si="241"/>
        <v>1.7597342908693259</v>
      </c>
      <c r="BB446" s="389">
        <f t="shared" si="241"/>
        <v>1.7084798940478891</v>
      </c>
      <c r="BC446" s="389">
        <f t="shared" si="241"/>
        <v>1.6587183437358151</v>
      </c>
      <c r="BD446" s="389">
        <f t="shared" si="242"/>
        <v>1.6104061589668108</v>
      </c>
      <c r="BE446" s="389">
        <f t="shared" si="242"/>
        <v>1.5635011252104958</v>
      </c>
      <c r="BF446" s="389">
        <f t="shared" si="242"/>
        <v>1.517962257485918</v>
      </c>
      <c r="BG446" s="389">
        <f t="shared" si="242"/>
        <v>1.4737497645494353</v>
      </c>
      <c r="BH446" s="389">
        <f t="shared" si="242"/>
        <v>1.4308250141256653</v>
      </c>
      <c r="BI446" s="389">
        <f t="shared" si="242"/>
        <v>1.3891504991511314</v>
      </c>
      <c r="BJ446" s="389">
        <f t="shared" si="242"/>
        <v>1.3486898050010985</v>
      </c>
      <c r="BK446" s="390">
        <f t="shared" si="238"/>
        <v>36.239800129849542</v>
      </c>
    </row>
    <row r="447" spans="31:63" x14ac:dyDescent="0.3">
      <c r="AE447" s="367">
        <f t="shared" si="239"/>
        <v>1680000000</v>
      </c>
      <c r="AF447" s="158">
        <f t="shared" si="240"/>
        <v>2000</v>
      </c>
      <c r="AG447" s="41">
        <v>80</v>
      </c>
      <c r="AH447" s="41" t="s">
        <v>376</v>
      </c>
      <c r="AI447" s="362">
        <f t="shared" si="218"/>
        <v>30</v>
      </c>
      <c r="AJ447" s="370">
        <f t="shared" si="219"/>
        <v>27</v>
      </c>
      <c r="AK447" s="232">
        <f t="shared" si="226"/>
        <v>0.39750000000000002</v>
      </c>
      <c r="AL447" s="433">
        <f t="shared" si="220"/>
        <v>0.159</v>
      </c>
      <c r="AM447" s="224">
        <f t="shared" si="221"/>
        <v>1.5600000000000002E-3</v>
      </c>
      <c r="AN447" s="368">
        <f t="shared" si="222"/>
        <v>5.5650000000000005E-2</v>
      </c>
      <c r="AO447" s="369">
        <f t="shared" si="223"/>
        <v>2.3077257367928001</v>
      </c>
      <c r="AQ447" s="388">
        <f t="shared" si="237"/>
        <v>2.3649357367928001</v>
      </c>
      <c r="AR447" s="389">
        <f t="shared" ref="AR447:AS466" si="243">$AQ447/POWER(1+($B$10/100),AR$366-2024)</f>
        <v>2.2960541133910679</v>
      </c>
      <c r="AS447" s="389">
        <f t="shared" si="243"/>
        <v>2.2291787508651146</v>
      </c>
      <c r="AT447" s="389">
        <f t="shared" si="241"/>
        <v>2.16425121443215</v>
      </c>
      <c r="AU447" s="389">
        <f t="shared" si="241"/>
        <v>2.1012147712933498</v>
      </c>
      <c r="AV447" s="389">
        <f t="shared" si="241"/>
        <v>2.0400143410615046</v>
      </c>
      <c r="AW447" s="389">
        <f t="shared" si="241"/>
        <v>1.9805964476325288</v>
      </c>
      <c r="AX447" s="389">
        <f t="shared" si="241"/>
        <v>1.9229091724587657</v>
      </c>
      <c r="AY447" s="389">
        <f t="shared" si="241"/>
        <v>1.8669021091832678</v>
      </c>
      <c r="AZ447" s="389">
        <f t="shared" si="241"/>
        <v>1.8125263195954056</v>
      </c>
      <c r="BA447" s="389">
        <f t="shared" si="241"/>
        <v>1.7597342908693259</v>
      </c>
      <c r="BB447" s="389">
        <f t="shared" si="241"/>
        <v>1.7084798940478891</v>
      </c>
      <c r="BC447" s="389">
        <f t="shared" si="241"/>
        <v>1.6587183437358151</v>
      </c>
      <c r="BD447" s="389">
        <f t="shared" si="242"/>
        <v>1.6104061589668108</v>
      </c>
      <c r="BE447" s="389">
        <f t="shared" si="242"/>
        <v>1.5635011252104958</v>
      </c>
      <c r="BF447" s="389">
        <f t="shared" si="242"/>
        <v>1.517962257485918</v>
      </c>
      <c r="BG447" s="389">
        <f t="shared" si="242"/>
        <v>1.4737497645494353</v>
      </c>
      <c r="BH447" s="389">
        <f t="shared" si="242"/>
        <v>1.4308250141256653</v>
      </c>
      <c r="BI447" s="389">
        <f t="shared" si="242"/>
        <v>1.3891504991511314</v>
      </c>
      <c r="BJ447" s="389">
        <f t="shared" si="242"/>
        <v>1.3486898050010985</v>
      </c>
      <c r="BK447" s="390">
        <f t="shared" si="238"/>
        <v>36.239800129849542</v>
      </c>
    </row>
    <row r="448" spans="31:63" x14ac:dyDescent="0.3">
      <c r="AE448" s="367">
        <f t="shared" si="239"/>
        <v>1701000000</v>
      </c>
      <c r="AF448" s="158">
        <f t="shared" si="240"/>
        <v>2025</v>
      </c>
      <c r="AG448" s="41">
        <v>81</v>
      </c>
      <c r="AH448" s="41" t="s">
        <v>376</v>
      </c>
      <c r="AI448" s="362">
        <f t="shared" si="218"/>
        <v>30</v>
      </c>
      <c r="AJ448" s="370">
        <f t="shared" si="219"/>
        <v>27</v>
      </c>
      <c r="AK448" s="232">
        <f t="shared" si="226"/>
        <v>0.39750000000000002</v>
      </c>
      <c r="AL448" s="433">
        <f t="shared" si="220"/>
        <v>0.159</v>
      </c>
      <c r="AM448" s="224">
        <f t="shared" si="221"/>
        <v>1.5600000000000002E-3</v>
      </c>
      <c r="AN448" s="368">
        <f t="shared" si="222"/>
        <v>5.5650000000000005E-2</v>
      </c>
      <c r="AO448" s="369">
        <f t="shared" si="223"/>
        <v>2.3077257367928001</v>
      </c>
      <c r="AQ448" s="388">
        <f t="shared" si="237"/>
        <v>2.3649357367928001</v>
      </c>
      <c r="AR448" s="389">
        <f t="shared" si="243"/>
        <v>2.2960541133910679</v>
      </c>
      <c r="AS448" s="389">
        <f t="shared" si="243"/>
        <v>2.2291787508651146</v>
      </c>
      <c r="AT448" s="389">
        <f t="shared" ref="AT448:BC457" si="244">$AQ448/POWER(1+($B$10/100),AT$366-2024)</f>
        <v>2.16425121443215</v>
      </c>
      <c r="AU448" s="389">
        <f t="shared" si="244"/>
        <v>2.1012147712933498</v>
      </c>
      <c r="AV448" s="389">
        <f t="shared" si="244"/>
        <v>2.0400143410615046</v>
      </c>
      <c r="AW448" s="389">
        <f t="shared" si="244"/>
        <v>1.9805964476325288</v>
      </c>
      <c r="AX448" s="389">
        <f t="shared" si="244"/>
        <v>1.9229091724587657</v>
      </c>
      <c r="AY448" s="389">
        <f t="shared" si="244"/>
        <v>1.8669021091832678</v>
      </c>
      <c r="AZ448" s="389">
        <f t="shared" si="244"/>
        <v>1.8125263195954056</v>
      </c>
      <c r="BA448" s="389">
        <f t="shared" si="244"/>
        <v>1.7597342908693259</v>
      </c>
      <c r="BB448" s="389">
        <f t="shared" si="244"/>
        <v>1.7084798940478891</v>
      </c>
      <c r="BC448" s="389">
        <f t="shared" si="244"/>
        <v>1.6587183437358151</v>
      </c>
      <c r="BD448" s="389">
        <f t="shared" ref="BD448:BJ457" si="245">$AQ448/POWER(1+($B$10/100),BD$366-2024)</f>
        <v>1.6104061589668108</v>
      </c>
      <c r="BE448" s="389">
        <f t="shared" si="245"/>
        <v>1.5635011252104958</v>
      </c>
      <c r="BF448" s="389">
        <f t="shared" si="245"/>
        <v>1.517962257485918</v>
      </c>
      <c r="BG448" s="389">
        <f t="shared" si="245"/>
        <v>1.4737497645494353</v>
      </c>
      <c r="BH448" s="389">
        <f t="shared" si="245"/>
        <v>1.4308250141256653</v>
      </c>
      <c r="BI448" s="389">
        <f t="shared" si="245"/>
        <v>1.3891504991511314</v>
      </c>
      <c r="BJ448" s="389">
        <f t="shared" si="245"/>
        <v>1.3486898050010985</v>
      </c>
      <c r="BK448" s="390">
        <f t="shared" si="238"/>
        <v>36.239800129849542</v>
      </c>
    </row>
    <row r="449" spans="31:63" x14ac:dyDescent="0.3">
      <c r="AE449" s="367">
        <f t="shared" si="239"/>
        <v>1722000000</v>
      </c>
      <c r="AF449" s="158">
        <f t="shared" si="240"/>
        <v>2050</v>
      </c>
      <c r="AG449" s="41">
        <v>82</v>
      </c>
      <c r="AH449" s="41" t="s">
        <v>376</v>
      </c>
      <c r="AI449" s="362">
        <f t="shared" si="218"/>
        <v>30</v>
      </c>
      <c r="AJ449" s="370">
        <f t="shared" si="219"/>
        <v>27</v>
      </c>
      <c r="AK449" s="232">
        <f t="shared" si="226"/>
        <v>0.39750000000000002</v>
      </c>
      <c r="AL449" s="433">
        <f t="shared" si="220"/>
        <v>0.159</v>
      </c>
      <c r="AM449" s="224">
        <f t="shared" si="221"/>
        <v>1.5600000000000002E-3</v>
      </c>
      <c r="AN449" s="368">
        <f t="shared" si="222"/>
        <v>5.5650000000000005E-2</v>
      </c>
      <c r="AO449" s="369">
        <f t="shared" si="223"/>
        <v>2.3077257367928001</v>
      </c>
      <c r="AQ449" s="388">
        <f t="shared" si="237"/>
        <v>2.3649357367928001</v>
      </c>
      <c r="AR449" s="389">
        <f t="shared" si="243"/>
        <v>2.2960541133910679</v>
      </c>
      <c r="AS449" s="389">
        <f t="shared" si="243"/>
        <v>2.2291787508651146</v>
      </c>
      <c r="AT449" s="389">
        <f t="shared" si="244"/>
        <v>2.16425121443215</v>
      </c>
      <c r="AU449" s="389">
        <f t="shared" si="244"/>
        <v>2.1012147712933498</v>
      </c>
      <c r="AV449" s="389">
        <f t="shared" si="244"/>
        <v>2.0400143410615046</v>
      </c>
      <c r="AW449" s="389">
        <f t="shared" si="244"/>
        <v>1.9805964476325288</v>
      </c>
      <c r="AX449" s="389">
        <f t="shared" si="244"/>
        <v>1.9229091724587657</v>
      </c>
      <c r="AY449" s="389">
        <f t="shared" si="244"/>
        <v>1.8669021091832678</v>
      </c>
      <c r="AZ449" s="389">
        <f t="shared" si="244"/>
        <v>1.8125263195954056</v>
      </c>
      <c r="BA449" s="389">
        <f t="shared" si="244"/>
        <v>1.7597342908693259</v>
      </c>
      <c r="BB449" s="389">
        <f t="shared" si="244"/>
        <v>1.7084798940478891</v>
      </c>
      <c r="BC449" s="389">
        <f t="shared" si="244"/>
        <v>1.6587183437358151</v>
      </c>
      <c r="BD449" s="389">
        <f t="shared" si="245"/>
        <v>1.6104061589668108</v>
      </c>
      <c r="BE449" s="389">
        <f t="shared" si="245"/>
        <v>1.5635011252104958</v>
      </c>
      <c r="BF449" s="389">
        <f t="shared" si="245"/>
        <v>1.517962257485918</v>
      </c>
      <c r="BG449" s="389">
        <f t="shared" si="245"/>
        <v>1.4737497645494353</v>
      </c>
      <c r="BH449" s="389">
        <f t="shared" si="245"/>
        <v>1.4308250141256653</v>
      </c>
      <c r="BI449" s="389">
        <f t="shared" si="245"/>
        <v>1.3891504991511314</v>
      </c>
      <c r="BJ449" s="389">
        <f t="shared" si="245"/>
        <v>1.3486898050010985</v>
      </c>
      <c r="BK449" s="390">
        <f t="shared" si="238"/>
        <v>36.239800129849542</v>
      </c>
    </row>
    <row r="450" spans="31:63" x14ac:dyDescent="0.3">
      <c r="AE450" s="367">
        <f t="shared" si="239"/>
        <v>1743000000</v>
      </c>
      <c r="AF450" s="158">
        <f t="shared" si="240"/>
        <v>2075</v>
      </c>
      <c r="AG450" s="41">
        <v>83</v>
      </c>
      <c r="AH450" s="41" t="s">
        <v>376</v>
      </c>
      <c r="AI450" s="362">
        <f t="shared" si="218"/>
        <v>30</v>
      </c>
      <c r="AJ450" s="370">
        <f t="shared" si="219"/>
        <v>27</v>
      </c>
      <c r="AK450" s="232">
        <f t="shared" si="226"/>
        <v>0.39750000000000002</v>
      </c>
      <c r="AL450" s="433">
        <f t="shared" si="220"/>
        <v>0.159</v>
      </c>
      <c r="AM450" s="224">
        <f t="shared" si="221"/>
        <v>1.5600000000000002E-3</v>
      </c>
      <c r="AN450" s="368">
        <f t="shared" si="222"/>
        <v>5.5650000000000005E-2</v>
      </c>
      <c r="AO450" s="369">
        <f t="shared" si="223"/>
        <v>2.3077257367928001</v>
      </c>
      <c r="AQ450" s="388">
        <f t="shared" si="237"/>
        <v>2.3649357367928001</v>
      </c>
      <c r="AR450" s="389">
        <f t="shared" si="243"/>
        <v>2.2960541133910679</v>
      </c>
      <c r="AS450" s="389">
        <f t="shared" si="243"/>
        <v>2.2291787508651146</v>
      </c>
      <c r="AT450" s="389">
        <f t="shared" si="244"/>
        <v>2.16425121443215</v>
      </c>
      <c r="AU450" s="389">
        <f t="shared" si="244"/>
        <v>2.1012147712933498</v>
      </c>
      <c r="AV450" s="389">
        <f t="shared" si="244"/>
        <v>2.0400143410615046</v>
      </c>
      <c r="AW450" s="389">
        <f t="shared" si="244"/>
        <v>1.9805964476325288</v>
      </c>
      <c r="AX450" s="389">
        <f t="shared" si="244"/>
        <v>1.9229091724587657</v>
      </c>
      <c r="AY450" s="389">
        <f t="shared" si="244"/>
        <v>1.8669021091832678</v>
      </c>
      <c r="AZ450" s="389">
        <f t="shared" si="244"/>
        <v>1.8125263195954056</v>
      </c>
      <c r="BA450" s="389">
        <f t="shared" si="244"/>
        <v>1.7597342908693259</v>
      </c>
      <c r="BB450" s="389">
        <f t="shared" si="244"/>
        <v>1.7084798940478891</v>
      </c>
      <c r="BC450" s="389">
        <f t="shared" si="244"/>
        <v>1.6587183437358151</v>
      </c>
      <c r="BD450" s="389">
        <f t="shared" si="245"/>
        <v>1.6104061589668108</v>
      </c>
      <c r="BE450" s="389">
        <f t="shared" si="245"/>
        <v>1.5635011252104958</v>
      </c>
      <c r="BF450" s="389">
        <f t="shared" si="245"/>
        <v>1.517962257485918</v>
      </c>
      <c r="BG450" s="389">
        <f t="shared" si="245"/>
        <v>1.4737497645494353</v>
      </c>
      <c r="BH450" s="389">
        <f t="shared" si="245"/>
        <v>1.4308250141256653</v>
      </c>
      <c r="BI450" s="389">
        <f t="shared" si="245"/>
        <v>1.3891504991511314</v>
      </c>
      <c r="BJ450" s="389">
        <f t="shared" si="245"/>
        <v>1.3486898050010985</v>
      </c>
      <c r="BK450" s="390">
        <f t="shared" si="238"/>
        <v>36.239800129849542</v>
      </c>
    </row>
    <row r="451" spans="31:63" x14ac:dyDescent="0.3">
      <c r="AE451" s="367">
        <f t="shared" si="239"/>
        <v>1764000000</v>
      </c>
      <c r="AF451" s="158">
        <f t="shared" si="240"/>
        <v>2100</v>
      </c>
      <c r="AG451" s="41">
        <v>84</v>
      </c>
      <c r="AH451" s="41" t="s">
        <v>376</v>
      </c>
      <c r="AI451" s="362">
        <f t="shared" si="218"/>
        <v>30</v>
      </c>
      <c r="AJ451" s="370">
        <f t="shared" si="219"/>
        <v>27</v>
      </c>
      <c r="AK451" s="232">
        <f t="shared" si="226"/>
        <v>0.39750000000000002</v>
      </c>
      <c r="AL451" s="433">
        <f t="shared" si="220"/>
        <v>0.159</v>
      </c>
      <c r="AM451" s="224">
        <f t="shared" si="221"/>
        <v>1.5600000000000002E-3</v>
      </c>
      <c r="AN451" s="368">
        <f t="shared" si="222"/>
        <v>5.5650000000000005E-2</v>
      </c>
      <c r="AO451" s="369">
        <f t="shared" si="223"/>
        <v>2.3077257367928001</v>
      </c>
      <c r="AQ451" s="388">
        <f t="shared" si="237"/>
        <v>2.3649357367928001</v>
      </c>
      <c r="AR451" s="389">
        <f t="shared" si="243"/>
        <v>2.2960541133910679</v>
      </c>
      <c r="AS451" s="389">
        <f t="shared" si="243"/>
        <v>2.2291787508651146</v>
      </c>
      <c r="AT451" s="389">
        <f t="shared" si="244"/>
        <v>2.16425121443215</v>
      </c>
      <c r="AU451" s="389">
        <f t="shared" si="244"/>
        <v>2.1012147712933498</v>
      </c>
      <c r="AV451" s="389">
        <f t="shared" si="244"/>
        <v>2.0400143410615046</v>
      </c>
      <c r="AW451" s="389">
        <f t="shared" si="244"/>
        <v>1.9805964476325288</v>
      </c>
      <c r="AX451" s="389">
        <f t="shared" si="244"/>
        <v>1.9229091724587657</v>
      </c>
      <c r="AY451" s="389">
        <f t="shared" si="244"/>
        <v>1.8669021091832678</v>
      </c>
      <c r="AZ451" s="389">
        <f t="shared" si="244"/>
        <v>1.8125263195954056</v>
      </c>
      <c r="BA451" s="389">
        <f t="shared" si="244"/>
        <v>1.7597342908693259</v>
      </c>
      <c r="BB451" s="389">
        <f t="shared" si="244"/>
        <v>1.7084798940478891</v>
      </c>
      <c r="BC451" s="389">
        <f t="shared" si="244"/>
        <v>1.6587183437358151</v>
      </c>
      <c r="BD451" s="389">
        <f t="shared" si="245"/>
        <v>1.6104061589668108</v>
      </c>
      <c r="BE451" s="389">
        <f t="shared" si="245"/>
        <v>1.5635011252104958</v>
      </c>
      <c r="BF451" s="389">
        <f t="shared" si="245"/>
        <v>1.517962257485918</v>
      </c>
      <c r="BG451" s="389">
        <f t="shared" si="245"/>
        <v>1.4737497645494353</v>
      </c>
      <c r="BH451" s="389">
        <f t="shared" si="245"/>
        <v>1.4308250141256653</v>
      </c>
      <c r="BI451" s="389">
        <f t="shared" si="245"/>
        <v>1.3891504991511314</v>
      </c>
      <c r="BJ451" s="389">
        <f t="shared" si="245"/>
        <v>1.3486898050010985</v>
      </c>
      <c r="BK451" s="390">
        <f t="shared" si="238"/>
        <v>36.239800129849542</v>
      </c>
    </row>
    <row r="452" spans="31:63" x14ac:dyDescent="0.3">
      <c r="AE452" s="367">
        <f t="shared" si="239"/>
        <v>1785000000</v>
      </c>
      <c r="AF452" s="158">
        <f t="shared" si="240"/>
        <v>2125</v>
      </c>
      <c r="AG452" s="41">
        <v>85</v>
      </c>
      <c r="AH452" s="41" t="s">
        <v>376</v>
      </c>
      <c r="AI452" s="362">
        <f t="shared" ref="AI452:AI515" si="246">AI270*$B$3</f>
        <v>30</v>
      </c>
      <c r="AJ452" s="370">
        <f t="shared" ref="AJ452:AJ515" si="247">AJ270*$B$4</f>
        <v>27</v>
      </c>
      <c r="AK452" s="232">
        <f t="shared" ref="AK452:AK515" si="248">AK270*$B$5</f>
        <v>0.39750000000000002</v>
      </c>
      <c r="AL452" s="433">
        <f t="shared" ref="AL452:AL515" si="249">AL270*$B$6</f>
        <v>0.159</v>
      </c>
      <c r="AM452" s="224">
        <f t="shared" ref="AM452:AM515" si="250">AM270*$B$7</f>
        <v>1.5600000000000002E-3</v>
      </c>
      <c r="AN452" s="368">
        <f t="shared" ref="AN452:AN515" si="251">(AK452+AL452)*(AN270/100)</f>
        <v>5.5650000000000005E-2</v>
      </c>
      <c r="AO452" s="369">
        <f t="shared" ref="AO452:AO515" si="252">AO270*$B$9</f>
        <v>2.3077257367928001</v>
      </c>
      <c r="AQ452" s="388">
        <f t="shared" si="237"/>
        <v>2.3649357367928001</v>
      </c>
      <c r="AR452" s="389">
        <f t="shared" si="243"/>
        <v>2.2960541133910679</v>
      </c>
      <c r="AS452" s="389">
        <f t="shared" si="243"/>
        <v>2.2291787508651146</v>
      </c>
      <c r="AT452" s="389">
        <f t="shared" si="244"/>
        <v>2.16425121443215</v>
      </c>
      <c r="AU452" s="389">
        <f t="shared" si="244"/>
        <v>2.1012147712933498</v>
      </c>
      <c r="AV452" s="389">
        <f t="shared" si="244"/>
        <v>2.0400143410615046</v>
      </c>
      <c r="AW452" s="389">
        <f t="shared" si="244"/>
        <v>1.9805964476325288</v>
      </c>
      <c r="AX452" s="389">
        <f t="shared" si="244"/>
        <v>1.9229091724587657</v>
      </c>
      <c r="AY452" s="389">
        <f t="shared" si="244"/>
        <v>1.8669021091832678</v>
      </c>
      <c r="AZ452" s="389">
        <f t="shared" si="244"/>
        <v>1.8125263195954056</v>
      </c>
      <c r="BA452" s="389">
        <f t="shared" si="244"/>
        <v>1.7597342908693259</v>
      </c>
      <c r="BB452" s="389">
        <f t="shared" si="244"/>
        <v>1.7084798940478891</v>
      </c>
      <c r="BC452" s="389">
        <f t="shared" si="244"/>
        <v>1.6587183437358151</v>
      </c>
      <c r="BD452" s="389">
        <f t="shared" si="245"/>
        <v>1.6104061589668108</v>
      </c>
      <c r="BE452" s="389">
        <f t="shared" si="245"/>
        <v>1.5635011252104958</v>
      </c>
      <c r="BF452" s="389">
        <f t="shared" si="245"/>
        <v>1.517962257485918</v>
      </c>
      <c r="BG452" s="389">
        <f t="shared" si="245"/>
        <v>1.4737497645494353</v>
      </c>
      <c r="BH452" s="389">
        <f t="shared" si="245"/>
        <v>1.4308250141256653</v>
      </c>
      <c r="BI452" s="389">
        <f t="shared" si="245"/>
        <v>1.3891504991511314</v>
      </c>
      <c r="BJ452" s="389">
        <f t="shared" si="245"/>
        <v>1.3486898050010985</v>
      </c>
      <c r="BK452" s="390">
        <f t="shared" si="238"/>
        <v>36.239800129849542</v>
      </c>
    </row>
    <row r="453" spans="31:63" x14ac:dyDescent="0.3">
      <c r="AE453" s="367">
        <f t="shared" si="239"/>
        <v>1806000000</v>
      </c>
      <c r="AF453" s="158">
        <f t="shared" si="240"/>
        <v>2150</v>
      </c>
      <c r="AG453" s="41">
        <v>86</v>
      </c>
      <c r="AH453" s="41" t="s">
        <v>376</v>
      </c>
      <c r="AI453" s="362">
        <f t="shared" si="246"/>
        <v>30</v>
      </c>
      <c r="AJ453" s="370">
        <f t="shared" si="247"/>
        <v>27</v>
      </c>
      <c r="AK453" s="232">
        <f t="shared" si="248"/>
        <v>0.39750000000000002</v>
      </c>
      <c r="AL453" s="433">
        <f t="shared" si="249"/>
        <v>0.159</v>
      </c>
      <c r="AM453" s="224">
        <f t="shared" si="250"/>
        <v>1.5600000000000002E-3</v>
      </c>
      <c r="AN453" s="368">
        <f t="shared" si="251"/>
        <v>5.5650000000000005E-2</v>
      </c>
      <c r="AO453" s="369">
        <f t="shared" si="252"/>
        <v>2.3077257367928001</v>
      </c>
      <c r="AQ453" s="388">
        <f t="shared" si="237"/>
        <v>2.3649357367928001</v>
      </c>
      <c r="AR453" s="389">
        <f t="shared" si="243"/>
        <v>2.2960541133910679</v>
      </c>
      <c r="AS453" s="389">
        <f t="shared" si="243"/>
        <v>2.2291787508651146</v>
      </c>
      <c r="AT453" s="389">
        <f t="shared" si="244"/>
        <v>2.16425121443215</v>
      </c>
      <c r="AU453" s="389">
        <f t="shared" si="244"/>
        <v>2.1012147712933498</v>
      </c>
      <c r="AV453" s="389">
        <f t="shared" si="244"/>
        <v>2.0400143410615046</v>
      </c>
      <c r="AW453" s="389">
        <f t="shared" si="244"/>
        <v>1.9805964476325288</v>
      </c>
      <c r="AX453" s="389">
        <f t="shared" si="244"/>
        <v>1.9229091724587657</v>
      </c>
      <c r="AY453" s="389">
        <f t="shared" si="244"/>
        <v>1.8669021091832678</v>
      </c>
      <c r="AZ453" s="389">
        <f t="shared" si="244"/>
        <v>1.8125263195954056</v>
      </c>
      <c r="BA453" s="389">
        <f t="shared" si="244"/>
        <v>1.7597342908693259</v>
      </c>
      <c r="BB453" s="389">
        <f t="shared" si="244"/>
        <v>1.7084798940478891</v>
      </c>
      <c r="BC453" s="389">
        <f t="shared" si="244"/>
        <v>1.6587183437358151</v>
      </c>
      <c r="BD453" s="389">
        <f t="shared" si="245"/>
        <v>1.6104061589668108</v>
      </c>
      <c r="BE453" s="389">
        <f t="shared" si="245"/>
        <v>1.5635011252104958</v>
      </c>
      <c r="BF453" s="389">
        <f t="shared" si="245"/>
        <v>1.517962257485918</v>
      </c>
      <c r="BG453" s="389">
        <f t="shared" si="245"/>
        <v>1.4737497645494353</v>
      </c>
      <c r="BH453" s="389">
        <f t="shared" si="245"/>
        <v>1.4308250141256653</v>
      </c>
      <c r="BI453" s="389">
        <f t="shared" si="245"/>
        <v>1.3891504991511314</v>
      </c>
      <c r="BJ453" s="389">
        <f t="shared" si="245"/>
        <v>1.3486898050010985</v>
      </c>
      <c r="BK453" s="390">
        <f t="shared" si="238"/>
        <v>36.239800129849542</v>
      </c>
    </row>
    <row r="454" spans="31:63" x14ac:dyDescent="0.3">
      <c r="AE454" s="367">
        <f t="shared" si="239"/>
        <v>1827000000</v>
      </c>
      <c r="AF454" s="158">
        <f t="shared" si="240"/>
        <v>2175</v>
      </c>
      <c r="AG454" s="41">
        <v>87</v>
      </c>
      <c r="AH454" s="41" t="s">
        <v>376</v>
      </c>
      <c r="AI454" s="362">
        <f t="shared" si="246"/>
        <v>30</v>
      </c>
      <c r="AJ454" s="370">
        <f t="shared" si="247"/>
        <v>27</v>
      </c>
      <c r="AK454" s="232">
        <f t="shared" si="248"/>
        <v>0.39750000000000002</v>
      </c>
      <c r="AL454" s="433">
        <f t="shared" si="249"/>
        <v>0.159</v>
      </c>
      <c r="AM454" s="224">
        <f t="shared" si="250"/>
        <v>1.5600000000000002E-3</v>
      </c>
      <c r="AN454" s="368">
        <f t="shared" si="251"/>
        <v>5.5650000000000005E-2</v>
      </c>
      <c r="AO454" s="369">
        <f t="shared" si="252"/>
        <v>2.3077257367928001</v>
      </c>
      <c r="AQ454" s="388">
        <f t="shared" si="237"/>
        <v>2.3649357367928001</v>
      </c>
      <c r="AR454" s="389">
        <f t="shared" si="243"/>
        <v>2.2960541133910679</v>
      </c>
      <c r="AS454" s="389">
        <f t="shared" si="243"/>
        <v>2.2291787508651146</v>
      </c>
      <c r="AT454" s="389">
        <f t="shared" si="244"/>
        <v>2.16425121443215</v>
      </c>
      <c r="AU454" s="389">
        <f t="shared" si="244"/>
        <v>2.1012147712933498</v>
      </c>
      <c r="AV454" s="389">
        <f t="shared" si="244"/>
        <v>2.0400143410615046</v>
      </c>
      <c r="AW454" s="389">
        <f t="shared" si="244"/>
        <v>1.9805964476325288</v>
      </c>
      <c r="AX454" s="389">
        <f t="shared" si="244"/>
        <v>1.9229091724587657</v>
      </c>
      <c r="AY454" s="389">
        <f t="shared" si="244"/>
        <v>1.8669021091832678</v>
      </c>
      <c r="AZ454" s="389">
        <f t="shared" si="244"/>
        <v>1.8125263195954056</v>
      </c>
      <c r="BA454" s="389">
        <f t="shared" si="244"/>
        <v>1.7597342908693259</v>
      </c>
      <c r="BB454" s="389">
        <f t="shared" si="244"/>
        <v>1.7084798940478891</v>
      </c>
      <c r="BC454" s="389">
        <f t="shared" si="244"/>
        <v>1.6587183437358151</v>
      </c>
      <c r="BD454" s="389">
        <f t="shared" si="245"/>
        <v>1.6104061589668108</v>
      </c>
      <c r="BE454" s="389">
        <f t="shared" si="245"/>
        <v>1.5635011252104958</v>
      </c>
      <c r="BF454" s="389">
        <f t="shared" si="245"/>
        <v>1.517962257485918</v>
      </c>
      <c r="BG454" s="389">
        <f t="shared" si="245"/>
        <v>1.4737497645494353</v>
      </c>
      <c r="BH454" s="389">
        <f t="shared" si="245"/>
        <v>1.4308250141256653</v>
      </c>
      <c r="BI454" s="389">
        <f t="shared" si="245"/>
        <v>1.3891504991511314</v>
      </c>
      <c r="BJ454" s="389">
        <f t="shared" si="245"/>
        <v>1.3486898050010985</v>
      </c>
      <c r="BK454" s="390">
        <f t="shared" si="238"/>
        <v>36.239800129849542</v>
      </c>
    </row>
    <row r="455" spans="31:63" x14ac:dyDescent="0.3">
      <c r="AE455" s="367">
        <f t="shared" si="239"/>
        <v>1848000000</v>
      </c>
      <c r="AF455" s="158">
        <f t="shared" si="240"/>
        <v>2200</v>
      </c>
      <c r="AG455" s="41">
        <v>88</v>
      </c>
      <c r="AH455" s="41" t="s">
        <v>376</v>
      </c>
      <c r="AI455" s="362">
        <f t="shared" si="246"/>
        <v>30</v>
      </c>
      <c r="AJ455" s="370">
        <f t="shared" si="247"/>
        <v>27</v>
      </c>
      <c r="AK455" s="232">
        <f t="shared" si="248"/>
        <v>0.39750000000000002</v>
      </c>
      <c r="AL455" s="433">
        <f t="shared" si="249"/>
        <v>0.159</v>
      </c>
      <c r="AM455" s="224">
        <f t="shared" si="250"/>
        <v>1.5600000000000002E-3</v>
      </c>
      <c r="AN455" s="368">
        <f t="shared" si="251"/>
        <v>5.5650000000000005E-2</v>
      </c>
      <c r="AO455" s="369">
        <f t="shared" si="252"/>
        <v>2.3077257367928001</v>
      </c>
      <c r="AQ455" s="388">
        <f t="shared" si="237"/>
        <v>2.3649357367928001</v>
      </c>
      <c r="AR455" s="389">
        <f t="shared" si="243"/>
        <v>2.2960541133910679</v>
      </c>
      <c r="AS455" s="389">
        <f t="shared" si="243"/>
        <v>2.2291787508651146</v>
      </c>
      <c r="AT455" s="389">
        <f t="shared" si="244"/>
        <v>2.16425121443215</v>
      </c>
      <c r="AU455" s="389">
        <f t="shared" si="244"/>
        <v>2.1012147712933498</v>
      </c>
      <c r="AV455" s="389">
        <f t="shared" si="244"/>
        <v>2.0400143410615046</v>
      </c>
      <c r="AW455" s="389">
        <f t="shared" si="244"/>
        <v>1.9805964476325288</v>
      </c>
      <c r="AX455" s="389">
        <f t="shared" si="244"/>
        <v>1.9229091724587657</v>
      </c>
      <c r="AY455" s="389">
        <f t="shared" si="244"/>
        <v>1.8669021091832678</v>
      </c>
      <c r="AZ455" s="389">
        <f t="shared" si="244"/>
        <v>1.8125263195954056</v>
      </c>
      <c r="BA455" s="389">
        <f t="shared" si="244"/>
        <v>1.7597342908693259</v>
      </c>
      <c r="BB455" s="389">
        <f t="shared" si="244"/>
        <v>1.7084798940478891</v>
      </c>
      <c r="BC455" s="389">
        <f t="shared" si="244"/>
        <v>1.6587183437358151</v>
      </c>
      <c r="BD455" s="389">
        <f t="shared" si="245"/>
        <v>1.6104061589668108</v>
      </c>
      <c r="BE455" s="389">
        <f t="shared" si="245"/>
        <v>1.5635011252104958</v>
      </c>
      <c r="BF455" s="389">
        <f t="shared" si="245"/>
        <v>1.517962257485918</v>
      </c>
      <c r="BG455" s="389">
        <f t="shared" si="245"/>
        <v>1.4737497645494353</v>
      </c>
      <c r="BH455" s="389">
        <f t="shared" si="245"/>
        <v>1.4308250141256653</v>
      </c>
      <c r="BI455" s="389">
        <f t="shared" si="245"/>
        <v>1.3891504991511314</v>
      </c>
      <c r="BJ455" s="389">
        <f t="shared" si="245"/>
        <v>1.3486898050010985</v>
      </c>
      <c r="BK455" s="390">
        <f t="shared" si="238"/>
        <v>36.239800129849542</v>
      </c>
    </row>
    <row r="456" spans="31:63" x14ac:dyDescent="0.3">
      <c r="AE456" s="367">
        <f t="shared" si="239"/>
        <v>1869000000</v>
      </c>
      <c r="AF456" s="158">
        <f t="shared" si="240"/>
        <v>2225</v>
      </c>
      <c r="AG456" s="41">
        <v>89</v>
      </c>
      <c r="AH456" s="41" t="s">
        <v>376</v>
      </c>
      <c r="AI456" s="362">
        <f t="shared" si="246"/>
        <v>30</v>
      </c>
      <c r="AJ456" s="370">
        <f t="shared" si="247"/>
        <v>27</v>
      </c>
      <c r="AK456" s="232">
        <f t="shared" si="248"/>
        <v>0.39750000000000002</v>
      </c>
      <c r="AL456" s="433">
        <f t="shared" si="249"/>
        <v>0.159</v>
      </c>
      <c r="AM456" s="224">
        <f t="shared" si="250"/>
        <v>1.5600000000000002E-3</v>
      </c>
      <c r="AN456" s="368">
        <f t="shared" si="251"/>
        <v>5.5650000000000005E-2</v>
      </c>
      <c r="AO456" s="369">
        <f t="shared" si="252"/>
        <v>2.3077257367928001</v>
      </c>
      <c r="AQ456" s="388">
        <f t="shared" si="237"/>
        <v>2.3649357367928001</v>
      </c>
      <c r="AR456" s="389">
        <f t="shared" si="243"/>
        <v>2.2960541133910679</v>
      </c>
      <c r="AS456" s="389">
        <f t="shared" si="243"/>
        <v>2.2291787508651146</v>
      </c>
      <c r="AT456" s="389">
        <f t="shared" si="244"/>
        <v>2.16425121443215</v>
      </c>
      <c r="AU456" s="389">
        <f t="shared" si="244"/>
        <v>2.1012147712933498</v>
      </c>
      <c r="AV456" s="389">
        <f t="shared" si="244"/>
        <v>2.0400143410615046</v>
      </c>
      <c r="AW456" s="389">
        <f t="shared" si="244"/>
        <v>1.9805964476325288</v>
      </c>
      <c r="AX456" s="389">
        <f t="shared" si="244"/>
        <v>1.9229091724587657</v>
      </c>
      <c r="AY456" s="389">
        <f t="shared" si="244"/>
        <v>1.8669021091832678</v>
      </c>
      <c r="AZ456" s="389">
        <f t="shared" si="244"/>
        <v>1.8125263195954056</v>
      </c>
      <c r="BA456" s="389">
        <f t="shared" si="244"/>
        <v>1.7597342908693259</v>
      </c>
      <c r="BB456" s="389">
        <f t="shared" si="244"/>
        <v>1.7084798940478891</v>
      </c>
      <c r="BC456" s="389">
        <f t="shared" si="244"/>
        <v>1.6587183437358151</v>
      </c>
      <c r="BD456" s="389">
        <f t="shared" si="245"/>
        <v>1.6104061589668108</v>
      </c>
      <c r="BE456" s="389">
        <f t="shared" si="245"/>
        <v>1.5635011252104958</v>
      </c>
      <c r="BF456" s="389">
        <f t="shared" si="245"/>
        <v>1.517962257485918</v>
      </c>
      <c r="BG456" s="389">
        <f t="shared" si="245"/>
        <v>1.4737497645494353</v>
      </c>
      <c r="BH456" s="389">
        <f t="shared" si="245"/>
        <v>1.4308250141256653</v>
      </c>
      <c r="BI456" s="389">
        <f t="shared" si="245"/>
        <v>1.3891504991511314</v>
      </c>
      <c r="BJ456" s="389">
        <f t="shared" si="245"/>
        <v>1.3486898050010985</v>
      </c>
      <c r="BK456" s="390">
        <f t="shared" si="238"/>
        <v>36.239800129849542</v>
      </c>
    </row>
    <row r="457" spans="31:63" x14ac:dyDescent="0.3">
      <c r="AE457" s="367">
        <f t="shared" si="239"/>
        <v>1890000000</v>
      </c>
      <c r="AF457" s="158">
        <f t="shared" si="240"/>
        <v>2250</v>
      </c>
      <c r="AG457" s="41">
        <v>90</v>
      </c>
      <c r="AH457" s="41" t="s">
        <v>376</v>
      </c>
      <c r="AI457" s="362">
        <f t="shared" si="246"/>
        <v>30</v>
      </c>
      <c r="AJ457" s="370">
        <f t="shared" si="247"/>
        <v>27</v>
      </c>
      <c r="AK457" s="232">
        <f t="shared" si="248"/>
        <v>0.39750000000000002</v>
      </c>
      <c r="AL457" s="433">
        <f t="shared" si="249"/>
        <v>0.159</v>
      </c>
      <c r="AM457" s="224">
        <f t="shared" si="250"/>
        <v>1.5600000000000002E-3</v>
      </c>
      <c r="AN457" s="368">
        <f t="shared" si="251"/>
        <v>5.5650000000000005E-2</v>
      </c>
      <c r="AO457" s="369">
        <f t="shared" si="252"/>
        <v>2.3077257367928001</v>
      </c>
      <c r="AQ457" s="388">
        <f t="shared" si="237"/>
        <v>2.3649357367928001</v>
      </c>
      <c r="AR457" s="389">
        <f t="shared" si="243"/>
        <v>2.2960541133910679</v>
      </c>
      <c r="AS457" s="389">
        <f t="shared" si="243"/>
        <v>2.2291787508651146</v>
      </c>
      <c r="AT457" s="389">
        <f t="shared" si="244"/>
        <v>2.16425121443215</v>
      </c>
      <c r="AU457" s="389">
        <f t="shared" si="244"/>
        <v>2.1012147712933498</v>
      </c>
      <c r="AV457" s="389">
        <f t="shared" si="244"/>
        <v>2.0400143410615046</v>
      </c>
      <c r="AW457" s="389">
        <f t="shared" si="244"/>
        <v>1.9805964476325288</v>
      </c>
      <c r="AX457" s="389">
        <f t="shared" si="244"/>
        <v>1.9229091724587657</v>
      </c>
      <c r="AY457" s="389">
        <f t="shared" si="244"/>
        <v>1.8669021091832678</v>
      </c>
      <c r="AZ457" s="389">
        <f t="shared" si="244"/>
        <v>1.8125263195954056</v>
      </c>
      <c r="BA457" s="389">
        <f t="shared" si="244"/>
        <v>1.7597342908693259</v>
      </c>
      <c r="BB457" s="389">
        <f t="shared" si="244"/>
        <v>1.7084798940478891</v>
      </c>
      <c r="BC457" s="389">
        <f t="shared" si="244"/>
        <v>1.6587183437358151</v>
      </c>
      <c r="BD457" s="389">
        <f t="shared" si="245"/>
        <v>1.6104061589668108</v>
      </c>
      <c r="BE457" s="389">
        <f t="shared" si="245"/>
        <v>1.5635011252104958</v>
      </c>
      <c r="BF457" s="389">
        <f t="shared" si="245"/>
        <v>1.517962257485918</v>
      </c>
      <c r="BG457" s="389">
        <f t="shared" si="245"/>
        <v>1.4737497645494353</v>
      </c>
      <c r="BH457" s="389">
        <f t="shared" si="245"/>
        <v>1.4308250141256653</v>
      </c>
      <c r="BI457" s="389">
        <f t="shared" si="245"/>
        <v>1.3891504991511314</v>
      </c>
      <c r="BJ457" s="389">
        <f t="shared" si="245"/>
        <v>1.3486898050010985</v>
      </c>
      <c r="BK457" s="390">
        <f t="shared" si="238"/>
        <v>36.239800129849542</v>
      </c>
    </row>
    <row r="458" spans="31:63" x14ac:dyDescent="0.3">
      <c r="AE458" s="367">
        <f t="shared" si="239"/>
        <v>1911000000</v>
      </c>
      <c r="AF458" s="158">
        <f t="shared" si="240"/>
        <v>2275</v>
      </c>
      <c r="AG458" s="41">
        <v>91</v>
      </c>
      <c r="AH458" s="41" t="s">
        <v>376</v>
      </c>
      <c r="AI458" s="362">
        <f t="shared" si="246"/>
        <v>30</v>
      </c>
      <c r="AJ458" s="370">
        <f t="shared" si="247"/>
        <v>27</v>
      </c>
      <c r="AK458" s="232">
        <f t="shared" si="248"/>
        <v>0.39750000000000002</v>
      </c>
      <c r="AL458" s="433">
        <f t="shared" si="249"/>
        <v>0.159</v>
      </c>
      <c r="AM458" s="224">
        <f t="shared" si="250"/>
        <v>1.5600000000000002E-3</v>
      </c>
      <c r="AN458" s="368">
        <f t="shared" si="251"/>
        <v>5.5650000000000005E-2</v>
      </c>
      <c r="AO458" s="369">
        <f t="shared" si="252"/>
        <v>2.3077257367928001</v>
      </c>
      <c r="AQ458" s="388">
        <f t="shared" si="237"/>
        <v>2.3649357367928001</v>
      </c>
      <c r="AR458" s="389">
        <f t="shared" si="243"/>
        <v>2.2960541133910679</v>
      </c>
      <c r="AS458" s="389">
        <f t="shared" si="243"/>
        <v>2.2291787508651146</v>
      </c>
      <c r="AT458" s="389">
        <f t="shared" ref="AT458:BC467" si="253">$AQ458/POWER(1+($B$10/100),AT$366-2024)</f>
        <v>2.16425121443215</v>
      </c>
      <c r="AU458" s="389">
        <f t="shared" si="253"/>
        <v>2.1012147712933498</v>
      </c>
      <c r="AV458" s="389">
        <f t="shared" si="253"/>
        <v>2.0400143410615046</v>
      </c>
      <c r="AW458" s="389">
        <f t="shared" si="253"/>
        <v>1.9805964476325288</v>
      </c>
      <c r="AX458" s="389">
        <f t="shared" si="253"/>
        <v>1.9229091724587657</v>
      </c>
      <c r="AY458" s="389">
        <f t="shared" si="253"/>
        <v>1.8669021091832678</v>
      </c>
      <c r="AZ458" s="389">
        <f t="shared" si="253"/>
        <v>1.8125263195954056</v>
      </c>
      <c r="BA458" s="389">
        <f t="shared" si="253"/>
        <v>1.7597342908693259</v>
      </c>
      <c r="BB458" s="389">
        <f t="shared" si="253"/>
        <v>1.7084798940478891</v>
      </c>
      <c r="BC458" s="389">
        <f t="shared" si="253"/>
        <v>1.6587183437358151</v>
      </c>
      <c r="BD458" s="389">
        <f t="shared" ref="BD458:BJ467" si="254">$AQ458/POWER(1+($B$10/100),BD$366-2024)</f>
        <v>1.6104061589668108</v>
      </c>
      <c r="BE458" s="389">
        <f t="shared" si="254"/>
        <v>1.5635011252104958</v>
      </c>
      <c r="BF458" s="389">
        <f t="shared" si="254"/>
        <v>1.517962257485918</v>
      </c>
      <c r="BG458" s="389">
        <f t="shared" si="254"/>
        <v>1.4737497645494353</v>
      </c>
      <c r="BH458" s="389">
        <f t="shared" si="254"/>
        <v>1.4308250141256653</v>
      </c>
      <c r="BI458" s="389">
        <f t="shared" si="254"/>
        <v>1.3891504991511314</v>
      </c>
      <c r="BJ458" s="389">
        <f t="shared" si="254"/>
        <v>1.3486898050010985</v>
      </c>
      <c r="BK458" s="390">
        <f t="shared" si="238"/>
        <v>36.239800129849542</v>
      </c>
    </row>
    <row r="459" spans="31:63" x14ac:dyDescent="0.3">
      <c r="AE459" s="367">
        <f t="shared" si="239"/>
        <v>1932000000</v>
      </c>
      <c r="AF459" s="158">
        <f t="shared" si="240"/>
        <v>2300</v>
      </c>
      <c r="AG459" s="41">
        <v>92</v>
      </c>
      <c r="AH459" s="41" t="s">
        <v>376</v>
      </c>
      <c r="AI459" s="362">
        <f t="shared" si="246"/>
        <v>30</v>
      </c>
      <c r="AJ459" s="370">
        <f t="shared" si="247"/>
        <v>27</v>
      </c>
      <c r="AK459" s="232">
        <f t="shared" si="248"/>
        <v>0.39750000000000002</v>
      </c>
      <c r="AL459" s="433">
        <f t="shared" si="249"/>
        <v>0.159</v>
      </c>
      <c r="AM459" s="224">
        <f t="shared" si="250"/>
        <v>1.5600000000000002E-3</v>
      </c>
      <c r="AN459" s="368">
        <f t="shared" si="251"/>
        <v>5.5650000000000005E-2</v>
      </c>
      <c r="AO459" s="369">
        <f t="shared" si="252"/>
        <v>2.3077257367928001</v>
      </c>
      <c r="AQ459" s="388">
        <f t="shared" si="237"/>
        <v>2.3649357367928001</v>
      </c>
      <c r="AR459" s="389">
        <f t="shared" si="243"/>
        <v>2.2960541133910679</v>
      </c>
      <c r="AS459" s="389">
        <f t="shared" si="243"/>
        <v>2.2291787508651146</v>
      </c>
      <c r="AT459" s="389">
        <f t="shared" si="253"/>
        <v>2.16425121443215</v>
      </c>
      <c r="AU459" s="389">
        <f t="shared" si="253"/>
        <v>2.1012147712933498</v>
      </c>
      <c r="AV459" s="389">
        <f t="shared" si="253"/>
        <v>2.0400143410615046</v>
      </c>
      <c r="AW459" s="389">
        <f t="shared" si="253"/>
        <v>1.9805964476325288</v>
      </c>
      <c r="AX459" s="389">
        <f t="shared" si="253"/>
        <v>1.9229091724587657</v>
      </c>
      <c r="AY459" s="389">
        <f t="shared" si="253"/>
        <v>1.8669021091832678</v>
      </c>
      <c r="AZ459" s="389">
        <f t="shared" si="253"/>
        <v>1.8125263195954056</v>
      </c>
      <c r="BA459" s="389">
        <f t="shared" si="253"/>
        <v>1.7597342908693259</v>
      </c>
      <c r="BB459" s="389">
        <f t="shared" si="253"/>
        <v>1.7084798940478891</v>
      </c>
      <c r="BC459" s="389">
        <f t="shared" si="253"/>
        <v>1.6587183437358151</v>
      </c>
      <c r="BD459" s="389">
        <f t="shared" si="254"/>
        <v>1.6104061589668108</v>
      </c>
      <c r="BE459" s="389">
        <f t="shared" si="254"/>
        <v>1.5635011252104958</v>
      </c>
      <c r="BF459" s="389">
        <f t="shared" si="254"/>
        <v>1.517962257485918</v>
      </c>
      <c r="BG459" s="389">
        <f t="shared" si="254"/>
        <v>1.4737497645494353</v>
      </c>
      <c r="BH459" s="389">
        <f t="shared" si="254"/>
        <v>1.4308250141256653</v>
      </c>
      <c r="BI459" s="389">
        <f t="shared" si="254"/>
        <v>1.3891504991511314</v>
      </c>
      <c r="BJ459" s="389">
        <f t="shared" si="254"/>
        <v>1.3486898050010985</v>
      </c>
      <c r="BK459" s="390">
        <f t="shared" si="238"/>
        <v>36.239800129849542</v>
      </c>
    </row>
    <row r="460" spans="31:63" x14ac:dyDescent="0.3">
      <c r="AE460" s="367">
        <f t="shared" si="239"/>
        <v>1953000000</v>
      </c>
      <c r="AF460" s="158">
        <f t="shared" si="240"/>
        <v>2325</v>
      </c>
      <c r="AG460" s="41">
        <v>93</v>
      </c>
      <c r="AH460" s="41" t="s">
        <v>376</v>
      </c>
      <c r="AI460" s="362">
        <f t="shared" si="246"/>
        <v>30</v>
      </c>
      <c r="AJ460" s="370">
        <f t="shared" si="247"/>
        <v>27</v>
      </c>
      <c r="AK460" s="232">
        <f t="shared" si="248"/>
        <v>0.39750000000000002</v>
      </c>
      <c r="AL460" s="433">
        <f t="shared" si="249"/>
        <v>0.159</v>
      </c>
      <c r="AM460" s="224">
        <f t="shared" si="250"/>
        <v>1.5600000000000002E-3</v>
      </c>
      <c r="AN460" s="368">
        <f t="shared" si="251"/>
        <v>5.5650000000000005E-2</v>
      </c>
      <c r="AO460" s="369">
        <f t="shared" si="252"/>
        <v>2.3077257367928001</v>
      </c>
      <c r="AQ460" s="388">
        <f t="shared" si="237"/>
        <v>2.3649357367928001</v>
      </c>
      <c r="AR460" s="389">
        <f t="shared" si="243"/>
        <v>2.2960541133910679</v>
      </c>
      <c r="AS460" s="389">
        <f t="shared" si="243"/>
        <v>2.2291787508651146</v>
      </c>
      <c r="AT460" s="389">
        <f t="shared" si="253"/>
        <v>2.16425121443215</v>
      </c>
      <c r="AU460" s="389">
        <f t="shared" si="253"/>
        <v>2.1012147712933498</v>
      </c>
      <c r="AV460" s="389">
        <f t="shared" si="253"/>
        <v>2.0400143410615046</v>
      </c>
      <c r="AW460" s="389">
        <f t="shared" si="253"/>
        <v>1.9805964476325288</v>
      </c>
      <c r="AX460" s="389">
        <f t="shared" si="253"/>
        <v>1.9229091724587657</v>
      </c>
      <c r="AY460" s="389">
        <f t="shared" si="253"/>
        <v>1.8669021091832678</v>
      </c>
      <c r="AZ460" s="389">
        <f t="shared" si="253"/>
        <v>1.8125263195954056</v>
      </c>
      <c r="BA460" s="389">
        <f t="shared" si="253"/>
        <v>1.7597342908693259</v>
      </c>
      <c r="BB460" s="389">
        <f t="shared" si="253"/>
        <v>1.7084798940478891</v>
      </c>
      <c r="BC460" s="389">
        <f t="shared" si="253"/>
        <v>1.6587183437358151</v>
      </c>
      <c r="BD460" s="389">
        <f t="shared" si="254"/>
        <v>1.6104061589668108</v>
      </c>
      <c r="BE460" s="389">
        <f t="shared" si="254"/>
        <v>1.5635011252104958</v>
      </c>
      <c r="BF460" s="389">
        <f t="shared" si="254"/>
        <v>1.517962257485918</v>
      </c>
      <c r="BG460" s="389">
        <f t="shared" si="254"/>
        <v>1.4737497645494353</v>
      </c>
      <c r="BH460" s="389">
        <f t="shared" si="254"/>
        <v>1.4308250141256653</v>
      </c>
      <c r="BI460" s="389">
        <f t="shared" si="254"/>
        <v>1.3891504991511314</v>
      </c>
      <c r="BJ460" s="389">
        <f t="shared" si="254"/>
        <v>1.3486898050010985</v>
      </c>
      <c r="BK460" s="390">
        <f t="shared" si="238"/>
        <v>36.239800129849542</v>
      </c>
    </row>
    <row r="461" spans="31:63" x14ac:dyDescent="0.3">
      <c r="AE461" s="367">
        <f t="shared" si="239"/>
        <v>1974000000</v>
      </c>
      <c r="AF461" s="158">
        <f t="shared" si="240"/>
        <v>2350</v>
      </c>
      <c r="AG461" s="41">
        <v>94</v>
      </c>
      <c r="AH461" s="41" t="s">
        <v>376</v>
      </c>
      <c r="AI461" s="362">
        <f t="shared" si="246"/>
        <v>30</v>
      </c>
      <c r="AJ461" s="370">
        <f t="shared" si="247"/>
        <v>27</v>
      </c>
      <c r="AK461" s="232">
        <f t="shared" si="248"/>
        <v>0.39750000000000002</v>
      </c>
      <c r="AL461" s="433">
        <f t="shared" si="249"/>
        <v>0.159</v>
      </c>
      <c r="AM461" s="224">
        <f t="shared" si="250"/>
        <v>1.5600000000000002E-3</v>
      </c>
      <c r="AN461" s="368">
        <f t="shared" si="251"/>
        <v>5.5650000000000005E-2</v>
      </c>
      <c r="AO461" s="369">
        <f t="shared" si="252"/>
        <v>2.3077257367928001</v>
      </c>
      <c r="AQ461" s="388">
        <f t="shared" si="237"/>
        <v>2.3649357367928001</v>
      </c>
      <c r="AR461" s="389">
        <f t="shared" si="243"/>
        <v>2.2960541133910679</v>
      </c>
      <c r="AS461" s="389">
        <f t="shared" si="243"/>
        <v>2.2291787508651146</v>
      </c>
      <c r="AT461" s="389">
        <f t="shared" si="253"/>
        <v>2.16425121443215</v>
      </c>
      <c r="AU461" s="389">
        <f t="shared" si="253"/>
        <v>2.1012147712933498</v>
      </c>
      <c r="AV461" s="389">
        <f t="shared" si="253"/>
        <v>2.0400143410615046</v>
      </c>
      <c r="AW461" s="389">
        <f t="shared" si="253"/>
        <v>1.9805964476325288</v>
      </c>
      <c r="AX461" s="389">
        <f t="shared" si="253"/>
        <v>1.9229091724587657</v>
      </c>
      <c r="AY461" s="389">
        <f t="shared" si="253"/>
        <v>1.8669021091832678</v>
      </c>
      <c r="AZ461" s="389">
        <f t="shared" si="253"/>
        <v>1.8125263195954056</v>
      </c>
      <c r="BA461" s="389">
        <f t="shared" si="253"/>
        <v>1.7597342908693259</v>
      </c>
      <c r="BB461" s="389">
        <f t="shared" si="253"/>
        <v>1.7084798940478891</v>
      </c>
      <c r="BC461" s="389">
        <f t="shared" si="253"/>
        <v>1.6587183437358151</v>
      </c>
      <c r="BD461" s="389">
        <f t="shared" si="254"/>
        <v>1.6104061589668108</v>
      </c>
      <c r="BE461" s="389">
        <f t="shared" si="254"/>
        <v>1.5635011252104958</v>
      </c>
      <c r="BF461" s="389">
        <f t="shared" si="254"/>
        <v>1.517962257485918</v>
      </c>
      <c r="BG461" s="389">
        <f t="shared" si="254"/>
        <v>1.4737497645494353</v>
      </c>
      <c r="BH461" s="389">
        <f t="shared" si="254"/>
        <v>1.4308250141256653</v>
      </c>
      <c r="BI461" s="389">
        <f t="shared" si="254"/>
        <v>1.3891504991511314</v>
      </c>
      <c r="BJ461" s="389">
        <f t="shared" si="254"/>
        <v>1.3486898050010985</v>
      </c>
      <c r="BK461" s="390">
        <f t="shared" si="238"/>
        <v>36.239800129849542</v>
      </c>
    </row>
    <row r="462" spans="31:63" x14ac:dyDescent="0.3">
      <c r="AE462" s="367">
        <f t="shared" si="239"/>
        <v>1995000000</v>
      </c>
      <c r="AF462" s="158">
        <f t="shared" si="240"/>
        <v>2375</v>
      </c>
      <c r="AG462" s="41">
        <v>95</v>
      </c>
      <c r="AH462" s="41" t="s">
        <v>376</v>
      </c>
      <c r="AI462" s="362">
        <f t="shared" si="246"/>
        <v>30</v>
      </c>
      <c r="AJ462" s="370">
        <f t="shared" si="247"/>
        <v>27</v>
      </c>
      <c r="AK462" s="232">
        <f t="shared" si="248"/>
        <v>0.39750000000000002</v>
      </c>
      <c r="AL462" s="433">
        <f t="shared" si="249"/>
        <v>0.159</v>
      </c>
      <c r="AM462" s="224">
        <f t="shared" si="250"/>
        <v>1.5600000000000002E-3</v>
      </c>
      <c r="AN462" s="368">
        <f t="shared" si="251"/>
        <v>5.5650000000000005E-2</v>
      </c>
      <c r="AO462" s="369">
        <f t="shared" si="252"/>
        <v>2.3077257367928001</v>
      </c>
      <c r="AQ462" s="388">
        <f t="shared" si="237"/>
        <v>2.3649357367928001</v>
      </c>
      <c r="AR462" s="389">
        <f t="shared" si="243"/>
        <v>2.2960541133910679</v>
      </c>
      <c r="AS462" s="389">
        <f t="shared" si="243"/>
        <v>2.2291787508651146</v>
      </c>
      <c r="AT462" s="389">
        <f t="shared" si="253"/>
        <v>2.16425121443215</v>
      </c>
      <c r="AU462" s="389">
        <f t="shared" si="253"/>
        <v>2.1012147712933498</v>
      </c>
      <c r="AV462" s="389">
        <f t="shared" si="253"/>
        <v>2.0400143410615046</v>
      </c>
      <c r="AW462" s="389">
        <f t="shared" si="253"/>
        <v>1.9805964476325288</v>
      </c>
      <c r="AX462" s="389">
        <f t="shared" si="253"/>
        <v>1.9229091724587657</v>
      </c>
      <c r="AY462" s="389">
        <f t="shared" si="253"/>
        <v>1.8669021091832678</v>
      </c>
      <c r="AZ462" s="389">
        <f t="shared" si="253"/>
        <v>1.8125263195954056</v>
      </c>
      <c r="BA462" s="389">
        <f t="shared" si="253"/>
        <v>1.7597342908693259</v>
      </c>
      <c r="BB462" s="389">
        <f t="shared" si="253"/>
        <v>1.7084798940478891</v>
      </c>
      <c r="BC462" s="389">
        <f t="shared" si="253"/>
        <v>1.6587183437358151</v>
      </c>
      <c r="BD462" s="389">
        <f t="shared" si="254"/>
        <v>1.6104061589668108</v>
      </c>
      <c r="BE462" s="389">
        <f t="shared" si="254"/>
        <v>1.5635011252104958</v>
      </c>
      <c r="BF462" s="389">
        <f t="shared" si="254"/>
        <v>1.517962257485918</v>
      </c>
      <c r="BG462" s="389">
        <f t="shared" si="254"/>
        <v>1.4737497645494353</v>
      </c>
      <c r="BH462" s="389">
        <f t="shared" si="254"/>
        <v>1.4308250141256653</v>
      </c>
      <c r="BI462" s="389">
        <f t="shared" si="254"/>
        <v>1.3891504991511314</v>
      </c>
      <c r="BJ462" s="389">
        <f t="shared" si="254"/>
        <v>1.3486898050010985</v>
      </c>
      <c r="BK462" s="390">
        <f t="shared" si="238"/>
        <v>36.239800129849542</v>
      </c>
    </row>
    <row r="463" spans="31:63" x14ac:dyDescent="0.3">
      <c r="AE463" s="367">
        <f t="shared" si="239"/>
        <v>2016000000</v>
      </c>
      <c r="AF463" s="158">
        <f t="shared" si="240"/>
        <v>2400</v>
      </c>
      <c r="AG463" s="41">
        <v>96</v>
      </c>
      <c r="AH463" s="41" t="s">
        <v>376</v>
      </c>
      <c r="AI463" s="362">
        <f t="shared" si="246"/>
        <v>30</v>
      </c>
      <c r="AJ463" s="370">
        <f t="shared" si="247"/>
        <v>27</v>
      </c>
      <c r="AK463" s="232">
        <f t="shared" si="248"/>
        <v>0.39750000000000002</v>
      </c>
      <c r="AL463" s="433">
        <f t="shared" si="249"/>
        <v>0.159</v>
      </c>
      <c r="AM463" s="224">
        <f t="shared" si="250"/>
        <v>1.5600000000000002E-3</v>
      </c>
      <c r="AN463" s="368">
        <f t="shared" si="251"/>
        <v>5.5650000000000005E-2</v>
      </c>
      <c r="AO463" s="369">
        <f t="shared" si="252"/>
        <v>2.3077257367928001</v>
      </c>
      <c r="AQ463" s="388">
        <f t="shared" si="237"/>
        <v>2.3649357367928001</v>
      </c>
      <c r="AR463" s="389">
        <f t="shared" si="243"/>
        <v>2.2960541133910679</v>
      </c>
      <c r="AS463" s="389">
        <f t="shared" si="243"/>
        <v>2.2291787508651146</v>
      </c>
      <c r="AT463" s="389">
        <f t="shared" si="253"/>
        <v>2.16425121443215</v>
      </c>
      <c r="AU463" s="389">
        <f t="shared" si="253"/>
        <v>2.1012147712933498</v>
      </c>
      <c r="AV463" s="389">
        <f t="shared" si="253"/>
        <v>2.0400143410615046</v>
      </c>
      <c r="AW463" s="389">
        <f t="shared" si="253"/>
        <v>1.9805964476325288</v>
      </c>
      <c r="AX463" s="389">
        <f t="shared" si="253"/>
        <v>1.9229091724587657</v>
      </c>
      <c r="AY463" s="389">
        <f t="shared" si="253"/>
        <v>1.8669021091832678</v>
      </c>
      <c r="AZ463" s="389">
        <f t="shared" si="253"/>
        <v>1.8125263195954056</v>
      </c>
      <c r="BA463" s="389">
        <f t="shared" si="253"/>
        <v>1.7597342908693259</v>
      </c>
      <c r="BB463" s="389">
        <f t="shared" si="253"/>
        <v>1.7084798940478891</v>
      </c>
      <c r="BC463" s="389">
        <f t="shared" si="253"/>
        <v>1.6587183437358151</v>
      </c>
      <c r="BD463" s="389">
        <f t="shared" si="254"/>
        <v>1.6104061589668108</v>
      </c>
      <c r="BE463" s="389">
        <f t="shared" si="254"/>
        <v>1.5635011252104958</v>
      </c>
      <c r="BF463" s="389">
        <f t="shared" si="254"/>
        <v>1.517962257485918</v>
      </c>
      <c r="BG463" s="389">
        <f t="shared" si="254"/>
        <v>1.4737497645494353</v>
      </c>
      <c r="BH463" s="389">
        <f t="shared" si="254"/>
        <v>1.4308250141256653</v>
      </c>
      <c r="BI463" s="389">
        <f t="shared" si="254"/>
        <v>1.3891504991511314</v>
      </c>
      <c r="BJ463" s="389">
        <f t="shared" si="254"/>
        <v>1.3486898050010985</v>
      </c>
      <c r="BK463" s="390">
        <f t="shared" si="238"/>
        <v>36.239800129849542</v>
      </c>
    </row>
    <row r="464" spans="31:63" x14ac:dyDescent="0.3">
      <c r="AE464" s="367">
        <f t="shared" si="239"/>
        <v>2037000000</v>
      </c>
      <c r="AF464" s="158">
        <f t="shared" si="240"/>
        <v>2425</v>
      </c>
      <c r="AG464" s="41">
        <v>97</v>
      </c>
      <c r="AH464" s="41" t="s">
        <v>376</v>
      </c>
      <c r="AI464" s="362">
        <f t="shared" si="246"/>
        <v>30</v>
      </c>
      <c r="AJ464" s="370">
        <f t="shared" si="247"/>
        <v>27</v>
      </c>
      <c r="AK464" s="232">
        <f t="shared" si="248"/>
        <v>0.39750000000000002</v>
      </c>
      <c r="AL464" s="433">
        <f t="shared" si="249"/>
        <v>0.159</v>
      </c>
      <c r="AM464" s="224">
        <f t="shared" si="250"/>
        <v>1.5600000000000002E-3</v>
      </c>
      <c r="AN464" s="368">
        <f t="shared" si="251"/>
        <v>5.5650000000000005E-2</v>
      </c>
      <c r="AO464" s="369">
        <f t="shared" si="252"/>
        <v>2.3077257367928001</v>
      </c>
      <c r="AQ464" s="388">
        <f t="shared" si="237"/>
        <v>2.3649357367928001</v>
      </c>
      <c r="AR464" s="389">
        <f t="shared" si="243"/>
        <v>2.2960541133910679</v>
      </c>
      <c r="AS464" s="389">
        <f t="shared" si="243"/>
        <v>2.2291787508651146</v>
      </c>
      <c r="AT464" s="389">
        <f t="shared" si="253"/>
        <v>2.16425121443215</v>
      </c>
      <c r="AU464" s="389">
        <f t="shared" si="253"/>
        <v>2.1012147712933498</v>
      </c>
      <c r="AV464" s="389">
        <f t="shared" si="253"/>
        <v>2.0400143410615046</v>
      </c>
      <c r="AW464" s="389">
        <f t="shared" si="253"/>
        <v>1.9805964476325288</v>
      </c>
      <c r="AX464" s="389">
        <f t="shared" si="253"/>
        <v>1.9229091724587657</v>
      </c>
      <c r="AY464" s="389">
        <f t="shared" si="253"/>
        <v>1.8669021091832678</v>
      </c>
      <c r="AZ464" s="389">
        <f t="shared" si="253"/>
        <v>1.8125263195954056</v>
      </c>
      <c r="BA464" s="389">
        <f t="shared" si="253"/>
        <v>1.7597342908693259</v>
      </c>
      <c r="BB464" s="389">
        <f t="shared" si="253"/>
        <v>1.7084798940478891</v>
      </c>
      <c r="BC464" s="389">
        <f t="shared" si="253"/>
        <v>1.6587183437358151</v>
      </c>
      <c r="BD464" s="389">
        <f t="shared" si="254"/>
        <v>1.6104061589668108</v>
      </c>
      <c r="BE464" s="389">
        <f t="shared" si="254"/>
        <v>1.5635011252104958</v>
      </c>
      <c r="BF464" s="389">
        <f t="shared" si="254"/>
        <v>1.517962257485918</v>
      </c>
      <c r="BG464" s="389">
        <f t="shared" si="254"/>
        <v>1.4737497645494353</v>
      </c>
      <c r="BH464" s="389">
        <f t="shared" si="254"/>
        <v>1.4308250141256653</v>
      </c>
      <c r="BI464" s="389">
        <f t="shared" si="254"/>
        <v>1.3891504991511314</v>
      </c>
      <c r="BJ464" s="389">
        <f t="shared" si="254"/>
        <v>1.3486898050010985</v>
      </c>
      <c r="BK464" s="390">
        <f t="shared" si="238"/>
        <v>36.239800129849542</v>
      </c>
    </row>
    <row r="465" spans="31:63" x14ac:dyDescent="0.3">
      <c r="AE465" s="367">
        <f t="shared" si="239"/>
        <v>2058000000</v>
      </c>
      <c r="AF465" s="158">
        <f t="shared" si="240"/>
        <v>2450</v>
      </c>
      <c r="AG465" s="41">
        <v>98</v>
      </c>
      <c r="AH465" s="41" t="s">
        <v>376</v>
      </c>
      <c r="AI465" s="362">
        <f t="shared" si="246"/>
        <v>30</v>
      </c>
      <c r="AJ465" s="370">
        <f t="shared" si="247"/>
        <v>27</v>
      </c>
      <c r="AK465" s="232">
        <f t="shared" si="248"/>
        <v>0.39750000000000002</v>
      </c>
      <c r="AL465" s="433">
        <f t="shared" si="249"/>
        <v>0.159</v>
      </c>
      <c r="AM465" s="224">
        <f t="shared" si="250"/>
        <v>1.5600000000000002E-3</v>
      </c>
      <c r="AN465" s="368">
        <f t="shared" si="251"/>
        <v>5.5650000000000005E-2</v>
      </c>
      <c r="AO465" s="369">
        <f t="shared" si="252"/>
        <v>2.3077257367928001</v>
      </c>
      <c r="AQ465" s="388">
        <f t="shared" si="237"/>
        <v>2.3649357367928001</v>
      </c>
      <c r="AR465" s="389">
        <f t="shared" si="243"/>
        <v>2.2960541133910679</v>
      </c>
      <c r="AS465" s="389">
        <f t="shared" si="243"/>
        <v>2.2291787508651146</v>
      </c>
      <c r="AT465" s="389">
        <f t="shared" si="253"/>
        <v>2.16425121443215</v>
      </c>
      <c r="AU465" s="389">
        <f t="shared" si="253"/>
        <v>2.1012147712933498</v>
      </c>
      <c r="AV465" s="389">
        <f t="shared" si="253"/>
        <v>2.0400143410615046</v>
      </c>
      <c r="AW465" s="389">
        <f t="shared" si="253"/>
        <v>1.9805964476325288</v>
      </c>
      <c r="AX465" s="389">
        <f t="shared" si="253"/>
        <v>1.9229091724587657</v>
      </c>
      <c r="AY465" s="389">
        <f t="shared" si="253"/>
        <v>1.8669021091832678</v>
      </c>
      <c r="AZ465" s="389">
        <f t="shared" si="253"/>
        <v>1.8125263195954056</v>
      </c>
      <c r="BA465" s="389">
        <f t="shared" si="253"/>
        <v>1.7597342908693259</v>
      </c>
      <c r="BB465" s="389">
        <f t="shared" si="253"/>
        <v>1.7084798940478891</v>
      </c>
      <c r="BC465" s="389">
        <f t="shared" si="253"/>
        <v>1.6587183437358151</v>
      </c>
      <c r="BD465" s="389">
        <f t="shared" si="254"/>
        <v>1.6104061589668108</v>
      </c>
      <c r="BE465" s="389">
        <f t="shared" si="254"/>
        <v>1.5635011252104958</v>
      </c>
      <c r="BF465" s="389">
        <f t="shared" si="254"/>
        <v>1.517962257485918</v>
      </c>
      <c r="BG465" s="389">
        <f t="shared" si="254"/>
        <v>1.4737497645494353</v>
      </c>
      <c r="BH465" s="389">
        <f t="shared" si="254"/>
        <v>1.4308250141256653</v>
      </c>
      <c r="BI465" s="389">
        <f t="shared" si="254"/>
        <v>1.3891504991511314</v>
      </c>
      <c r="BJ465" s="389">
        <f t="shared" si="254"/>
        <v>1.3486898050010985</v>
      </c>
      <c r="BK465" s="390">
        <f t="shared" si="238"/>
        <v>36.239800129849542</v>
      </c>
    </row>
    <row r="466" spans="31:63" x14ac:dyDescent="0.3">
      <c r="AE466" s="367">
        <f t="shared" si="239"/>
        <v>2079000000</v>
      </c>
      <c r="AF466" s="158">
        <f t="shared" si="240"/>
        <v>2475</v>
      </c>
      <c r="AG466" s="41">
        <v>99</v>
      </c>
      <c r="AH466" s="41" t="s">
        <v>376</v>
      </c>
      <c r="AI466" s="362">
        <f t="shared" si="246"/>
        <v>30</v>
      </c>
      <c r="AJ466" s="370">
        <f t="shared" si="247"/>
        <v>27</v>
      </c>
      <c r="AK466" s="232">
        <f t="shared" si="248"/>
        <v>0.39750000000000002</v>
      </c>
      <c r="AL466" s="433">
        <f t="shared" si="249"/>
        <v>0.159</v>
      </c>
      <c r="AM466" s="224">
        <f t="shared" si="250"/>
        <v>1.5600000000000002E-3</v>
      </c>
      <c r="AN466" s="368">
        <f t="shared" si="251"/>
        <v>5.5650000000000005E-2</v>
      </c>
      <c r="AO466" s="369">
        <f t="shared" si="252"/>
        <v>2.3077257367928001</v>
      </c>
      <c r="AQ466" s="388">
        <f t="shared" si="237"/>
        <v>2.3649357367928001</v>
      </c>
      <c r="AR466" s="389">
        <f t="shared" si="243"/>
        <v>2.2960541133910679</v>
      </c>
      <c r="AS466" s="389">
        <f t="shared" si="243"/>
        <v>2.2291787508651146</v>
      </c>
      <c r="AT466" s="389">
        <f t="shared" si="253"/>
        <v>2.16425121443215</v>
      </c>
      <c r="AU466" s="389">
        <f t="shared" si="253"/>
        <v>2.1012147712933498</v>
      </c>
      <c r="AV466" s="389">
        <f t="shared" si="253"/>
        <v>2.0400143410615046</v>
      </c>
      <c r="AW466" s="389">
        <f t="shared" si="253"/>
        <v>1.9805964476325288</v>
      </c>
      <c r="AX466" s="389">
        <f t="shared" si="253"/>
        <v>1.9229091724587657</v>
      </c>
      <c r="AY466" s="389">
        <f t="shared" si="253"/>
        <v>1.8669021091832678</v>
      </c>
      <c r="AZ466" s="389">
        <f t="shared" si="253"/>
        <v>1.8125263195954056</v>
      </c>
      <c r="BA466" s="389">
        <f t="shared" si="253"/>
        <v>1.7597342908693259</v>
      </c>
      <c r="BB466" s="389">
        <f t="shared" si="253"/>
        <v>1.7084798940478891</v>
      </c>
      <c r="BC466" s="389">
        <f t="shared" si="253"/>
        <v>1.6587183437358151</v>
      </c>
      <c r="BD466" s="389">
        <f t="shared" si="254"/>
        <v>1.6104061589668108</v>
      </c>
      <c r="BE466" s="389">
        <f t="shared" si="254"/>
        <v>1.5635011252104958</v>
      </c>
      <c r="BF466" s="389">
        <f t="shared" si="254"/>
        <v>1.517962257485918</v>
      </c>
      <c r="BG466" s="389">
        <f t="shared" si="254"/>
        <v>1.4737497645494353</v>
      </c>
      <c r="BH466" s="389">
        <f t="shared" si="254"/>
        <v>1.4308250141256653</v>
      </c>
      <c r="BI466" s="389">
        <f t="shared" si="254"/>
        <v>1.3891504991511314</v>
      </c>
      <c r="BJ466" s="389">
        <f t="shared" si="254"/>
        <v>1.3486898050010985</v>
      </c>
      <c r="BK466" s="390">
        <f t="shared" si="238"/>
        <v>36.239800129849542</v>
      </c>
    </row>
    <row r="467" spans="31:63" x14ac:dyDescent="0.3">
      <c r="AE467" s="367">
        <f t="shared" si="239"/>
        <v>2100000000</v>
      </c>
      <c r="AF467" s="158">
        <f t="shared" si="240"/>
        <v>2500</v>
      </c>
      <c r="AG467" s="41">
        <v>100</v>
      </c>
      <c r="AH467" s="41" t="s">
        <v>376</v>
      </c>
      <c r="AI467" s="362">
        <f t="shared" si="246"/>
        <v>30</v>
      </c>
      <c r="AJ467" s="370">
        <f t="shared" si="247"/>
        <v>27</v>
      </c>
      <c r="AK467" s="232">
        <f t="shared" si="248"/>
        <v>0.39750000000000002</v>
      </c>
      <c r="AL467" s="433">
        <f t="shared" si="249"/>
        <v>0.159</v>
      </c>
      <c r="AM467" s="224">
        <f t="shared" si="250"/>
        <v>1.5600000000000002E-3</v>
      </c>
      <c r="AN467" s="368">
        <f t="shared" si="251"/>
        <v>5.5650000000000005E-2</v>
      </c>
      <c r="AO467" s="369">
        <f t="shared" si="252"/>
        <v>2.3077257367928001</v>
      </c>
      <c r="AQ467" s="388">
        <f t="shared" si="237"/>
        <v>2.3649357367928001</v>
      </c>
      <c r="AR467" s="389">
        <f t="shared" ref="AR467:AS486" si="255">$AQ467/POWER(1+($B$10/100),AR$366-2024)</f>
        <v>2.2960541133910679</v>
      </c>
      <c r="AS467" s="389">
        <f t="shared" si="255"/>
        <v>2.2291787508651146</v>
      </c>
      <c r="AT467" s="389">
        <f t="shared" si="253"/>
        <v>2.16425121443215</v>
      </c>
      <c r="AU467" s="389">
        <f t="shared" si="253"/>
        <v>2.1012147712933498</v>
      </c>
      <c r="AV467" s="389">
        <f t="shared" si="253"/>
        <v>2.0400143410615046</v>
      </c>
      <c r="AW467" s="389">
        <f t="shared" si="253"/>
        <v>1.9805964476325288</v>
      </c>
      <c r="AX467" s="389">
        <f t="shared" si="253"/>
        <v>1.9229091724587657</v>
      </c>
      <c r="AY467" s="389">
        <f t="shared" si="253"/>
        <v>1.8669021091832678</v>
      </c>
      <c r="AZ467" s="389">
        <f t="shared" si="253"/>
        <v>1.8125263195954056</v>
      </c>
      <c r="BA467" s="389">
        <f t="shared" si="253"/>
        <v>1.7597342908693259</v>
      </c>
      <c r="BB467" s="389">
        <f t="shared" si="253"/>
        <v>1.7084798940478891</v>
      </c>
      <c r="BC467" s="389">
        <f t="shared" si="253"/>
        <v>1.6587183437358151</v>
      </c>
      <c r="BD467" s="389">
        <f t="shared" si="254"/>
        <v>1.6104061589668108</v>
      </c>
      <c r="BE467" s="389">
        <f t="shared" si="254"/>
        <v>1.5635011252104958</v>
      </c>
      <c r="BF467" s="389">
        <f t="shared" si="254"/>
        <v>1.517962257485918</v>
      </c>
      <c r="BG467" s="389">
        <f t="shared" si="254"/>
        <v>1.4737497645494353</v>
      </c>
      <c r="BH467" s="389">
        <f t="shared" si="254"/>
        <v>1.4308250141256653</v>
      </c>
      <c r="BI467" s="389">
        <f t="shared" si="254"/>
        <v>1.3891504991511314</v>
      </c>
      <c r="BJ467" s="389">
        <f t="shared" si="254"/>
        <v>1.3486898050010985</v>
      </c>
      <c r="BK467" s="390">
        <f t="shared" si="238"/>
        <v>36.239800129849542</v>
      </c>
    </row>
    <row r="468" spans="31:63" x14ac:dyDescent="0.3">
      <c r="AE468" s="367">
        <f t="shared" si="239"/>
        <v>2121000000</v>
      </c>
      <c r="AF468" s="158">
        <f t="shared" si="240"/>
        <v>2525</v>
      </c>
      <c r="AG468" s="41">
        <v>101</v>
      </c>
      <c r="AH468" s="41" t="s">
        <v>376</v>
      </c>
      <c r="AI468" s="362">
        <f t="shared" si="246"/>
        <v>30</v>
      </c>
      <c r="AJ468" s="370">
        <f t="shared" si="247"/>
        <v>27</v>
      </c>
      <c r="AK468" s="232">
        <f t="shared" si="248"/>
        <v>0.39750000000000002</v>
      </c>
      <c r="AL468" s="433">
        <f t="shared" si="249"/>
        <v>0.159</v>
      </c>
      <c r="AM468" s="224">
        <f t="shared" si="250"/>
        <v>1.5600000000000002E-3</v>
      </c>
      <c r="AN468" s="368">
        <f t="shared" si="251"/>
        <v>5.5650000000000005E-2</v>
      </c>
      <c r="AO468" s="369">
        <f t="shared" si="252"/>
        <v>2.3077257367928001</v>
      </c>
      <c r="AQ468" s="388">
        <f t="shared" si="237"/>
        <v>2.3649357367928001</v>
      </c>
      <c r="AR468" s="389">
        <f t="shared" si="255"/>
        <v>2.2960541133910679</v>
      </c>
      <c r="AS468" s="389">
        <f t="shared" si="255"/>
        <v>2.2291787508651146</v>
      </c>
      <c r="AT468" s="389">
        <f t="shared" ref="AT468:BC477" si="256">$AQ468/POWER(1+($B$10/100),AT$366-2024)</f>
        <v>2.16425121443215</v>
      </c>
      <c r="AU468" s="389">
        <f t="shared" si="256"/>
        <v>2.1012147712933498</v>
      </c>
      <c r="AV468" s="389">
        <f t="shared" si="256"/>
        <v>2.0400143410615046</v>
      </c>
      <c r="AW468" s="389">
        <f t="shared" si="256"/>
        <v>1.9805964476325288</v>
      </c>
      <c r="AX468" s="389">
        <f t="shared" si="256"/>
        <v>1.9229091724587657</v>
      </c>
      <c r="AY468" s="389">
        <f t="shared" si="256"/>
        <v>1.8669021091832678</v>
      </c>
      <c r="AZ468" s="389">
        <f t="shared" si="256"/>
        <v>1.8125263195954056</v>
      </c>
      <c r="BA468" s="389">
        <f t="shared" si="256"/>
        <v>1.7597342908693259</v>
      </c>
      <c r="BB468" s="389">
        <f t="shared" si="256"/>
        <v>1.7084798940478891</v>
      </c>
      <c r="BC468" s="389">
        <f t="shared" si="256"/>
        <v>1.6587183437358151</v>
      </c>
      <c r="BD468" s="389">
        <f t="shared" ref="BD468:BJ477" si="257">$AQ468/POWER(1+($B$10/100),BD$366-2024)</f>
        <v>1.6104061589668108</v>
      </c>
      <c r="BE468" s="389">
        <f t="shared" si="257"/>
        <v>1.5635011252104958</v>
      </c>
      <c r="BF468" s="389">
        <f t="shared" si="257"/>
        <v>1.517962257485918</v>
      </c>
      <c r="BG468" s="389">
        <f t="shared" si="257"/>
        <v>1.4737497645494353</v>
      </c>
      <c r="BH468" s="389">
        <f t="shared" si="257"/>
        <v>1.4308250141256653</v>
      </c>
      <c r="BI468" s="389">
        <f t="shared" si="257"/>
        <v>1.3891504991511314</v>
      </c>
      <c r="BJ468" s="389">
        <f t="shared" si="257"/>
        <v>1.3486898050010985</v>
      </c>
      <c r="BK468" s="390">
        <f t="shared" si="238"/>
        <v>36.239800129849542</v>
      </c>
    </row>
    <row r="469" spans="31:63" x14ac:dyDescent="0.3">
      <c r="AE469" s="367">
        <f t="shared" si="239"/>
        <v>2142000000</v>
      </c>
      <c r="AF469" s="158">
        <f t="shared" si="240"/>
        <v>2550</v>
      </c>
      <c r="AG469" s="41">
        <v>102</v>
      </c>
      <c r="AH469" s="41" t="s">
        <v>376</v>
      </c>
      <c r="AI469" s="362">
        <f t="shared" si="246"/>
        <v>30</v>
      </c>
      <c r="AJ469" s="370">
        <f t="shared" si="247"/>
        <v>27</v>
      </c>
      <c r="AK469" s="232">
        <f t="shared" si="248"/>
        <v>0.39750000000000002</v>
      </c>
      <c r="AL469" s="433">
        <f t="shared" si="249"/>
        <v>0.159</v>
      </c>
      <c r="AM469" s="224">
        <f t="shared" si="250"/>
        <v>1.5600000000000002E-3</v>
      </c>
      <c r="AN469" s="368">
        <f t="shared" si="251"/>
        <v>5.5650000000000005E-2</v>
      </c>
      <c r="AO469" s="369">
        <f t="shared" si="252"/>
        <v>2.3077257367928001</v>
      </c>
      <c r="AQ469" s="388">
        <f t="shared" si="237"/>
        <v>2.3649357367928001</v>
      </c>
      <c r="AR469" s="389">
        <f t="shared" si="255"/>
        <v>2.2960541133910679</v>
      </c>
      <c r="AS469" s="389">
        <f t="shared" si="255"/>
        <v>2.2291787508651146</v>
      </c>
      <c r="AT469" s="389">
        <f t="shared" si="256"/>
        <v>2.16425121443215</v>
      </c>
      <c r="AU469" s="389">
        <f t="shared" si="256"/>
        <v>2.1012147712933498</v>
      </c>
      <c r="AV469" s="389">
        <f t="shared" si="256"/>
        <v>2.0400143410615046</v>
      </c>
      <c r="AW469" s="389">
        <f t="shared" si="256"/>
        <v>1.9805964476325288</v>
      </c>
      <c r="AX469" s="389">
        <f t="shared" si="256"/>
        <v>1.9229091724587657</v>
      </c>
      <c r="AY469" s="389">
        <f t="shared" si="256"/>
        <v>1.8669021091832678</v>
      </c>
      <c r="AZ469" s="389">
        <f t="shared" si="256"/>
        <v>1.8125263195954056</v>
      </c>
      <c r="BA469" s="389">
        <f t="shared" si="256"/>
        <v>1.7597342908693259</v>
      </c>
      <c r="BB469" s="389">
        <f t="shared" si="256"/>
        <v>1.7084798940478891</v>
      </c>
      <c r="BC469" s="389">
        <f t="shared" si="256"/>
        <v>1.6587183437358151</v>
      </c>
      <c r="BD469" s="389">
        <f t="shared" si="257"/>
        <v>1.6104061589668108</v>
      </c>
      <c r="BE469" s="389">
        <f t="shared" si="257"/>
        <v>1.5635011252104958</v>
      </c>
      <c r="BF469" s="389">
        <f t="shared" si="257"/>
        <v>1.517962257485918</v>
      </c>
      <c r="BG469" s="389">
        <f t="shared" si="257"/>
        <v>1.4737497645494353</v>
      </c>
      <c r="BH469" s="389">
        <f t="shared" si="257"/>
        <v>1.4308250141256653</v>
      </c>
      <c r="BI469" s="389">
        <f t="shared" si="257"/>
        <v>1.3891504991511314</v>
      </c>
      <c r="BJ469" s="389">
        <f t="shared" si="257"/>
        <v>1.3486898050010985</v>
      </c>
      <c r="BK469" s="390">
        <f t="shared" si="238"/>
        <v>36.239800129849542</v>
      </c>
    </row>
    <row r="470" spans="31:63" x14ac:dyDescent="0.3">
      <c r="AE470" s="367">
        <f t="shared" si="239"/>
        <v>2163000000</v>
      </c>
      <c r="AF470" s="158">
        <f t="shared" si="240"/>
        <v>2575</v>
      </c>
      <c r="AG470" s="41">
        <v>103</v>
      </c>
      <c r="AH470" s="41" t="s">
        <v>376</v>
      </c>
      <c r="AI470" s="362">
        <f t="shared" si="246"/>
        <v>30</v>
      </c>
      <c r="AJ470" s="370">
        <f t="shared" si="247"/>
        <v>27</v>
      </c>
      <c r="AK470" s="232">
        <f t="shared" si="248"/>
        <v>0.39750000000000002</v>
      </c>
      <c r="AL470" s="433">
        <f t="shared" si="249"/>
        <v>0.159</v>
      </c>
      <c r="AM470" s="224">
        <f t="shared" si="250"/>
        <v>1.5600000000000002E-3</v>
      </c>
      <c r="AN470" s="368">
        <f t="shared" si="251"/>
        <v>5.5650000000000005E-2</v>
      </c>
      <c r="AO470" s="369">
        <f t="shared" si="252"/>
        <v>2.3077257367928001</v>
      </c>
      <c r="AQ470" s="388">
        <f t="shared" si="237"/>
        <v>2.3649357367928001</v>
      </c>
      <c r="AR470" s="389">
        <f t="shared" si="255"/>
        <v>2.2960541133910679</v>
      </c>
      <c r="AS470" s="389">
        <f t="shared" si="255"/>
        <v>2.2291787508651146</v>
      </c>
      <c r="AT470" s="389">
        <f t="shared" si="256"/>
        <v>2.16425121443215</v>
      </c>
      <c r="AU470" s="389">
        <f t="shared" si="256"/>
        <v>2.1012147712933498</v>
      </c>
      <c r="AV470" s="389">
        <f t="shared" si="256"/>
        <v>2.0400143410615046</v>
      </c>
      <c r="AW470" s="389">
        <f t="shared" si="256"/>
        <v>1.9805964476325288</v>
      </c>
      <c r="AX470" s="389">
        <f t="shared" si="256"/>
        <v>1.9229091724587657</v>
      </c>
      <c r="AY470" s="389">
        <f t="shared" si="256"/>
        <v>1.8669021091832678</v>
      </c>
      <c r="AZ470" s="389">
        <f t="shared" si="256"/>
        <v>1.8125263195954056</v>
      </c>
      <c r="BA470" s="389">
        <f t="shared" si="256"/>
        <v>1.7597342908693259</v>
      </c>
      <c r="BB470" s="389">
        <f t="shared" si="256"/>
        <v>1.7084798940478891</v>
      </c>
      <c r="BC470" s="389">
        <f t="shared" si="256"/>
        <v>1.6587183437358151</v>
      </c>
      <c r="BD470" s="389">
        <f t="shared" si="257"/>
        <v>1.6104061589668108</v>
      </c>
      <c r="BE470" s="389">
        <f t="shared" si="257"/>
        <v>1.5635011252104958</v>
      </c>
      <c r="BF470" s="389">
        <f t="shared" si="257"/>
        <v>1.517962257485918</v>
      </c>
      <c r="BG470" s="389">
        <f t="shared" si="257"/>
        <v>1.4737497645494353</v>
      </c>
      <c r="BH470" s="389">
        <f t="shared" si="257"/>
        <v>1.4308250141256653</v>
      </c>
      <c r="BI470" s="389">
        <f t="shared" si="257"/>
        <v>1.3891504991511314</v>
      </c>
      <c r="BJ470" s="389">
        <f t="shared" si="257"/>
        <v>1.3486898050010985</v>
      </c>
      <c r="BK470" s="390">
        <f t="shared" si="238"/>
        <v>36.239800129849542</v>
      </c>
    </row>
    <row r="471" spans="31:63" x14ac:dyDescent="0.3">
      <c r="AE471" s="367">
        <f t="shared" si="239"/>
        <v>2184000000</v>
      </c>
      <c r="AF471" s="158">
        <f t="shared" si="240"/>
        <v>2600</v>
      </c>
      <c r="AG471" s="41">
        <v>104</v>
      </c>
      <c r="AH471" s="41" t="s">
        <v>376</v>
      </c>
      <c r="AI471" s="362">
        <f t="shared" si="246"/>
        <v>30</v>
      </c>
      <c r="AJ471" s="370">
        <f t="shared" si="247"/>
        <v>27</v>
      </c>
      <c r="AK471" s="232">
        <f t="shared" si="248"/>
        <v>0.39750000000000002</v>
      </c>
      <c r="AL471" s="433">
        <f t="shared" si="249"/>
        <v>0.159</v>
      </c>
      <c r="AM471" s="224">
        <f t="shared" si="250"/>
        <v>1.5600000000000002E-3</v>
      </c>
      <c r="AN471" s="368">
        <f t="shared" si="251"/>
        <v>5.5650000000000005E-2</v>
      </c>
      <c r="AO471" s="369">
        <f t="shared" si="252"/>
        <v>2.3077257367928001</v>
      </c>
      <c r="AQ471" s="388">
        <f t="shared" si="237"/>
        <v>2.3649357367928001</v>
      </c>
      <c r="AR471" s="389">
        <f t="shared" si="255"/>
        <v>2.2960541133910679</v>
      </c>
      <c r="AS471" s="389">
        <f t="shared" si="255"/>
        <v>2.2291787508651146</v>
      </c>
      <c r="AT471" s="389">
        <f t="shared" si="256"/>
        <v>2.16425121443215</v>
      </c>
      <c r="AU471" s="389">
        <f t="shared" si="256"/>
        <v>2.1012147712933498</v>
      </c>
      <c r="AV471" s="389">
        <f t="shared" si="256"/>
        <v>2.0400143410615046</v>
      </c>
      <c r="AW471" s="389">
        <f t="shared" si="256"/>
        <v>1.9805964476325288</v>
      </c>
      <c r="AX471" s="389">
        <f t="shared" si="256"/>
        <v>1.9229091724587657</v>
      </c>
      <c r="AY471" s="389">
        <f t="shared" si="256"/>
        <v>1.8669021091832678</v>
      </c>
      <c r="AZ471" s="389">
        <f t="shared" si="256"/>
        <v>1.8125263195954056</v>
      </c>
      <c r="BA471" s="389">
        <f t="shared" si="256"/>
        <v>1.7597342908693259</v>
      </c>
      <c r="BB471" s="389">
        <f t="shared" si="256"/>
        <v>1.7084798940478891</v>
      </c>
      <c r="BC471" s="389">
        <f t="shared" si="256"/>
        <v>1.6587183437358151</v>
      </c>
      <c r="BD471" s="389">
        <f t="shared" si="257"/>
        <v>1.6104061589668108</v>
      </c>
      <c r="BE471" s="389">
        <f t="shared" si="257"/>
        <v>1.5635011252104958</v>
      </c>
      <c r="BF471" s="389">
        <f t="shared" si="257"/>
        <v>1.517962257485918</v>
      </c>
      <c r="BG471" s="389">
        <f t="shared" si="257"/>
        <v>1.4737497645494353</v>
      </c>
      <c r="BH471" s="389">
        <f t="shared" si="257"/>
        <v>1.4308250141256653</v>
      </c>
      <c r="BI471" s="389">
        <f t="shared" si="257"/>
        <v>1.3891504991511314</v>
      </c>
      <c r="BJ471" s="389">
        <f t="shared" si="257"/>
        <v>1.3486898050010985</v>
      </c>
      <c r="BK471" s="390">
        <f t="shared" si="238"/>
        <v>36.239800129849542</v>
      </c>
    </row>
    <row r="472" spans="31:63" x14ac:dyDescent="0.3">
      <c r="AE472" s="367">
        <f t="shared" si="239"/>
        <v>2205000000</v>
      </c>
      <c r="AF472" s="158">
        <f t="shared" si="240"/>
        <v>2625</v>
      </c>
      <c r="AG472" s="41">
        <v>105</v>
      </c>
      <c r="AH472" s="41" t="s">
        <v>376</v>
      </c>
      <c r="AI472" s="362">
        <f t="shared" si="246"/>
        <v>30</v>
      </c>
      <c r="AJ472" s="370">
        <f t="shared" si="247"/>
        <v>27</v>
      </c>
      <c r="AK472" s="232">
        <f t="shared" si="248"/>
        <v>0.39750000000000002</v>
      </c>
      <c r="AL472" s="433">
        <f t="shared" si="249"/>
        <v>0.159</v>
      </c>
      <c r="AM472" s="224">
        <f t="shared" si="250"/>
        <v>1.5600000000000002E-3</v>
      </c>
      <c r="AN472" s="368">
        <f t="shared" si="251"/>
        <v>5.5650000000000005E-2</v>
      </c>
      <c r="AO472" s="369">
        <f t="shared" si="252"/>
        <v>2.3077257367928001</v>
      </c>
      <c r="AQ472" s="388">
        <f t="shared" si="237"/>
        <v>2.3649357367928001</v>
      </c>
      <c r="AR472" s="389">
        <f t="shared" si="255"/>
        <v>2.2960541133910679</v>
      </c>
      <c r="AS472" s="389">
        <f t="shared" si="255"/>
        <v>2.2291787508651146</v>
      </c>
      <c r="AT472" s="389">
        <f t="shared" si="256"/>
        <v>2.16425121443215</v>
      </c>
      <c r="AU472" s="389">
        <f t="shared" si="256"/>
        <v>2.1012147712933498</v>
      </c>
      <c r="AV472" s="389">
        <f t="shared" si="256"/>
        <v>2.0400143410615046</v>
      </c>
      <c r="AW472" s="389">
        <f t="shared" si="256"/>
        <v>1.9805964476325288</v>
      </c>
      <c r="AX472" s="389">
        <f t="shared" si="256"/>
        <v>1.9229091724587657</v>
      </c>
      <c r="AY472" s="389">
        <f t="shared" si="256"/>
        <v>1.8669021091832678</v>
      </c>
      <c r="AZ472" s="389">
        <f t="shared" si="256"/>
        <v>1.8125263195954056</v>
      </c>
      <c r="BA472" s="389">
        <f t="shared" si="256"/>
        <v>1.7597342908693259</v>
      </c>
      <c r="BB472" s="389">
        <f t="shared" si="256"/>
        <v>1.7084798940478891</v>
      </c>
      <c r="BC472" s="389">
        <f t="shared" si="256"/>
        <v>1.6587183437358151</v>
      </c>
      <c r="BD472" s="389">
        <f t="shared" si="257"/>
        <v>1.6104061589668108</v>
      </c>
      <c r="BE472" s="389">
        <f t="shared" si="257"/>
        <v>1.5635011252104958</v>
      </c>
      <c r="BF472" s="389">
        <f t="shared" si="257"/>
        <v>1.517962257485918</v>
      </c>
      <c r="BG472" s="389">
        <f t="shared" si="257"/>
        <v>1.4737497645494353</v>
      </c>
      <c r="BH472" s="389">
        <f t="shared" si="257"/>
        <v>1.4308250141256653</v>
      </c>
      <c r="BI472" s="389">
        <f t="shared" si="257"/>
        <v>1.3891504991511314</v>
      </c>
      <c r="BJ472" s="389">
        <f t="shared" si="257"/>
        <v>1.3486898050010985</v>
      </c>
      <c r="BK472" s="390">
        <f t="shared" si="238"/>
        <v>36.239800129849542</v>
      </c>
    </row>
    <row r="473" spans="31:63" x14ac:dyDescent="0.3">
      <c r="AE473" s="367">
        <f t="shared" si="239"/>
        <v>2226000000</v>
      </c>
      <c r="AF473" s="158">
        <f t="shared" si="240"/>
        <v>2650</v>
      </c>
      <c r="AG473" s="41">
        <v>106</v>
      </c>
      <c r="AH473" s="41" t="s">
        <v>376</v>
      </c>
      <c r="AI473" s="362">
        <f t="shared" si="246"/>
        <v>30</v>
      </c>
      <c r="AJ473" s="370">
        <f t="shared" si="247"/>
        <v>27</v>
      </c>
      <c r="AK473" s="232">
        <f t="shared" si="248"/>
        <v>0.39750000000000002</v>
      </c>
      <c r="AL473" s="433">
        <f t="shared" si="249"/>
        <v>0.159</v>
      </c>
      <c r="AM473" s="224">
        <f t="shared" si="250"/>
        <v>1.5600000000000002E-3</v>
      </c>
      <c r="AN473" s="368">
        <f t="shared" si="251"/>
        <v>5.5650000000000005E-2</v>
      </c>
      <c r="AO473" s="369">
        <f t="shared" si="252"/>
        <v>2.3077257367928001</v>
      </c>
      <c r="AQ473" s="388">
        <f t="shared" si="237"/>
        <v>2.3649357367928001</v>
      </c>
      <c r="AR473" s="389">
        <f t="shared" si="255"/>
        <v>2.2960541133910679</v>
      </c>
      <c r="AS473" s="389">
        <f t="shared" si="255"/>
        <v>2.2291787508651146</v>
      </c>
      <c r="AT473" s="389">
        <f t="shared" si="256"/>
        <v>2.16425121443215</v>
      </c>
      <c r="AU473" s="389">
        <f t="shared" si="256"/>
        <v>2.1012147712933498</v>
      </c>
      <c r="AV473" s="389">
        <f t="shared" si="256"/>
        <v>2.0400143410615046</v>
      </c>
      <c r="AW473" s="389">
        <f t="shared" si="256"/>
        <v>1.9805964476325288</v>
      </c>
      <c r="AX473" s="389">
        <f t="shared" si="256"/>
        <v>1.9229091724587657</v>
      </c>
      <c r="AY473" s="389">
        <f t="shared" si="256"/>
        <v>1.8669021091832678</v>
      </c>
      <c r="AZ473" s="389">
        <f t="shared" si="256"/>
        <v>1.8125263195954056</v>
      </c>
      <c r="BA473" s="389">
        <f t="shared" si="256"/>
        <v>1.7597342908693259</v>
      </c>
      <c r="BB473" s="389">
        <f t="shared" si="256"/>
        <v>1.7084798940478891</v>
      </c>
      <c r="BC473" s="389">
        <f t="shared" si="256"/>
        <v>1.6587183437358151</v>
      </c>
      <c r="BD473" s="389">
        <f t="shared" si="257"/>
        <v>1.6104061589668108</v>
      </c>
      <c r="BE473" s="389">
        <f t="shared" si="257"/>
        <v>1.5635011252104958</v>
      </c>
      <c r="BF473" s="389">
        <f t="shared" si="257"/>
        <v>1.517962257485918</v>
      </c>
      <c r="BG473" s="389">
        <f t="shared" si="257"/>
        <v>1.4737497645494353</v>
      </c>
      <c r="BH473" s="389">
        <f t="shared" si="257"/>
        <v>1.4308250141256653</v>
      </c>
      <c r="BI473" s="389">
        <f t="shared" si="257"/>
        <v>1.3891504991511314</v>
      </c>
      <c r="BJ473" s="389">
        <f t="shared" si="257"/>
        <v>1.3486898050010985</v>
      </c>
      <c r="BK473" s="390">
        <f t="shared" si="238"/>
        <v>36.239800129849542</v>
      </c>
    </row>
    <row r="474" spans="31:63" x14ac:dyDescent="0.3">
      <c r="AE474" s="367">
        <f t="shared" si="239"/>
        <v>2247000000</v>
      </c>
      <c r="AF474" s="158">
        <f t="shared" si="240"/>
        <v>2675</v>
      </c>
      <c r="AG474" s="41">
        <v>107</v>
      </c>
      <c r="AH474" s="41" t="s">
        <v>376</v>
      </c>
      <c r="AI474" s="362">
        <f t="shared" si="246"/>
        <v>30</v>
      </c>
      <c r="AJ474" s="370">
        <f t="shared" si="247"/>
        <v>27</v>
      </c>
      <c r="AK474" s="232">
        <f t="shared" si="248"/>
        <v>0.39750000000000002</v>
      </c>
      <c r="AL474" s="433">
        <f t="shared" si="249"/>
        <v>0.159</v>
      </c>
      <c r="AM474" s="224">
        <f t="shared" si="250"/>
        <v>1.5600000000000002E-3</v>
      </c>
      <c r="AN474" s="368">
        <f t="shared" si="251"/>
        <v>5.5650000000000005E-2</v>
      </c>
      <c r="AO474" s="369">
        <f t="shared" si="252"/>
        <v>2.3077257367928001</v>
      </c>
      <c r="AQ474" s="388">
        <f t="shared" si="237"/>
        <v>2.3649357367928001</v>
      </c>
      <c r="AR474" s="389">
        <f t="shared" si="255"/>
        <v>2.2960541133910679</v>
      </c>
      <c r="AS474" s="389">
        <f t="shared" si="255"/>
        <v>2.2291787508651146</v>
      </c>
      <c r="AT474" s="389">
        <f t="shared" si="256"/>
        <v>2.16425121443215</v>
      </c>
      <c r="AU474" s="389">
        <f t="shared" si="256"/>
        <v>2.1012147712933498</v>
      </c>
      <c r="AV474" s="389">
        <f t="shared" si="256"/>
        <v>2.0400143410615046</v>
      </c>
      <c r="AW474" s="389">
        <f t="shared" si="256"/>
        <v>1.9805964476325288</v>
      </c>
      <c r="AX474" s="389">
        <f t="shared" si="256"/>
        <v>1.9229091724587657</v>
      </c>
      <c r="AY474" s="389">
        <f t="shared" si="256"/>
        <v>1.8669021091832678</v>
      </c>
      <c r="AZ474" s="389">
        <f t="shared" si="256"/>
        <v>1.8125263195954056</v>
      </c>
      <c r="BA474" s="389">
        <f t="shared" si="256"/>
        <v>1.7597342908693259</v>
      </c>
      <c r="BB474" s="389">
        <f t="shared" si="256"/>
        <v>1.7084798940478891</v>
      </c>
      <c r="BC474" s="389">
        <f t="shared" si="256"/>
        <v>1.6587183437358151</v>
      </c>
      <c r="BD474" s="389">
        <f t="shared" si="257"/>
        <v>1.6104061589668108</v>
      </c>
      <c r="BE474" s="389">
        <f t="shared" si="257"/>
        <v>1.5635011252104958</v>
      </c>
      <c r="BF474" s="389">
        <f t="shared" si="257"/>
        <v>1.517962257485918</v>
      </c>
      <c r="BG474" s="389">
        <f t="shared" si="257"/>
        <v>1.4737497645494353</v>
      </c>
      <c r="BH474" s="389">
        <f t="shared" si="257"/>
        <v>1.4308250141256653</v>
      </c>
      <c r="BI474" s="389">
        <f t="shared" si="257"/>
        <v>1.3891504991511314</v>
      </c>
      <c r="BJ474" s="389">
        <f t="shared" si="257"/>
        <v>1.3486898050010985</v>
      </c>
      <c r="BK474" s="390">
        <f t="shared" si="238"/>
        <v>36.239800129849542</v>
      </c>
    </row>
    <row r="475" spans="31:63" x14ac:dyDescent="0.3">
      <c r="AE475" s="367">
        <f t="shared" si="239"/>
        <v>2268000000</v>
      </c>
      <c r="AF475" s="158">
        <f t="shared" si="240"/>
        <v>2700</v>
      </c>
      <c r="AG475" s="41">
        <v>108</v>
      </c>
      <c r="AH475" s="41" t="s">
        <v>376</v>
      </c>
      <c r="AI475" s="362">
        <f t="shared" si="246"/>
        <v>30</v>
      </c>
      <c r="AJ475" s="370">
        <f t="shared" si="247"/>
        <v>27</v>
      </c>
      <c r="AK475" s="232">
        <f t="shared" si="248"/>
        <v>0.39750000000000002</v>
      </c>
      <c r="AL475" s="433">
        <f t="shared" si="249"/>
        <v>0.159</v>
      </c>
      <c r="AM475" s="224">
        <f t="shared" si="250"/>
        <v>1.5600000000000002E-3</v>
      </c>
      <c r="AN475" s="368">
        <f t="shared" si="251"/>
        <v>5.5650000000000005E-2</v>
      </c>
      <c r="AO475" s="369">
        <f t="shared" si="252"/>
        <v>2.3077257367928001</v>
      </c>
      <c r="AQ475" s="388">
        <f t="shared" si="237"/>
        <v>2.3649357367928001</v>
      </c>
      <c r="AR475" s="389">
        <f t="shared" si="255"/>
        <v>2.2960541133910679</v>
      </c>
      <c r="AS475" s="389">
        <f t="shared" si="255"/>
        <v>2.2291787508651146</v>
      </c>
      <c r="AT475" s="389">
        <f t="shared" si="256"/>
        <v>2.16425121443215</v>
      </c>
      <c r="AU475" s="389">
        <f t="shared" si="256"/>
        <v>2.1012147712933498</v>
      </c>
      <c r="AV475" s="389">
        <f t="shared" si="256"/>
        <v>2.0400143410615046</v>
      </c>
      <c r="AW475" s="389">
        <f t="shared" si="256"/>
        <v>1.9805964476325288</v>
      </c>
      <c r="AX475" s="389">
        <f t="shared" si="256"/>
        <v>1.9229091724587657</v>
      </c>
      <c r="AY475" s="389">
        <f t="shared" si="256"/>
        <v>1.8669021091832678</v>
      </c>
      <c r="AZ475" s="389">
        <f t="shared" si="256"/>
        <v>1.8125263195954056</v>
      </c>
      <c r="BA475" s="389">
        <f t="shared" si="256"/>
        <v>1.7597342908693259</v>
      </c>
      <c r="BB475" s="389">
        <f t="shared" si="256"/>
        <v>1.7084798940478891</v>
      </c>
      <c r="BC475" s="389">
        <f t="shared" si="256"/>
        <v>1.6587183437358151</v>
      </c>
      <c r="BD475" s="389">
        <f t="shared" si="257"/>
        <v>1.6104061589668108</v>
      </c>
      <c r="BE475" s="389">
        <f t="shared" si="257"/>
        <v>1.5635011252104958</v>
      </c>
      <c r="BF475" s="389">
        <f t="shared" si="257"/>
        <v>1.517962257485918</v>
      </c>
      <c r="BG475" s="389">
        <f t="shared" si="257"/>
        <v>1.4737497645494353</v>
      </c>
      <c r="BH475" s="389">
        <f t="shared" si="257"/>
        <v>1.4308250141256653</v>
      </c>
      <c r="BI475" s="389">
        <f t="shared" si="257"/>
        <v>1.3891504991511314</v>
      </c>
      <c r="BJ475" s="389">
        <f t="shared" si="257"/>
        <v>1.3486898050010985</v>
      </c>
      <c r="BK475" s="390">
        <f t="shared" si="238"/>
        <v>36.239800129849542</v>
      </c>
    </row>
    <row r="476" spans="31:63" x14ac:dyDescent="0.3">
      <c r="AE476" s="367">
        <f t="shared" si="239"/>
        <v>2289000000</v>
      </c>
      <c r="AF476" s="158">
        <f t="shared" si="240"/>
        <v>2725</v>
      </c>
      <c r="AG476" s="41">
        <v>109</v>
      </c>
      <c r="AH476" s="41" t="s">
        <v>376</v>
      </c>
      <c r="AI476" s="362">
        <f t="shared" si="246"/>
        <v>30</v>
      </c>
      <c r="AJ476" s="370">
        <f t="shared" si="247"/>
        <v>27</v>
      </c>
      <c r="AK476" s="232">
        <f t="shared" si="248"/>
        <v>0.39750000000000002</v>
      </c>
      <c r="AL476" s="433">
        <f t="shared" si="249"/>
        <v>0.159</v>
      </c>
      <c r="AM476" s="224">
        <f t="shared" si="250"/>
        <v>1.5600000000000002E-3</v>
      </c>
      <c r="AN476" s="368">
        <f t="shared" si="251"/>
        <v>5.5650000000000005E-2</v>
      </c>
      <c r="AO476" s="369">
        <f t="shared" si="252"/>
        <v>2.3077257367928001</v>
      </c>
      <c r="AQ476" s="388">
        <f t="shared" si="237"/>
        <v>2.3649357367928001</v>
      </c>
      <c r="AR476" s="389">
        <f t="shared" si="255"/>
        <v>2.2960541133910679</v>
      </c>
      <c r="AS476" s="389">
        <f t="shared" si="255"/>
        <v>2.2291787508651146</v>
      </c>
      <c r="AT476" s="389">
        <f t="shared" si="256"/>
        <v>2.16425121443215</v>
      </c>
      <c r="AU476" s="389">
        <f t="shared" si="256"/>
        <v>2.1012147712933498</v>
      </c>
      <c r="AV476" s="389">
        <f t="shared" si="256"/>
        <v>2.0400143410615046</v>
      </c>
      <c r="AW476" s="389">
        <f t="shared" si="256"/>
        <v>1.9805964476325288</v>
      </c>
      <c r="AX476" s="389">
        <f t="shared" si="256"/>
        <v>1.9229091724587657</v>
      </c>
      <c r="AY476" s="389">
        <f t="shared" si="256"/>
        <v>1.8669021091832678</v>
      </c>
      <c r="AZ476" s="389">
        <f t="shared" si="256"/>
        <v>1.8125263195954056</v>
      </c>
      <c r="BA476" s="389">
        <f t="shared" si="256"/>
        <v>1.7597342908693259</v>
      </c>
      <c r="BB476" s="389">
        <f t="shared" si="256"/>
        <v>1.7084798940478891</v>
      </c>
      <c r="BC476" s="389">
        <f t="shared" si="256"/>
        <v>1.6587183437358151</v>
      </c>
      <c r="BD476" s="389">
        <f t="shared" si="257"/>
        <v>1.6104061589668108</v>
      </c>
      <c r="BE476" s="389">
        <f t="shared" si="257"/>
        <v>1.5635011252104958</v>
      </c>
      <c r="BF476" s="389">
        <f t="shared" si="257"/>
        <v>1.517962257485918</v>
      </c>
      <c r="BG476" s="389">
        <f t="shared" si="257"/>
        <v>1.4737497645494353</v>
      </c>
      <c r="BH476" s="389">
        <f t="shared" si="257"/>
        <v>1.4308250141256653</v>
      </c>
      <c r="BI476" s="389">
        <f t="shared" si="257"/>
        <v>1.3891504991511314</v>
      </c>
      <c r="BJ476" s="389">
        <f t="shared" si="257"/>
        <v>1.3486898050010985</v>
      </c>
      <c r="BK476" s="390">
        <f t="shared" si="238"/>
        <v>36.239800129849542</v>
      </c>
    </row>
    <row r="477" spans="31:63" x14ac:dyDescent="0.3">
      <c r="AE477" s="367">
        <f t="shared" si="239"/>
        <v>2310000000</v>
      </c>
      <c r="AF477" s="158">
        <f t="shared" si="240"/>
        <v>2750</v>
      </c>
      <c r="AG477" s="41">
        <v>110</v>
      </c>
      <c r="AH477" s="41" t="s">
        <v>376</v>
      </c>
      <c r="AI477" s="362">
        <f t="shared" si="246"/>
        <v>30</v>
      </c>
      <c r="AJ477" s="370">
        <f t="shared" si="247"/>
        <v>27</v>
      </c>
      <c r="AK477" s="232">
        <f t="shared" si="248"/>
        <v>0.39750000000000002</v>
      </c>
      <c r="AL477" s="433">
        <f t="shared" si="249"/>
        <v>0.159</v>
      </c>
      <c r="AM477" s="224">
        <f t="shared" si="250"/>
        <v>1.5600000000000002E-3</v>
      </c>
      <c r="AN477" s="368">
        <f t="shared" si="251"/>
        <v>5.5650000000000005E-2</v>
      </c>
      <c r="AO477" s="369">
        <f t="shared" si="252"/>
        <v>2.3077257367928001</v>
      </c>
      <c r="AQ477" s="388">
        <f t="shared" si="237"/>
        <v>2.3649357367928001</v>
      </c>
      <c r="AR477" s="389">
        <f t="shared" si="255"/>
        <v>2.2960541133910679</v>
      </c>
      <c r="AS477" s="389">
        <f t="shared" si="255"/>
        <v>2.2291787508651146</v>
      </c>
      <c r="AT477" s="389">
        <f t="shared" si="256"/>
        <v>2.16425121443215</v>
      </c>
      <c r="AU477" s="389">
        <f t="shared" si="256"/>
        <v>2.1012147712933498</v>
      </c>
      <c r="AV477" s="389">
        <f t="shared" si="256"/>
        <v>2.0400143410615046</v>
      </c>
      <c r="AW477" s="389">
        <f t="shared" si="256"/>
        <v>1.9805964476325288</v>
      </c>
      <c r="AX477" s="389">
        <f t="shared" si="256"/>
        <v>1.9229091724587657</v>
      </c>
      <c r="AY477" s="389">
        <f t="shared" si="256"/>
        <v>1.8669021091832678</v>
      </c>
      <c r="AZ477" s="389">
        <f t="shared" si="256"/>
        <v>1.8125263195954056</v>
      </c>
      <c r="BA477" s="389">
        <f t="shared" si="256"/>
        <v>1.7597342908693259</v>
      </c>
      <c r="BB477" s="389">
        <f t="shared" si="256"/>
        <v>1.7084798940478891</v>
      </c>
      <c r="BC477" s="389">
        <f t="shared" si="256"/>
        <v>1.6587183437358151</v>
      </c>
      <c r="BD477" s="389">
        <f t="shared" si="257"/>
        <v>1.6104061589668108</v>
      </c>
      <c r="BE477" s="389">
        <f t="shared" si="257"/>
        <v>1.5635011252104958</v>
      </c>
      <c r="BF477" s="389">
        <f t="shared" si="257"/>
        <v>1.517962257485918</v>
      </c>
      <c r="BG477" s="389">
        <f t="shared" si="257"/>
        <v>1.4737497645494353</v>
      </c>
      <c r="BH477" s="389">
        <f t="shared" si="257"/>
        <v>1.4308250141256653</v>
      </c>
      <c r="BI477" s="389">
        <f t="shared" si="257"/>
        <v>1.3891504991511314</v>
      </c>
      <c r="BJ477" s="389">
        <f t="shared" si="257"/>
        <v>1.3486898050010985</v>
      </c>
      <c r="BK477" s="390">
        <f t="shared" si="238"/>
        <v>36.239800129849542</v>
      </c>
    </row>
    <row r="478" spans="31:63" x14ac:dyDescent="0.3">
      <c r="AE478" s="367">
        <f t="shared" si="239"/>
        <v>2331000000</v>
      </c>
      <c r="AF478" s="158">
        <f t="shared" si="240"/>
        <v>2775</v>
      </c>
      <c r="AG478" s="41">
        <v>111</v>
      </c>
      <c r="AH478" s="41" t="s">
        <v>376</v>
      </c>
      <c r="AI478" s="362">
        <f t="shared" si="246"/>
        <v>30</v>
      </c>
      <c r="AJ478" s="370">
        <f t="shared" si="247"/>
        <v>27</v>
      </c>
      <c r="AK478" s="232">
        <f t="shared" si="248"/>
        <v>0.39750000000000002</v>
      </c>
      <c r="AL478" s="433">
        <f t="shared" si="249"/>
        <v>0.159</v>
      </c>
      <c r="AM478" s="224">
        <f t="shared" si="250"/>
        <v>1.5600000000000002E-3</v>
      </c>
      <c r="AN478" s="368">
        <f t="shared" si="251"/>
        <v>5.5650000000000005E-2</v>
      </c>
      <c r="AO478" s="369">
        <f t="shared" si="252"/>
        <v>2.3077257367928001</v>
      </c>
      <c r="AQ478" s="388">
        <f t="shared" si="237"/>
        <v>2.3649357367928001</v>
      </c>
      <c r="AR478" s="389">
        <f t="shared" si="255"/>
        <v>2.2960541133910679</v>
      </c>
      <c r="AS478" s="389">
        <f t="shared" si="255"/>
        <v>2.2291787508651146</v>
      </c>
      <c r="AT478" s="389">
        <f t="shared" ref="AT478:BC487" si="258">$AQ478/POWER(1+($B$10/100),AT$366-2024)</f>
        <v>2.16425121443215</v>
      </c>
      <c r="AU478" s="389">
        <f t="shared" si="258"/>
        <v>2.1012147712933498</v>
      </c>
      <c r="AV478" s="389">
        <f t="shared" si="258"/>
        <v>2.0400143410615046</v>
      </c>
      <c r="AW478" s="389">
        <f t="shared" si="258"/>
        <v>1.9805964476325288</v>
      </c>
      <c r="AX478" s="389">
        <f t="shared" si="258"/>
        <v>1.9229091724587657</v>
      </c>
      <c r="AY478" s="389">
        <f t="shared" si="258"/>
        <v>1.8669021091832678</v>
      </c>
      <c r="AZ478" s="389">
        <f t="shared" si="258"/>
        <v>1.8125263195954056</v>
      </c>
      <c r="BA478" s="389">
        <f t="shared" si="258"/>
        <v>1.7597342908693259</v>
      </c>
      <c r="BB478" s="389">
        <f t="shared" si="258"/>
        <v>1.7084798940478891</v>
      </c>
      <c r="BC478" s="389">
        <f t="shared" si="258"/>
        <v>1.6587183437358151</v>
      </c>
      <c r="BD478" s="389">
        <f t="shared" ref="BD478:BJ487" si="259">$AQ478/POWER(1+($B$10/100),BD$366-2024)</f>
        <v>1.6104061589668108</v>
      </c>
      <c r="BE478" s="389">
        <f t="shared" si="259"/>
        <v>1.5635011252104958</v>
      </c>
      <c r="BF478" s="389">
        <f t="shared" si="259"/>
        <v>1.517962257485918</v>
      </c>
      <c r="BG478" s="389">
        <f t="shared" si="259"/>
        <v>1.4737497645494353</v>
      </c>
      <c r="BH478" s="389">
        <f t="shared" si="259"/>
        <v>1.4308250141256653</v>
      </c>
      <c r="BI478" s="389">
        <f t="shared" si="259"/>
        <v>1.3891504991511314</v>
      </c>
      <c r="BJ478" s="389">
        <f t="shared" si="259"/>
        <v>1.3486898050010985</v>
      </c>
      <c r="BK478" s="390">
        <f t="shared" si="238"/>
        <v>36.239800129849542</v>
      </c>
    </row>
    <row r="479" spans="31:63" x14ac:dyDescent="0.3">
      <c r="AE479" s="367">
        <f t="shared" si="239"/>
        <v>2352000000</v>
      </c>
      <c r="AF479" s="158">
        <f t="shared" si="240"/>
        <v>2800</v>
      </c>
      <c r="AG479" s="41">
        <v>112</v>
      </c>
      <c r="AH479" s="41" t="s">
        <v>376</v>
      </c>
      <c r="AI479" s="362">
        <f t="shared" si="246"/>
        <v>30</v>
      </c>
      <c r="AJ479" s="370">
        <f t="shared" si="247"/>
        <v>27</v>
      </c>
      <c r="AK479" s="232">
        <f t="shared" si="248"/>
        <v>0.39750000000000002</v>
      </c>
      <c r="AL479" s="433">
        <f t="shared" si="249"/>
        <v>0.159</v>
      </c>
      <c r="AM479" s="224">
        <f t="shared" si="250"/>
        <v>1.5600000000000002E-3</v>
      </c>
      <c r="AN479" s="368">
        <f t="shared" si="251"/>
        <v>5.5650000000000005E-2</v>
      </c>
      <c r="AO479" s="369">
        <f t="shared" si="252"/>
        <v>2.3077257367928001</v>
      </c>
      <c r="AQ479" s="388">
        <f t="shared" si="237"/>
        <v>2.3649357367928001</v>
      </c>
      <c r="AR479" s="389">
        <f t="shared" si="255"/>
        <v>2.2960541133910679</v>
      </c>
      <c r="AS479" s="389">
        <f t="shared" si="255"/>
        <v>2.2291787508651146</v>
      </c>
      <c r="AT479" s="389">
        <f t="shared" si="258"/>
        <v>2.16425121443215</v>
      </c>
      <c r="AU479" s="389">
        <f t="shared" si="258"/>
        <v>2.1012147712933498</v>
      </c>
      <c r="AV479" s="389">
        <f t="shared" si="258"/>
        <v>2.0400143410615046</v>
      </c>
      <c r="AW479" s="389">
        <f t="shared" si="258"/>
        <v>1.9805964476325288</v>
      </c>
      <c r="AX479" s="389">
        <f t="shared" si="258"/>
        <v>1.9229091724587657</v>
      </c>
      <c r="AY479" s="389">
        <f t="shared" si="258"/>
        <v>1.8669021091832678</v>
      </c>
      <c r="AZ479" s="389">
        <f t="shared" si="258"/>
        <v>1.8125263195954056</v>
      </c>
      <c r="BA479" s="389">
        <f t="shared" si="258"/>
        <v>1.7597342908693259</v>
      </c>
      <c r="BB479" s="389">
        <f t="shared" si="258"/>
        <v>1.7084798940478891</v>
      </c>
      <c r="BC479" s="389">
        <f t="shared" si="258"/>
        <v>1.6587183437358151</v>
      </c>
      <c r="BD479" s="389">
        <f t="shared" si="259"/>
        <v>1.6104061589668108</v>
      </c>
      <c r="BE479" s="389">
        <f t="shared" si="259"/>
        <v>1.5635011252104958</v>
      </c>
      <c r="BF479" s="389">
        <f t="shared" si="259"/>
        <v>1.517962257485918</v>
      </c>
      <c r="BG479" s="389">
        <f t="shared" si="259"/>
        <v>1.4737497645494353</v>
      </c>
      <c r="BH479" s="389">
        <f t="shared" si="259"/>
        <v>1.4308250141256653</v>
      </c>
      <c r="BI479" s="389">
        <f t="shared" si="259"/>
        <v>1.3891504991511314</v>
      </c>
      <c r="BJ479" s="389">
        <f t="shared" si="259"/>
        <v>1.3486898050010985</v>
      </c>
      <c r="BK479" s="390">
        <f t="shared" si="238"/>
        <v>36.239800129849542</v>
      </c>
    </row>
    <row r="480" spans="31:63" x14ac:dyDescent="0.3">
      <c r="AE480" s="367">
        <f t="shared" si="239"/>
        <v>2373000000</v>
      </c>
      <c r="AF480" s="158">
        <f t="shared" si="240"/>
        <v>2825</v>
      </c>
      <c r="AG480" s="41">
        <v>113</v>
      </c>
      <c r="AH480" s="41" t="s">
        <v>376</v>
      </c>
      <c r="AI480" s="362">
        <f t="shared" si="246"/>
        <v>30</v>
      </c>
      <c r="AJ480" s="370">
        <f t="shared" si="247"/>
        <v>27</v>
      </c>
      <c r="AK480" s="232">
        <f t="shared" si="248"/>
        <v>0.39750000000000002</v>
      </c>
      <c r="AL480" s="433">
        <f t="shared" si="249"/>
        <v>0.159</v>
      </c>
      <c r="AM480" s="224">
        <f t="shared" si="250"/>
        <v>1.5600000000000002E-3</v>
      </c>
      <c r="AN480" s="368">
        <f t="shared" si="251"/>
        <v>5.5650000000000005E-2</v>
      </c>
      <c r="AO480" s="369">
        <f t="shared" si="252"/>
        <v>2.3077257367928001</v>
      </c>
      <c r="AQ480" s="388">
        <f t="shared" si="237"/>
        <v>2.3649357367928001</v>
      </c>
      <c r="AR480" s="389">
        <f t="shared" si="255"/>
        <v>2.2960541133910679</v>
      </c>
      <c r="AS480" s="389">
        <f t="shared" si="255"/>
        <v>2.2291787508651146</v>
      </c>
      <c r="AT480" s="389">
        <f t="shared" si="258"/>
        <v>2.16425121443215</v>
      </c>
      <c r="AU480" s="389">
        <f t="shared" si="258"/>
        <v>2.1012147712933498</v>
      </c>
      <c r="AV480" s="389">
        <f t="shared" si="258"/>
        <v>2.0400143410615046</v>
      </c>
      <c r="AW480" s="389">
        <f t="shared" si="258"/>
        <v>1.9805964476325288</v>
      </c>
      <c r="AX480" s="389">
        <f t="shared" si="258"/>
        <v>1.9229091724587657</v>
      </c>
      <c r="AY480" s="389">
        <f t="shared" si="258"/>
        <v>1.8669021091832678</v>
      </c>
      <c r="AZ480" s="389">
        <f t="shared" si="258"/>
        <v>1.8125263195954056</v>
      </c>
      <c r="BA480" s="389">
        <f t="shared" si="258"/>
        <v>1.7597342908693259</v>
      </c>
      <c r="BB480" s="389">
        <f t="shared" si="258"/>
        <v>1.7084798940478891</v>
      </c>
      <c r="BC480" s="389">
        <f t="shared" si="258"/>
        <v>1.6587183437358151</v>
      </c>
      <c r="BD480" s="389">
        <f t="shared" si="259"/>
        <v>1.6104061589668108</v>
      </c>
      <c r="BE480" s="389">
        <f t="shared" si="259"/>
        <v>1.5635011252104958</v>
      </c>
      <c r="BF480" s="389">
        <f t="shared" si="259"/>
        <v>1.517962257485918</v>
      </c>
      <c r="BG480" s="389">
        <f t="shared" si="259"/>
        <v>1.4737497645494353</v>
      </c>
      <c r="BH480" s="389">
        <f t="shared" si="259"/>
        <v>1.4308250141256653</v>
      </c>
      <c r="BI480" s="389">
        <f t="shared" si="259"/>
        <v>1.3891504991511314</v>
      </c>
      <c r="BJ480" s="389">
        <f t="shared" si="259"/>
        <v>1.3486898050010985</v>
      </c>
      <c r="BK480" s="390">
        <f t="shared" si="238"/>
        <v>36.239800129849542</v>
      </c>
    </row>
    <row r="481" spans="31:63" x14ac:dyDescent="0.3">
      <c r="AE481" s="367">
        <f t="shared" si="239"/>
        <v>2394000000</v>
      </c>
      <c r="AF481" s="158">
        <f t="shared" si="240"/>
        <v>2850</v>
      </c>
      <c r="AG481" s="41">
        <v>114</v>
      </c>
      <c r="AH481" s="41" t="s">
        <v>376</v>
      </c>
      <c r="AI481" s="362">
        <f t="shared" si="246"/>
        <v>30</v>
      </c>
      <c r="AJ481" s="370">
        <f t="shared" si="247"/>
        <v>27</v>
      </c>
      <c r="AK481" s="232">
        <f t="shared" si="248"/>
        <v>0.39750000000000002</v>
      </c>
      <c r="AL481" s="433">
        <f t="shared" si="249"/>
        <v>0.159</v>
      </c>
      <c r="AM481" s="224">
        <f t="shared" si="250"/>
        <v>1.5600000000000002E-3</v>
      </c>
      <c r="AN481" s="368">
        <f t="shared" si="251"/>
        <v>5.5650000000000005E-2</v>
      </c>
      <c r="AO481" s="369">
        <f t="shared" si="252"/>
        <v>2.3077257367928001</v>
      </c>
      <c r="AQ481" s="388">
        <f t="shared" si="237"/>
        <v>2.3649357367928001</v>
      </c>
      <c r="AR481" s="389">
        <f t="shared" si="255"/>
        <v>2.2960541133910679</v>
      </c>
      <c r="AS481" s="389">
        <f t="shared" si="255"/>
        <v>2.2291787508651146</v>
      </c>
      <c r="AT481" s="389">
        <f t="shared" si="258"/>
        <v>2.16425121443215</v>
      </c>
      <c r="AU481" s="389">
        <f t="shared" si="258"/>
        <v>2.1012147712933498</v>
      </c>
      <c r="AV481" s="389">
        <f t="shared" si="258"/>
        <v>2.0400143410615046</v>
      </c>
      <c r="AW481" s="389">
        <f t="shared" si="258"/>
        <v>1.9805964476325288</v>
      </c>
      <c r="AX481" s="389">
        <f t="shared" si="258"/>
        <v>1.9229091724587657</v>
      </c>
      <c r="AY481" s="389">
        <f t="shared" si="258"/>
        <v>1.8669021091832678</v>
      </c>
      <c r="AZ481" s="389">
        <f t="shared" si="258"/>
        <v>1.8125263195954056</v>
      </c>
      <c r="BA481" s="389">
        <f t="shared" si="258"/>
        <v>1.7597342908693259</v>
      </c>
      <c r="BB481" s="389">
        <f t="shared" si="258"/>
        <v>1.7084798940478891</v>
      </c>
      <c r="BC481" s="389">
        <f t="shared" si="258"/>
        <v>1.6587183437358151</v>
      </c>
      <c r="BD481" s="389">
        <f t="shared" si="259"/>
        <v>1.6104061589668108</v>
      </c>
      <c r="BE481" s="389">
        <f t="shared" si="259"/>
        <v>1.5635011252104958</v>
      </c>
      <c r="BF481" s="389">
        <f t="shared" si="259"/>
        <v>1.517962257485918</v>
      </c>
      <c r="BG481" s="389">
        <f t="shared" si="259"/>
        <v>1.4737497645494353</v>
      </c>
      <c r="BH481" s="389">
        <f t="shared" si="259"/>
        <v>1.4308250141256653</v>
      </c>
      <c r="BI481" s="389">
        <f t="shared" si="259"/>
        <v>1.3891504991511314</v>
      </c>
      <c r="BJ481" s="389">
        <f t="shared" si="259"/>
        <v>1.3486898050010985</v>
      </c>
      <c r="BK481" s="390">
        <f t="shared" si="238"/>
        <v>36.239800129849542</v>
      </c>
    </row>
    <row r="482" spans="31:63" x14ac:dyDescent="0.3">
      <c r="AE482" s="367">
        <f t="shared" si="239"/>
        <v>2415000000</v>
      </c>
      <c r="AF482" s="158">
        <f t="shared" si="240"/>
        <v>2875</v>
      </c>
      <c r="AG482" s="41">
        <v>115</v>
      </c>
      <c r="AH482" s="41" t="s">
        <v>376</v>
      </c>
      <c r="AI482" s="362">
        <f t="shared" si="246"/>
        <v>30</v>
      </c>
      <c r="AJ482" s="370">
        <f t="shared" si="247"/>
        <v>27</v>
      </c>
      <c r="AK482" s="232">
        <f t="shared" si="248"/>
        <v>0.39750000000000002</v>
      </c>
      <c r="AL482" s="433">
        <f t="shared" si="249"/>
        <v>0.159</v>
      </c>
      <c r="AM482" s="224">
        <f t="shared" si="250"/>
        <v>1.5600000000000002E-3</v>
      </c>
      <c r="AN482" s="368">
        <f t="shared" si="251"/>
        <v>5.5650000000000005E-2</v>
      </c>
      <c r="AO482" s="369">
        <f t="shared" si="252"/>
        <v>2.3077257367928001</v>
      </c>
      <c r="AQ482" s="388">
        <f t="shared" si="237"/>
        <v>2.3649357367928001</v>
      </c>
      <c r="AR482" s="389">
        <f t="shared" si="255"/>
        <v>2.2960541133910679</v>
      </c>
      <c r="AS482" s="389">
        <f t="shared" si="255"/>
        <v>2.2291787508651146</v>
      </c>
      <c r="AT482" s="389">
        <f t="shared" si="258"/>
        <v>2.16425121443215</v>
      </c>
      <c r="AU482" s="389">
        <f t="shared" si="258"/>
        <v>2.1012147712933498</v>
      </c>
      <c r="AV482" s="389">
        <f t="shared" si="258"/>
        <v>2.0400143410615046</v>
      </c>
      <c r="AW482" s="389">
        <f t="shared" si="258"/>
        <v>1.9805964476325288</v>
      </c>
      <c r="AX482" s="389">
        <f t="shared" si="258"/>
        <v>1.9229091724587657</v>
      </c>
      <c r="AY482" s="389">
        <f t="shared" si="258"/>
        <v>1.8669021091832678</v>
      </c>
      <c r="AZ482" s="389">
        <f t="shared" si="258"/>
        <v>1.8125263195954056</v>
      </c>
      <c r="BA482" s="389">
        <f t="shared" si="258"/>
        <v>1.7597342908693259</v>
      </c>
      <c r="BB482" s="389">
        <f t="shared" si="258"/>
        <v>1.7084798940478891</v>
      </c>
      <c r="BC482" s="389">
        <f t="shared" si="258"/>
        <v>1.6587183437358151</v>
      </c>
      <c r="BD482" s="389">
        <f t="shared" si="259"/>
        <v>1.6104061589668108</v>
      </c>
      <c r="BE482" s="389">
        <f t="shared" si="259"/>
        <v>1.5635011252104958</v>
      </c>
      <c r="BF482" s="389">
        <f t="shared" si="259"/>
        <v>1.517962257485918</v>
      </c>
      <c r="BG482" s="389">
        <f t="shared" si="259"/>
        <v>1.4737497645494353</v>
      </c>
      <c r="BH482" s="389">
        <f t="shared" si="259"/>
        <v>1.4308250141256653</v>
      </c>
      <c r="BI482" s="389">
        <f t="shared" si="259"/>
        <v>1.3891504991511314</v>
      </c>
      <c r="BJ482" s="389">
        <f t="shared" si="259"/>
        <v>1.3486898050010985</v>
      </c>
      <c r="BK482" s="390">
        <f t="shared" si="238"/>
        <v>36.239800129849542</v>
      </c>
    </row>
    <row r="483" spans="31:63" x14ac:dyDescent="0.3">
      <c r="AE483" s="367">
        <f t="shared" si="239"/>
        <v>2436000000</v>
      </c>
      <c r="AF483" s="158">
        <f t="shared" si="240"/>
        <v>2900</v>
      </c>
      <c r="AG483" s="41">
        <v>116</v>
      </c>
      <c r="AH483" s="41" t="s">
        <v>376</v>
      </c>
      <c r="AI483" s="362">
        <f t="shared" si="246"/>
        <v>30</v>
      </c>
      <c r="AJ483" s="370">
        <f t="shared" si="247"/>
        <v>27</v>
      </c>
      <c r="AK483" s="232">
        <f t="shared" si="248"/>
        <v>0.39750000000000002</v>
      </c>
      <c r="AL483" s="433">
        <f t="shared" si="249"/>
        <v>0.159</v>
      </c>
      <c r="AM483" s="224">
        <f t="shared" si="250"/>
        <v>1.5600000000000002E-3</v>
      </c>
      <c r="AN483" s="368">
        <f t="shared" si="251"/>
        <v>5.5650000000000005E-2</v>
      </c>
      <c r="AO483" s="369">
        <f t="shared" si="252"/>
        <v>2.3077257367928001</v>
      </c>
      <c r="AQ483" s="388">
        <f t="shared" si="237"/>
        <v>2.3649357367928001</v>
      </c>
      <c r="AR483" s="389">
        <f t="shared" si="255"/>
        <v>2.2960541133910679</v>
      </c>
      <c r="AS483" s="389">
        <f t="shared" si="255"/>
        <v>2.2291787508651146</v>
      </c>
      <c r="AT483" s="389">
        <f t="shared" si="258"/>
        <v>2.16425121443215</v>
      </c>
      <c r="AU483" s="389">
        <f t="shared" si="258"/>
        <v>2.1012147712933498</v>
      </c>
      <c r="AV483" s="389">
        <f t="shared" si="258"/>
        <v>2.0400143410615046</v>
      </c>
      <c r="AW483" s="389">
        <f t="shared" si="258"/>
        <v>1.9805964476325288</v>
      </c>
      <c r="AX483" s="389">
        <f t="shared" si="258"/>
        <v>1.9229091724587657</v>
      </c>
      <c r="AY483" s="389">
        <f t="shared" si="258"/>
        <v>1.8669021091832678</v>
      </c>
      <c r="AZ483" s="389">
        <f t="shared" si="258"/>
        <v>1.8125263195954056</v>
      </c>
      <c r="BA483" s="389">
        <f t="shared" si="258"/>
        <v>1.7597342908693259</v>
      </c>
      <c r="BB483" s="389">
        <f t="shared" si="258"/>
        <v>1.7084798940478891</v>
      </c>
      <c r="BC483" s="389">
        <f t="shared" si="258"/>
        <v>1.6587183437358151</v>
      </c>
      <c r="BD483" s="389">
        <f t="shared" si="259"/>
        <v>1.6104061589668108</v>
      </c>
      <c r="BE483" s="389">
        <f t="shared" si="259"/>
        <v>1.5635011252104958</v>
      </c>
      <c r="BF483" s="389">
        <f t="shared" si="259"/>
        <v>1.517962257485918</v>
      </c>
      <c r="BG483" s="389">
        <f t="shared" si="259"/>
        <v>1.4737497645494353</v>
      </c>
      <c r="BH483" s="389">
        <f t="shared" si="259"/>
        <v>1.4308250141256653</v>
      </c>
      <c r="BI483" s="389">
        <f t="shared" si="259"/>
        <v>1.3891504991511314</v>
      </c>
      <c r="BJ483" s="389">
        <f t="shared" si="259"/>
        <v>1.3486898050010985</v>
      </c>
      <c r="BK483" s="390">
        <f t="shared" si="238"/>
        <v>36.239800129849542</v>
      </c>
    </row>
    <row r="484" spans="31:63" x14ac:dyDescent="0.3">
      <c r="AE484" s="367">
        <f t="shared" si="239"/>
        <v>2457000000</v>
      </c>
      <c r="AF484" s="158">
        <f t="shared" si="240"/>
        <v>2925</v>
      </c>
      <c r="AG484" s="41">
        <v>117</v>
      </c>
      <c r="AH484" s="41" t="s">
        <v>376</v>
      </c>
      <c r="AI484" s="362">
        <f t="shared" si="246"/>
        <v>30</v>
      </c>
      <c r="AJ484" s="370">
        <f t="shared" si="247"/>
        <v>27</v>
      </c>
      <c r="AK484" s="232">
        <f t="shared" si="248"/>
        <v>0.39750000000000002</v>
      </c>
      <c r="AL484" s="433">
        <f t="shared" si="249"/>
        <v>0.159</v>
      </c>
      <c r="AM484" s="224">
        <f t="shared" si="250"/>
        <v>1.5600000000000002E-3</v>
      </c>
      <c r="AN484" s="368">
        <f t="shared" si="251"/>
        <v>5.5650000000000005E-2</v>
      </c>
      <c r="AO484" s="369">
        <f t="shared" si="252"/>
        <v>2.3077257367928001</v>
      </c>
      <c r="AQ484" s="388">
        <f t="shared" si="237"/>
        <v>2.3649357367928001</v>
      </c>
      <c r="AR484" s="389">
        <f t="shared" si="255"/>
        <v>2.2960541133910679</v>
      </c>
      <c r="AS484" s="389">
        <f t="shared" si="255"/>
        <v>2.2291787508651146</v>
      </c>
      <c r="AT484" s="389">
        <f t="shared" si="258"/>
        <v>2.16425121443215</v>
      </c>
      <c r="AU484" s="389">
        <f t="shared" si="258"/>
        <v>2.1012147712933498</v>
      </c>
      <c r="AV484" s="389">
        <f t="shared" si="258"/>
        <v>2.0400143410615046</v>
      </c>
      <c r="AW484" s="389">
        <f t="shared" si="258"/>
        <v>1.9805964476325288</v>
      </c>
      <c r="AX484" s="389">
        <f t="shared" si="258"/>
        <v>1.9229091724587657</v>
      </c>
      <c r="AY484" s="389">
        <f t="shared" si="258"/>
        <v>1.8669021091832678</v>
      </c>
      <c r="AZ484" s="389">
        <f t="shared" si="258"/>
        <v>1.8125263195954056</v>
      </c>
      <c r="BA484" s="389">
        <f t="shared" si="258"/>
        <v>1.7597342908693259</v>
      </c>
      <c r="BB484" s="389">
        <f t="shared" si="258"/>
        <v>1.7084798940478891</v>
      </c>
      <c r="BC484" s="389">
        <f t="shared" si="258"/>
        <v>1.6587183437358151</v>
      </c>
      <c r="BD484" s="389">
        <f t="shared" si="259"/>
        <v>1.6104061589668108</v>
      </c>
      <c r="BE484" s="389">
        <f t="shared" si="259"/>
        <v>1.5635011252104958</v>
      </c>
      <c r="BF484" s="389">
        <f t="shared" si="259"/>
        <v>1.517962257485918</v>
      </c>
      <c r="BG484" s="389">
        <f t="shared" si="259"/>
        <v>1.4737497645494353</v>
      </c>
      <c r="BH484" s="389">
        <f t="shared" si="259"/>
        <v>1.4308250141256653</v>
      </c>
      <c r="BI484" s="389">
        <f t="shared" si="259"/>
        <v>1.3891504991511314</v>
      </c>
      <c r="BJ484" s="389">
        <f t="shared" si="259"/>
        <v>1.3486898050010985</v>
      </c>
      <c r="BK484" s="390">
        <f t="shared" si="238"/>
        <v>36.239800129849542</v>
      </c>
    </row>
    <row r="485" spans="31:63" x14ac:dyDescent="0.3">
      <c r="AE485" s="367">
        <f t="shared" si="239"/>
        <v>2478000000</v>
      </c>
      <c r="AF485" s="158">
        <f t="shared" si="240"/>
        <v>2950</v>
      </c>
      <c r="AG485" s="41">
        <v>118</v>
      </c>
      <c r="AH485" s="41" t="s">
        <v>376</v>
      </c>
      <c r="AI485" s="362">
        <f t="shared" si="246"/>
        <v>30</v>
      </c>
      <c r="AJ485" s="370">
        <f t="shared" si="247"/>
        <v>27</v>
      </c>
      <c r="AK485" s="232">
        <f t="shared" si="248"/>
        <v>0.39750000000000002</v>
      </c>
      <c r="AL485" s="433">
        <f t="shared" si="249"/>
        <v>0.159</v>
      </c>
      <c r="AM485" s="224">
        <f t="shared" si="250"/>
        <v>1.5600000000000002E-3</v>
      </c>
      <c r="AN485" s="368">
        <f t="shared" si="251"/>
        <v>5.5650000000000005E-2</v>
      </c>
      <c r="AO485" s="369">
        <f t="shared" si="252"/>
        <v>2.3077257367928001</v>
      </c>
      <c r="AQ485" s="388">
        <f t="shared" si="237"/>
        <v>2.3649357367928001</v>
      </c>
      <c r="AR485" s="389">
        <f t="shared" si="255"/>
        <v>2.2960541133910679</v>
      </c>
      <c r="AS485" s="389">
        <f t="shared" si="255"/>
        <v>2.2291787508651146</v>
      </c>
      <c r="AT485" s="389">
        <f t="shared" si="258"/>
        <v>2.16425121443215</v>
      </c>
      <c r="AU485" s="389">
        <f t="shared" si="258"/>
        <v>2.1012147712933498</v>
      </c>
      <c r="AV485" s="389">
        <f t="shared" si="258"/>
        <v>2.0400143410615046</v>
      </c>
      <c r="AW485" s="389">
        <f t="shared" si="258"/>
        <v>1.9805964476325288</v>
      </c>
      <c r="AX485" s="389">
        <f t="shared" si="258"/>
        <v>1.9229091724587657</v>
      </c>
      <c r="AY485" s="389">
        <f t="shared" si="258"/>
        <v>1.8669021091832678</v>
      </c>
      <c r="AZ485" s="389">
        <f t="shared" si="258"/>
        <v>1.8125263195954056</v>
      </c>
      <c r="BA485" s="389">
        <f t="shared" si="258"/>
        <v>1.7597342908693259</v>
      </c>
      <c r="BB485" s="389">
        <f t="shared" si="258"/>
        <v>1.7084798940478891</v>
      </c>
      <c r="BC485" s="389">
        <f t="shared" si="258"/>
        <v>1.6587183437358151</v>
      </c>
      <c r="BD485" s="389">
        <f t="shared" si="259"/>
        <v>1.6104061589668108</v>
      </c>
      <c r="BE485" s="389">
        <f t="shared" si="259"/>
        <v>1.5635011252104958</v>
      </c>
      <c r="BF485" s="389">
        <f t="shared" si="259"/>
        <v>1.517962257485918</v>
      </c>
      <c r="BG485" s="389">
        <f t="shared" si="259"/>
        <v>1.4737497645494353</v>
      </c>
      <c r="BH485" s="389">
        <f t="shared" si="259"/>
        <v>1.4308250141256653</v>
      </c>
      <c r="BI485" s="389">
        <f t="shared" si="259"/>
        <v>1.3891504991511314</v>
      </c>
      <c r="BJ485" s="389">
        <f t="shared" si="259"/>
        <v>1.3486898050010985</v>
      </c>
      <c r="BK485" s="390">
        <f t="shared" si="238"/>
        <v>36.239800129849542</v>
      </c>
    </row>
    <row r="486" spans="31:63" x14ac:dyDescent="0.3">
      <c r="AE486" s="367">
        <f t="shared" si="239"/>
        <v>2499000000</v>
      </c>
      <c r="AF486" s="158">
        <f t="shared" si="240"/>
        <v>2975</v>
      </c>
      <c r="AG486" s="41">
        <v>119</v>
      </c>
      <c r="AH486" s="41" t="s">
        <v>376</v>
      </c>
      <c r="AI486" s="362">
        <f t="shared" si="246"/>
        <v>30</v>
      </c>
      <c r="AJ486" s="370">
        <f t="shared" si="247"/>
        <v>27</v>
      </c>
      <c r="AK486" s="232">
        <f t="shared" si="248"/>
        <v>0.39750000000000002</v>
      </c>
      <c r="AL486" s="433">
        <f t="shared" si="249"/>
        <v>0.159</v>
      </c>
      <c r="AM486" s="224">
        <f t="shared" si="250"/>
        <v>1.5600000000000002E-3</v>
      </c>
      <c r="AN486" s="368">
        <f t="shared" si="251"/>
        <v>5.5650000000000005E-2</v>
      </c>
      <c r="AO486" s="369">
        <f t="shared" si="252"/>
        <v>2.3077257367928001</v>
      </c>
      <c r="AQ486" s="388">
        <f t="shared" si="237"/>
        <v>2.3649357367928001</v>
      </c>
      <c r="AR486" s="389">
        <f t="shared" si="255"/>
        <v>2.2960541133910679</v>
      </c>
      <c r="AS486" s="389">
        <f t="shared" si="255"/>
        <v>2.2291787508651146</v>
      </c>
      <c r="AT486" s="389">
        <f t="shared" si="258"/>
        <v>2.16425121443215</v>
      </c>
      <c r="AU486" s="389">
        <f t="shared" si="258"/>
        <v>2.1012147712933498</v>
      </c>
      <c r="AV486" s="389">
        <f t="shared" si="258"/>
        <v>2.0400143410615046</v>
      </c>
      <c r="AW486" s="389">
        <f t="shared" si="258"/>
        <v>1.9805964476325288</v>
      </c>
      <c r="AX486" s="389">
        <f t="shared" si="258"/>
        <v>1.9229091724587657</v>
      </c>
      <c r="AY486" s="389">
        <f t="shared" si="258"/>
        <v>1.8669021091832678</v>
      </c>
      <c r="AZ486" s="389">
        <f t="shared" si="258"/>
        <v>1.8125263195954056</v>
      </c>
      <c r="BA486" s="389">
        <f t="shared" si="258"/>
        <v>1.7597342908693259</v>
      </c>
      <c r="BB486" s="389">
        <f t="shared" si="258"/>
        <v>1.7084798940478891</v>
      </c>
      <c r="BC486" s="389">
        <f t="shared" si="258"/>
        <v>1.6587183437358151</v>
      </c>
      <c r="BD486" s="389">
        <f t="shared" si="259"/>
        <v>1.6104061589668108</v>
      </c>
      <c r="BE486" s="389">
        <f t="shared" si="259"/>
        <v>1.5635011252104958</v>
      </c>
      <c r="BF486" s="389">
        <f t="shared" si="259"/>
        <v>1.517962257485918</v>
      </c>
      <c r="BG486" s="389">
        <f t="shared" si="259"/>
        <v>1.4737497645494353</v>
      </c>
      <c r="BH486" s="389">
        <f t="shared" si="259"/>
        <v>1.4308250141256653</v>
      </c>
      <c r="BI486" s="389">
        <f t="shared" si="259"/>
        <v>1.3891504991511314</v>
      </c>
      <c r="BJ486" s="389">
        <f t="shared" si="259"/>
        <v>1.3486898050010985</v>
      </c>
      <c r="BK486" s="390">
        <f t="shared" si="238"/>
        <v>36.239800129849542</v>
      </c>
    </row>
    <row r="487" spans="31:63" x14ac:dyDescent="0.3">
      <c r="AE487" s="367">
        <f t="shared" si="239"/>
        <v>2520000000</v>
      </c>
      <c r="AF487" s="158">
        <f t="shared" si="240"/>
        <v>3000</v>
      </c>
      <c r="AG487" s="41">
        <v>120</v>
      </c>
      <c r="AH487" s="41" t="s">
        <v>376</v>
      </c>
      <c r="AI487" s="362">
        <f t="shared" si="246"/>
        <v>30</v>
      </c>
      <c r="AJ487" s="370">
        <f t="shared" si="247"/>
        <v>27</v>
      </c>
      <c r="AK487" s="232">
        <f t="shared" si="248"/>
        <v>0.39750000000000002</v>
      </c>
      <c r="AL487" s="433">
        <f t="shared" si="249"/>
        <v>0.159</v>
      </c>
      <c r="AM487" s="224">
        <f t="shared" si="250"/>
        <v>1.5600000000000002E-3</v>
      </c>
      <c r="AN487" s="368">
        <f t="shared" si="251"/>
        <v>5.5650000000000005E-2</v>
      </c>
      <c r="AO487" s="369">
        <f t="shared" si="252"/>
        <v>2.3077257367928001</v>
      </c>
      <c r="AQ487" s="388">
        <f t="shared" si="237"/>
        <v>2.3649357367928001</v>
      </c>
      <c r="AR487" s="389">
        <f t="shared" ref="AR487:AS506" si="260">$AQ487/POWER(1+($B$10/100),AR$366-2024)</f>
        <v>2.2960541133910679</v>
      </c>
      <c r="AS487" s="389">
        <f t="shared" si="260"/>
        <v>2.2291787508651146</v>
      </c>
      <c r="AT487" s="389">
        <f t="shared" si="258"/>
        <v>2.16425121443215</v>
      </c>
      <c r="AU487" s="389">
        <f t="shared" si="258"/>
        <v>2.1012147712933498</v>
      </c>
      <c r="AV487" s="389">
        <f t="shared" si="258"/>
        <v>2.0400143410615046</v>
      </c>
      <c r="AW487" s="389">
        <f t="shared" si="258"/>
        <v>1.9805964476325288</v>
      </c>
      <c r="AX487" s="389">
        <f t="shared" si="258"/>
        <v>1.9229091724587657</v>
      </c>
      <c r="AY487" s="389">
        <f t="shared" si="258"/>
        <v>1.8669021091832678</v>
      </c>
      <c r="AZ487" s="389">
        <f t="shared" si="258"/>
        <v>1.8125263195954056</v>
      </c>
      <c r="BA487" s="389">
        <f t="shared" si="258"/>
        <v>1.7597342908693259</v>
      </c>
      <c r="BB487" s="389">
        <f t="shared" si="258"/>
        <v>1.7084798940478891</v>
      </c>
      <c r="BC487" s="389">
        <f t="shared" si="258"/>
        <v>1.6587183437358151</v>
      </c>
      <c r="BD487" s="389">
        <f t="shared" si="259"/>
        <v>1.6104061589668108</v>
      </c>
      <c r="BE487" s="389">
        <f t="shared" si="259"/>
        <v>1.5635011252104958</v>
      </c>
      <c r="BF487" s="389">
        <f t="shared" si="259"/>
        <v>1.517962257485918</v>
      </c>
      <c r="BG487" s="389">
        <f t="shared" si="259"/>
        <v>1.4737497645494353</v>
      </c>
      <c r="BH487" s="389">
        <f t="shared" si="259"/>
        <v>1.4308250141256653</v>
      </c>
      <c r="BI487" s="389">
        <f t="shared" si="259"/>
        <v>1.3891504991511314</v>
      </c>
      <c r="BJ487" s="389">
        <f t="shared" si="259"/>
        <v>1.3486898050010985</v>
      </c>
      <c r="BK487" s="390">
        <f t="shared" si="238"/>
        <v>36.239800129849542</v>
      </c>
    </row>
    <row r="488" spans="31:63" x14ac:dyDescent="0.3">
      <c r="AE488" s="367">
        <f t="shared" si="239"/>
        <v>2541000000</v>
      </c>
      <c r="AF488" s="158">
        <f t="shared" si="240"/>
        <v>3025</v>
      </c>
      <c r="AG488" s="41">
        <v>121</v>
      </c>
      <c r="AH488" s="41" t="s">
        <v>376</v>
      </c>
      <c r="AI488" s="362">
        <f t="shared" si="246"/>
        <v>30</v>
      </c>
      <c r="AJ488" s="370">
        <f t="shared" si="247"/>
        <v>27</v>
      </c>
      <c r="AK488" s="232">
        <f t="shared" si="248"/>
        <v>0.39750000000000002</v>
      </c>
      <c r="AL488" s="433">
        <f t="shared" si="249"/>
        <v>0.159</v>
      </c>
      <c r="AM488" s="224">
        <f t="shared" si="250"/>
        <v>1.5600000000000002E-3</v>
      </c>
      <c r="AN488" s="368">
        <f t="shared" si="251"/>
        <v>5.5650000000000005E-2</v>
      </c>
      <c r="AO488" s="369">
        <f t="shared" si="252"/>
        <v>2.3077257367928001</v>
      </c>
      <c r="AQ488" s="388">
        <f t="shared" si="237"/>
        <v>2.3649357367928001</v>
      </c>
      <c r="AR488" s="389">
        <f t="shared" si="260"/>
        <v>2.2960541133910679</v>
      </c>
      <c r="AS488" s="389">
        <f t="shared" si="260"/>
        <v>2.2291787508651146</v>
      </c>
      <c r="AT488" s="389">
        <f t="shared" ref="AT488:BC497" si="261">$AQ488/POWER(1+($B$10/100),AT$366-2024)</f>
        <v>2.16425121443215</v>
      </c>
      <c r="AU488" s="389">
        <f t="shared" si="261"/>
        <v>2.1012147712933498</v>
      </c>
      <c r="AV488" s="389">
        <f t="shared" si="261"/>
        <v>2.0400143410615046</v>
      </c>
      <c r="AW488" s="389">
        <f t="shared" si="261"/>
        <v>1.9805964476325288</v>
      </c>
      <c r="AX488" s="389">
        <f t="shared" si="261"/>
        <v>1.9229091724587657</v>
      </c>
      <c r="AY488" s="389">
        <f t="shared" si="261"/>
        <v>1.8669021091832678</v>
      </c>
      <c r="AZ488" s="389">
        <f t="shared" si="261"/>
        <v>1.8125263195954056</v>
      </c>
      <c r="BA488" s="389">
        <f t="shared" si="261"/>
        <v>1.7597342908693259</v>
      </c>
      <c r="BB488" s="389">
        <f t="shared" si="261"/>
        <v>1.7084798940478891</v>
      </c>
      <c r="BC488" s="389">
        <f t="shared" si="261"/>
        <v>1.6587183437358151</v>
      </c>
      <c r="BD488" s="389">
        <f t="shared" ref="BD488:BJ497" si="262">$AQ488/POWER(1+($B$10/100),BD$366-2024)</f>
        <v>1.6104061589668108</v>
      </c>
      <c r="BE488" s="389">
        <f t="shared" si="262"/>
        <v>1.5635011252104958</v>
      </c>
      <c r="BF488" s="389">
        <f t="shared" si="262"/>
        <v>1.517962257485918</v>
      </c>
      <c r="BG488" s="389">
        <f t="shared" si="262"/>
        <v>1.4737497645494353</v>
      </c>
      <c r="BH488" s="389">
        <f t="shared" si="262"/>
        <v>1.4308250141256653</v>
      </c>
      <c r="BI488" s="389">
        <f t="shared" si="262"/>
        <v>1.3891504991511314</v>
      </c>
      <c r="BJ488" s="389">
        <f t="shared" si="262"/>
        <v>1.3486898050010985</v>
      </c>
      <c r="BK488" s="390">
        <f t="shared" si="238"/>
        <v>36.239800129849542</v>
      </c>
    </row>
    <row r="489" spans="31:63" x14ac:dyDescent="0.3">
      <c r="AE489" s="367">
        <f t="shared" si="239"/>
        <v>2562000000</v>
      </c>
      <c r="AF489" s="158">
        <f t="shared" si="240"/>
        <v>3050</v>
      </c>
      <c r="AG489" s="41">
        <v>122</v>
      </c>
      <c r="AH489" s="41" t="s">
        <v>376</v>
      </c>
      <c r="AI489" s="362">
        <f t="shared" si="246"/>
        <v>30</v>
      </c>
      <c r="AJ489" s="370">
        <f t="shared" si="247"/>
        <v>27</v>
      </c>
      <c r="AK489" s="232">
        <f t="shared" si="248"/>
        <v>0.39750000000000002</v>
      </c>
      <c r="AL489" s="433">
        <f t="shared" si="249"/>
        <v>0.159</v>
      </c>
      <c r="AM489" s="224">
        <f t="shared" si="250"/>
        <v>1.5600000000000002E-3</v>
      </c>
      <c r="AN489" s="368">
        <f t="shared" si="251"/>
        <v>5.5650000000000005E-2</v>
      </c>
      <c r="AO489" s="369">
        <f t="shared" si="252"/>
        <v>2.3077257367928001</v>
      </c>
      <c r="AQ489" s="388">
        <f t="shared" si="237"/>
        <v>2.3649357367928001</v>
      </c>
      <c r="AR489" s="389">
        <f t="shared" si="260"/>
        <v>2.2960541133910679</v>
      </c>
      <c r="AS489" s="389">
        <f t="shared" si="260"/>
        <v>2.2291787508651146</v>
      </c>
      <c r="AT489" s="389">
        <f t="shared" si="261"/>
        <v>2.16425121443215</v>
      </c>
      <c r="AU489" s="389">
        <f t="shared" si="261"/>
        <v>2.1012147712933498</v>
      </c>
      <c r="AV489" s="389">
        <f t="shared" si="261"/>
        <v>2.0400143410615046</v>
      </c>
      <c r="AW489" s="389">
        <f t="shared" si="261"/>
        <v>1.9805964476325288</v>
      </c>
      <c r="AX489" s="389">
        <f t="shared" si="261"/>
        <v>1.9229091724587657</v>
      </c>
      <c r="AY489" s="389">
        <f t="shared" si="261"/>
        <v>1.8669021091832678</v>
      </c>
      <c r="AZ489" s="389">
        <f t="shared" si="261"/>
        <v>1.8125263195954056</v>
      </c>
      <c r="BA489" s="389">
        <f t="shared" si="261"/>
        <v>1.7597342908693259</v>
      </c>
      <c r="BB489" s="389">
        <f t="shared" si="261"/>
        <v>1.7084798940478891</v>
      </c>
      <c r="BC489" s="389">
        <f t="shared" si="261"/>
        <v>1.6587183437358151</v>
      </c>
      <c r="BD489" s="389">
        <f t="shared" si="262"/>
        <v>1.6104061589668108</v>
      </c>
      <c r="BE489" s="389">
        <f t="shared" si="262"/>
        <v>1.5635011252104958</v>
      </c>
      <c r="BF489" s="389">
        <f t="shared" si="262"/>
        <v>1.517962257485918</v>
      </c>
      <c r="BG489" s="389">
        <f t="shared" si="262"/>
        <v>1.4737497645494353</v>
      </c>
      <c r="BH489" s="389">
        <f t="shared" si="262"/>
        <v>1.4308250141256653</v>
      </c>
      <c r="BI489" s="389">
        <f t="shared" si="262"/>
        <v>1.3891504991511314</v>
      </c>
      <c r="BJ489" s="389">
        <f t="shared" si="262"/>
        <v>1.3486898050010985</v>
      </c>
      <c r="BK489" s="390">
        <f t="shared" si="238"/>
        <v>36.239800129849542</v>
      </c>
    </row>
    <row r="490" spans="31:63" x14ac:dyDescent="0.3">
      <c r="AE490" s="367">
        <f t="shared" si="239"/>
        <v>2583000000</v>
      </c>
      <c r="AF490" s="158">
        <f t="shared" si="240"/>
        <v>3075</v>
      </c>
      <c r="AG490" s="41">
        <v>123</v>
      </c>
      <c r="AH490" s="41" t="s">
        <v>376</v>
      </c>
      <c r="AI490" s="362">
        <f t="shared" si="246"/>
        <v>30</v>
      </c>
      <c r="AJ490" s="370">
        <f t="shared" si="247"/>
        <v>27</v>
      </c>
      <c r="AK490" s="232">
        <f t="shared" si="248"/>
        <v>0.39750000000000002</v>
      </c>
      <c r="AL490" s="433">
        <f t="shared" si="249"/>
        <v>0.159</v>
      </c>
      <c r="AM490" s="224">
        <f t="shared" si="250"/>
        <v>1.5600000000000002E-3</v>
      </c>
      <c r="AN490" s="368">
        <f t="shared" si="251"/>
        <v>5.5650000000000005E-2</v>
      </c>
      <c r="AO490" s="369">
        <f t="shared" si="252"/>
        <v>2.3077257367928001</v>
      </c>
      <c r="AQ490" s="388">
        <f t="shared" si="237"/>
        <v>2.3649357367928001</v>
      </c>
      <c r="AR490" s="389">
        <f t="shared" si="260"/>
        <v>2.2960541133910679</v>
      </c>
      <c r="AS490" s="389">
        <f t="shared" si="260"/>
        <v>2.2291787508651146</v>
      </c>
      <c r="AT490" s="389">
        <f t="shared" si="261"/>
        <v>2.16425121443215</v>
      </c>
      <c r="AU490" s="389">
        <f t="shared" si="261"/>
        <v>2.1012147712933498</v>
      </c>
      <c r="AV490" s="389">
        <f t="shared" si="261"/>
        <v>2.0400143410615046</v>
      </c>
      <c r="AW490" s="389">
        <f t="shared" si="261"/>
        <v>1.9805964476325288</v>
      </c>
      <c r="AX490" s="389">
        <f t="shared" si="261"/>
        <v>1.9229091724587657</v>
      </c>
      <c r="AY490" s="389">
        <f t="shared" si="261"/>
        <v>1.8669021091832678</v>
      </c>
      <c r="AZ490" s="389">
        <f t="shared" si="261"/>
        <v>1.8125263195954056</v>
      </c>
      <c r="BA490" s="389">
        <f t="shared" si="261"/>
        <v>1.7597342908693259</v>
      </c>
      <c r="BB490" s="389">
        <f t="shared" si="261"/>
        <v>1.7084798940478891</v>
      </c>
      <c r="BC490" s="389">
        <f t="shared" si="261"/>
        <v>1.6587183437358151</v>
      </c>
      <c r="BD490" s="389">
        <f t="shared" si="262"/>
        <v>1.6104061589668108</v>
      </c>
      <c r="BE490" s="389">
        <f t="shared" si="262"/>
        <v>1.5635011252104958</v>
      </c>
      <c r="BF490" s="389">
        <f t="shared" si="262"/>
        <v>1.517962257485918</v>
      </c>
      <c r="BG490" s="389">
        <f t="shared" si="262"/>
        <v>1.4737497645494353</v>
      </c>
      <c r="BH490" s="389">
        <f t="shared" si="262"/>
        <v>1.4308250141256653</v>
      </c>
      <c r="BI490" s="389">
        <f t="shared" si="262"/>
        <v>1.3891504991511314</v>
      </c>
      <c r="BJ490" s="389">
        <f t="shared" si="262"/>
        <v>1.3486898050010985</v>
      </c>
      <c r="BK490" s="390">
        <f t="shared" si="238"/>
        <v>36.239800129849542</v>
      </c>
    </row>
    <row r="491" spans="31:63" x14ac:dyDescent="0.3">
      <c r="AE491" s="367">
        <f t="shared" si="239"/>
        <v>2604000000</v>
      </c>
      <c r="AF491" s="158">
        <f t="shared" si="240"/>
        <v>3100</v>
      </c>
      <c r="AG491" s="41">
        <v>124</v>
      </c>
      <c r="AH491" s="41" t="s">
        <v>376</v>
      </c>
      <c r="AI491" s="362">
        <f t="shared" si="246"/>
        <v>30</v>
      </c>
      <c r="AJ491" s="370">
        <f t="shared" si="247"/>
        <v>27</v>
      </c>
      <c r="AK491" s="232">
        <f t="shared" si="248"/>
        <v>0.39750000000000002</v>
      </c>
      <c r="AL491" s="433">
        <f t="shared" si="249"/>
        <v>0.159</v>
      </c>
      <c r="AM491" s="224">
        <f t="shared" si="250"/>
        <v>1.5600000000000002E-3</v>
      </c>
      <c r="AN491" s="368">
        <f t="shared" si="251"/>
        <v>5.5650000000000005E-2</v>
      </c>
      <c r="AO491" s="369">
        <f t="shared" si="252"/>
        <v>2.3077257367928001</v>
      </c>
      <c r="AQ491" s="388">
        <f t="shared" si="237"/>
        <v>2.3649357367928001</v>
      </c>
      <c r="AR491" s="389">
        <f t="shared" si="260"/>
        <v>2.2960541133910679</v>
      </c>
      <c r="AS491" s="389">
        <f t="shared" si="260"/>
        <v>2.2291787508651146</v>
      </c>
      <c r="AT491" s="389">
        <f t="shared" si="261"/>
        <v>2.16425121443215</v>
      </c>
      <c r="AU491" s="389">
        <f t="shared" si="261"/>
        <v>2.1012147712933498</v>
      </c>
      <c r="AV491" s="389">
        <f t="shared" si="261"/>
        <v>2.0400143410615046</v>
      </c>
      <c r="AW491" s="389">
        <f t="shared" si="261"/>
        <v>1.9805964476325288</v>
      </c>
      <c r="AX491" s="389">
        <f t="shared" si="261"/>
        <v>1.9229091724587657</v>
      </c>
      <c r="AY491" s="389">
        <f t="shared" si="261"/>
        <v>1.8669021091832678</v>
      </c>
      <c r="AZ491" s="389">
        <f t="shared" si="261"/>
        <v>1.8125263195954056</v>
      </c>
      <c r="BA491" s="389">
        <f t="shared" si="261"/>
        <v>1.7597342908693259</v>
      </c>
      <c r="BB491" s="389">
        <f t="shared" si="261"/>
        <v>1.7084798940478891</v>
      </c>
      <c r="BC491" s="389">
        <f t="shared" si="261"/>
        <v>1.6587183437358151</v>
      </c>
      <c r="BD491" s="389">
        <f t="shared" si="262"/>
        <v>1.6104061589668108</v>
      </c>
      <c r="BE491" s="389">
        <f t="shared" si="262"/>
        <v>1.5635011252104958</v>
      </c>
      <c r="BF491" s="389">
        <f t="shared" si="262"/>
        <v>1.517962257485918</v>
      </c>
      <c r="BG491" s="389">
        <f t="shared" si="262"/>
        <v>1.4737497645494353</v>
      </c>
      <c r="BH491" s="389">
        <f t="shared" si="262"/>
        <v>1.4308250141256653</v>
      </c>
      <c r="BI491" s="389">
        <f t="shared" si="262"/>
        <v>1.3891504991511314</v>
      </c>
      <c r="BJ491" s="389">
        <f t="shared" si="262"/>
        <v>1.3486898050010985</v>
      </c>
      <c r="BK491" s="390">
        <f t="shared" si="238"/>
        <v>36.239800129849542</v>
      </c>
    </row>
    <row r="492" spans="31:63" x14ac:dyDescent="0.3">
      <c r="AE492" s="367">
        <f t="shared" si="239"/>
        <v>2625000000</v>
      </c>
      <c r="AF492" s="158">
        <f t="shared" si="240"/>
        <v>3125</v>
      </c>
      <c r="AG492" s="41">
        <v>125</v>
      </c>
      <c r="AH492" s="41" t="s">
        <v>376</v>
      </c>
      <c r="AI492" s="362">
        <f t="shared" si="246"/>
        <v>30</v>
      </c>
      <c r="AJ492" s="370">
        <f t="shared" si="247"/>
        <v>27</v>
      </c>
      <c r="AK492" s="232">
        <f t="shared" si="248"/>
        <v>0.39750000000000002</v>
      </c>
      <c r="AL492" s="433">
        <f t="shared" si="249"/>
        <v>0.159</v>
      </c>
      <c r="AM492" s="224">
        <f t="shared" si="250"/>
        <v>1.5600000000000002E-3</v>
      </c>
      <c r="AN492" s="368">
        <f t="shared" si="251"/>
        <v>5.5650000000000005E-2</v>
      </c>
      <c r="AO492" s="369">
        <f t="shared" si="252"/>
        <v>2.3077257367928001</v>
      </c>
      <c r="AQ492" s="388">
        <f t="shared" si="237"/>
        <v>2.3649357367928001</v>
      </c>
      <c r="AR492" s="389">
        <f t="shared" si="260"/>
        <v>2.2960541133910679</v>
      </c>
      <c r="AS492" s="389">
        <f t="shared" si="260"/>
        <v>2.2291787508651146</v>
      </c>
      <c r="AT492" s="389">
        <f t="shared" si="261"/>
        <v>2.16425121443215</v>
      </c>
      <c r="AU492" s="389">
        <f t="shared" si="261"/>
        <v>2.1012147712933498</v>
      </c>
      <c r="AV492" s="389">
        <f t="shared" si="261"/>
        <v>2.0400143410615046</v>
      </c>
      <c r="AW492" s="389">
        <f t="shared" si="261"/>
        <v>1.9805964476325288</v>
      </c>
      <c r="AX492" s="389">
        <f t="shared" si="261"/>
        <v>1.9229091724587657</v>
      </c>
      <c r="AY492" s="389">
        <f t="shared" si="261"/>
        <v>1.8669021091832678</v>
      </c>
      <c r="AZ492" s="389">
        <f t="shared" si="261"/>
        <v>1.8125263195954056</v>
      </c>
      <c r="BA492" s="389">
        <f t="shared" si="261"/>
        <v>1.7597342908693259</v>
      </c>
      <c r="BB492" s="389">
        <f t="shared" si="261"/>
        <v>1.7084798940478891</v>
      </c>
      <c r="BC492" s="389">
        <f t="shared" si="261"/>
        <v>1.6587183437358151</v>
      </c>
      <c r="BD492" s="389">
        <f t="shared" si="262"/>
        <v>1.6104061589668108</v>
      </c>
      <c r="BE492" s="389">
        <f t="shared" si="262"/>
        <v>1.5635011252104958</v>
      </c>
      <c r="BF492" s="389">
        <f t="shared" si="262"/>
        <v>1.517962257485918</v>
      </c>
      <c r="BG492" s="389">
        <f t="shared" si="262"/>
        <v>1.4737497645494353</v>
      </c>
      <c r="BH492" s="389">
        <f t="shared" si="262"/>
        <v>1.4308250141256653</v>
      </c>
      <c r="BI492" s="389">
        <f t="shared" si="262"/>
        <v>1.3891504991511314</v>
      </c>
      <c r="BJ492" s="389">
        <f t="shared" si="262"/>
        <v>1.3486898050010985</v>
      </c>
      <c r="BK492" s="390">
        <f t="shared" si="238"/>
        <v>36.239800129849542</v>
      </c>
    </row>
    <row r="493" spans="31:63" x14ac:dyDescent="0.3">
      <c r="AE493" s="367">
        <f t="shared" si="239"/>
        <v>2646000000</v>
      </c>
      <c r="AF493" s="158">
        <f t="shared" si="240"/>
        <v>3150</v>
      </c>
      <c r="AG493" s="41">
        <v>126</v>
      </c>
      <c r="AH493" s="41" t="s">
        <v>376</v>
      </c>
      <c r="AI493" s="362">
        <f t="shared" si="246"/>
        <v>30</v>
      </c>
      <c r="AJ493" s="370">
        <f t="shared" si="247"/>
        <v>27</v>
      </c>
      <c r="AK493" s="232">
        <f t="shared" si="248"/>
        <v>0.39750000000000002</v>
      </c>
      <c r="AL493" s="433">
        <f t="shared" si="249"/>
        <v>0.159</v>
      </c>
      <c r="AM493" s="224">
        <f t="shared" si="250"/>
        <v>1.5600000000000002E-3</v>
      </c>
      <c r="AN493" s="368">
        <f t="shared" si="251"/>
        <v>5.5650000000000005E-2</v>
      </c>
      <c r="AO493" s="369">
        <f t="shared" si="252"/>
        <v>2.3077257367928001</v>
      </c>
      <c r="AQ493" s="388">
        <f t="shared" si="237"/>
        <v>2.3649357367928001</v>
      </c>
      <c r="AR493" s="389">
        <f t="shared" si="260"/>
        <v>2.2960541133910679</v>
      </c>
      <c r="AS493" s="389">
        <f t="shared" si="260"/>
        <v>2.2291787508651146</v>
      </c>
      <c r="AT493" s="389">
        <f t="shared" si="261"/>
        <v>2.16425121443215</v>
      </c>
      <c r="AU493" s="389">
        <f t="shared" si="261"/>
        <v>2.1012147712933498</v>
      </c>
      <c r="AV493" s="389">
        <f t="shared" si="261"/>
        <v>2.0400143410615046</v>
      </c>
      <c r="AW493" s="389">
        <f t="shared" si="261"/>
        <v>1.9805964476325288</v>
      </c>
      <c r="AX493" s="389">
        <f t="shared" si="261"/>
        <v>1.9229091724587657</v>
      </c>
      <c r="AY493" s="389">
        <f t="shared" si="261"/>
        <v>1.8669021091832678</v>
      </c>
      <c r="AZ493" s="389">
        <f t="shared" si="261"/>
        <v>1.8125263195954056</v>
      </c>
      <c r="BA493" s="389">
        <f t="shared" si="261"/>
        <v>1.7597342908693259</v>
      </c>
      <c r="BB493" s="389">
        <f t="shared" si="261"/>
        <v>1.7084798940478891</v>
      </c>
      <c r="BC493" s="389">
        <f t="shared" si="261"/>
        <v>1.6587183437358151</v>
      </c>
      <c r="BD493" s="389">
        <f t="shared" si="262"/>
        <v>1.6104061589668108</v>
      </c>
      <c r="BE493" s="389">
        <f t="shared" si="262"/>
        <v>1.5635011252104958</v>
      </c>
      <c r="BF493" s="389">
        <f t="shared" si="262"/>
        <v>1.517962257485918</v>
      </c>
      <c r="BG493" s="389">
        <f t="shared" si="262"/>
        <v>1.4737497645494353</v>
      </c>
      <c r="BH493" s="389">
        <f t="shared" si="262"/>
        <v>1.4308250141256653</v>
      </c>
      <c r="BI493" s="389">
        <f t="shared" si="262"/>
        <v>1.3891504991511314</v>
      </c>
      <c r="BJ493" s="389">
        <f t="shared" si="262"/>
        <v>1.3486898050010985</v>
      </c>
      <c r="BK493" s="390">
        <f t="shared" si="238"/>
        <v>36.239800129849542</v>
      </c>
    </row>
    <row r="494" spans="31:63" x14ac:dyDescent="0.3">
      <c r="AE494" s="367">
        <f t="shared" si="239"/>
        <v>2667000000</v>
      </c>
      <c r="AF494" s="158">
        <f t="shared" si="240"/>
        <v>3175</v>
      </c>
      <c r="AG494" s="41">
        <v>127</v>
      </c>
      <c r="AH494" s="41" t="s">
        <v>376</v>
      </c>
      <c r="AI494" s="362">
        <f t="shared" si="246"/>
        <v>30</v>
      </c>
      <c r="AJ494" s="370">
        <f t="shared" si="247"/>
        <v>27</v>
      </c>
      <c r="AK494" s="232">
        <f t="shared" si="248"/>
        <v>0.39750000000000002</v>
      </c>
      <c r="AL494" s="433">
        <f t="shared" si="249"/>
        <v>0.159</v>
      </c>
      <c r="AM494" s="224">
        <f t="shared" si="250"/>
        <v>1.5600000000000002E-3</v>
      </c>
      <c r="AN494" s="368">
        <f t="shared" si="251"/>
        <v>5.5650000000000005E-2</v>
      </c>
      <c r="AO494" s="369">
        <f t="shared" si="252"/>
        <v>2.3077257367928001</v>
      </c>
      <c r="AQ494" s="388">
        <f t="shared" si="237"/>
        <v>2.3649357367928001</v>
      </c>
      <c r="AR494" s="389">
        <f t="shared" si="260"/>
        <v>2.2960541133910679</v>
      </c>
      <c r="AS494" s="389">
        <f t="shared" si="260"/>
        <v>2.2291787508651146</v>
      </c>
      <c r="AT494" s="389">
        <f t="shared" si="261"/>
        <v>2.16425121443215</v>
      </c>
      <c r="AU494" s="389">
        <f t="shared" si="261"/>
        <v>2.1012147712933498</v>
      </c>
      <c r="AV494" s="389">
        <f t="shared" si="261"/>
        <v>2.0400143410615046</v>
      </c>
      <c r="AW494" s="389">
        <f t="shared" si="261"/>
        <v>1.9805964476325288</v>
      </c>
      <c r="AX494" s="389">
        <f t="shared" si="261"/>
        <v>1.9229091724587657</v>
      </c>
      <c r="AY494" s="389">
        <f t="shared" si="261"/>
        <v>1.8669021091832678</v>
      </c>
      <c r="AZ494" s="389">
        <f t="shared" si="261"/>
        <v>1.8125263195954056</v>
      </c>
      <c r="BA494" s="389">
        <f t="shared" si="261"/>
        <v>1.7597342908693259</v>
      </c>
      <c r="BB494" s="389">
        <f t="shared" si="261"/>
        <v>1.7084798940478891</v>
      </c>
      <c r="BC494" s="389">
        <f t="shared" si="261"/>
        <v>1.6587183437358151</v>
      </c>
      <c r="BD494" s="389">
        <f t="shared" si="262"/>
        <v>1.6104061589668108</v>
      </c>
      <c r="BE494" s="389">
        <f t="shared" si="262"/>
        <v>1.5635011252104958</v>
      </c>
      <c r="BF494" s="389">
        <f t="shared" si="262"/>
        <v>1.517962257485918</v>
      </c>
      <c r="BG494" s="389">
        <f t="shared" si="262"/>
        <v>1.4737497645494353</v>
      </c>
      <c r="BH494" s="389">
        <f t="shared" si="262"/>
        <v>1.4308250141256653</v>
      </c>
      <c r="BI494" s="389">
        <f t="shared" si="262"/>
        <v>1.3891504991511314</v>
      </c>
      <c r="BJ494" s="389">
        <f t="shared" si="262"/>
        <v>1.3486898050010985</v>
      </c>
      <c r="BK494" s="390">
        <f t="shared" si="238"/>
        <v>36.239800129849542</v>
      </c>
    </row>
    <row r="495" spans="31:63" x14ac:dyDescent="0.3">
      <c r="AE495" s="367">
        <f t="shared" si="239"/>
        <v>2688000000</v>
      </c>
      <c r="AF495" s="158">
        <f t="shared" si="240"/>
        <v>3200</v>
      </c>
      <c r="AG495" s="41">
        <v>128</v>
      </c>
      <c r="AH495" s="41" t="s">
        <v>376</v>
      </c>
      <c r="AI495" s="362">
        <f t="shared" si="246"/>
        <v>30</v>
      </c>
      <c r="AJ495" s="370">
        <f t="shared" si="247"/>
        <v>27</v>
      </c>
      <c r="AK495" s="232">
        <f t="shared" si="248"/>
        <v>0.39750000000000002</v>
      </c>
      <c r="AL495" s="433">
        <f t="shared" si="249"/>
        <v>0.159</v>
      </c>
      <c r="AM495" s="224">
        <f t="shared" si="250"/>
        <v>1.5600000000000002E-3</v>
      </c>
      <c r="AN495" s="368">
        <f t="shared" si="251"/>
        <v>5.5650000000000005E-2</v>
      </c>
      <c r="AO495" s="369">
        <f t="shared" si="252"/>
        <v>2.3077257367928001</v>
      </c>
      <c r="AQ495" s="388">
        <f t="shared" ref="AQ495:AQ544" si="263">(AM495+AN495+AO495)</f>
        <v>2.3649357367928001</v>
      </c>
      <c r="AR495" s="389">
        <f t="shared" si="260"/>
        <v>2.2960541133910679</v>
      </c>
      <c r="AS495" s="389">
        <f t="shared" si="260"/>
        <v>2.2291787508651146</v>
      </c>
      <c r="AT495" s="389">
        <f t="shared" si="261"/>
        <v>2.16425121443215</v>
      </c>
      <c r="AU495" s="389">
        <f t="shared" si="261"/>
        <v>2.1012147712933498</v>
      </c>
      <c r="AV495" s="389">
        <f t="shared" si="261"/>
        <v>2.0400143410615046</v>
      </c>
      <c r="AW495" s="389">
        <f t="shared" si="261"/>
        <v>1.9805964476325288</v>
      </c>
      <c r="AX495" s="389">
        <f t="shared" si="261"/>
        <v>1.9229091724587657</v>
      </c>
      <c r="AY495" s="389">
        <f t="shared" si="261"/>
        <v>1.8669021091832678</v>
      </c>
      <c r="AZ495" s="389">
        <f t="shared" si="261"/>
        <v>1.8125263195954056</v>
      </c>
      <c r="BA495" s="389">
        <f t="shared" si="261"/>
        <v>1.7597342908693259</v>
      </c>
      <c r="BB495" s="389">
        <f t="shared" si="261"/>
        <v>1.7084798940478891</v>
      </c>
      <c r="BC495" s="389">
        <f t="shared" si="261"/>
        <v>1.6587183437358151</v>
      </c>
      <c r="BD495" s="389">
        <f t="shared" si="262"/>
        <v>1.6104061589668108</v>
      </c>
      <c r="BE495" s="389">
        <f t="shared" si="262"/>
        <v>1.5635011252104958</v>
      </c>
      <c r="BF495" s="389">
        <f t="shared" si="262"/>
        <v>1.517962257485918</v>
      </c>
      <c r="BG495" s="389">
        <f t="shared" si="262"/>
        <v>1.4737497645494353</v>
      </c>
      <c r="BH495" s="389">
        <f t="shared" si="262"/>
        <v>1.4308250141256653</v>
      </c>
      <c r="BI495" s="389">
        <f t="shared" si="262"/>
        <v>1.3891504991511314</v>
      </c>
      <c r="BJ495" s="389">
        <f t="shared" si="262"/>
        <v>1.3486898050010985</v>
      </c>
      <c r="BK495" s="390">
        <f t="shared" ref="BK495:BK544" si="264">SUM(AQ495:BJ495)</f>
        <v>36.239800129849542</v>
      </c>
    </row>
    <row r="496" spans="31:63" x14ac:dyDescent="0.3">
      <c r="AE496" s="367">
        <f t="shared" si="239"/>
        <v>2709000000</v>
      </c>
      <c r="AF496" s="158">
        <f t="shared" si="240"/>
        <v>3225</v>
      </c>
      <c r="AG496" s="41">
        <v>129</v>
      </c>
      <c r="AH496" s="41" t="s">
        <v>376</v>
      </c>
      <c r="AI496" s="362">
        <f t="shared" si="246"/>
        <v>30</v>
      </c>
      <c r="AJ496" s="370">
        <f t="shared" si="247"/>
        <v>27</v>
      </c>
      <c r="AK496" s="232">
        <f t="shared" si="248"/>
        <v>0.39750000000000002</v>
      </c>
      <c r="AL496" s="433">
        <f t="shared" si="249"/>
        <v>0.159</v>
      </c>
      <c r="AM496" s="224">
        <f t="shared" si="250"/>
        <v>1.5600000000000002E-3</v>
      </c>
      <c r="AN496" s="368">
        <f t="shared" si="251"/>
        <v>5.5650000000000005E-2</v>
      </c>
      <c r="AO496" s="369">
        <f t="shared" si="252"/>
        <v>2.3077257367928001</v>
      </c>
      <c r="AQ496" s="388">
        <f t="shared" si="263"/>
        <v>2.3649357367928001</v>
      </c>
      <c r="AR496" s="389">
        <f t="shared" si="260"/>
        <v>2.2960541133910679</v>
      </c>
      <c r="AS496" s="389">
        <f t="shared" si="260"/>
        <v>2.2291787508651146</v>
      </c>
      <c r="AT496" s="389">
        <f t="shared" si="261"/>
        <v>2.16425121443215</v>
      </c>
      <c r="AU496" s="389">
        <f t="shared" si="261"/>
        <v>2.1012147712933498</v>
      </c>
      <c r="AV496" s="389">
        <f t="shared" si="261"/>
        <v>2.0400143410615046</v>
      </c>
      <c r="AW496" s="389">
        <f t="shared" si="261"/>
        <v>1.9805964476325288</v>
      </c>
      <c r="AX496" s="389">
        <f t="shared" si="261"/>
        <v>1.9229091724587657</v>
      </c>
      <c r="AY496" s="389">
        <f t="shared" si="261"/>
        <v>1.8669021091832678</v>
      </c>
      <c r="AZ496" s="389">
        <f t="shared" si="261"/>
        <v>1.8125263195954056</v>
      </c>
      <c r="BA496" s="389">
        <f t="shared" si="261"/>
        <v>1.7597342908693259</v>
      </c>
      <c r="BB496" s="389">
        <f t="shared" si="261"/>
        <v>1.7084798940478891</v>
      </c>
      <c r="BC496" s="389">
        <f t="shared" si="261"/>
        <v>1.6587183437358151</v>
      </c>
      <c r="BD496" s="389">
        <f t="shared" si="262"/>
        <v>1.6104061589668108</v>
      </c>
      <c r="BE496" s="389">
        <f t="shared" si="262"/>
        <v>1.5635011252104958</v>
      </c>
      <c r="BF496" s="389">
        <f t="shared" si="262"/>
        <v>1.517962257485918</v>
      </c>
      <c r="BG496" s="389">
        <f t="shared" si="262"/>
        <v>1.4737497645494353</v>
      </c>
      <c r="BH496" s="389">
        <f t="shared" si="262"/>
        <v>1.4308250141256653</v>
      </c>
      <c r="BI496" s="389">
        <f t="shared" si="262"/>
        <v>1.3891504991511314</v>
      </c>
      <c r="BJ496" s="389">
        <f t="shared" si="262"/>
        <v>1.3486898050010985</v>
      </c>
      <c r="BK496" s="390">
        <f t="shared" si="264"/>
        <v>36.239800129849542</v>
      </c>
    </row>
    <row r="497" spans="31:63" x14ac:dyDescent="0.3">
      <c r="AE497" s="367">
        <f t="shared" ref="AE497:AE544" si="265">AE315</f>
        <v>2730000000</v>
      </c>
      <c r="AF497" s="158">
        <f t="shared" ref="AF497:AF544" si="266">AF315</f>
        <v>3250</v>
      </c>
      <c r="AG497" s="41">
        <v>130</v>
      </c>
      <c r="AH497" s="41" t="s">
        <v>376</v>
      </c>
      <c r="AI497" s="362">
        <f t="shared" si="246"/>
        <v>30</v>
      </c>
      <c r="AJ497" s="370">
        <f t="shared" si="247"/>
        <v>27</v>
      </c>
      <c r="AK497" s="232">
        <f t="shared" si="248"/>
        <v>0.39750000000000002</v>
      </c>
      <c r="AL497" s="433">
        <f t="shared" si="249"/>
        <v>0.159</v>
      </c>
      <c r="AM497" s="224">
        <f t="shared" si="250"/>
        <v>1.5600000000000002E-3</v>
      </c>
      <c r="AN497" s="368">
        <f t="shared" si="251"/>
        <v>5.5650000000000005E-2</v>
      </c>
      <c r="AO497" s="369">
        <f t="shared" si="252"/>
        <v>2.3077257367928001</v>
      </c>
      <c r="AQ497" s="388">
        <f t="shared" si="263"/>
        <v>2.3649357367928001</v>
      </c>
      <c r="AR497" s="389">
        <f t="shared" si="260"/>
        <v>2.2960541133910679</v>
      </c>
      <c r="AS497" s="389">
        <f t="shared" si="260"/>
        <v>2.2291787508651146</v>
      </c>
      <c r="AT497" s="389">
        <f t="shared" si="261"/>
        <v>2.16425121443215</v>
      </c>
      <c r="AU497" s="389">
        <f t="shared" si="261"/>
        <v>2.1012147712933498</v>
      </c>
      <c r="AV497" s="389">
        <f t="shared" si="261"/>
        <v>2.0400143410615046</v>
      </c>
      <c r="AW497" s="389">
        <f t="shared" si="261"/>
        <v>1.9805964476325288</v>
      </c>
      <c r="AX497" s="389">
        <f t="shared" si="261"/>
        <v>1.9229091724587657</v>
      </c>
      <c r="AY497" s="389">
        <f t="shared" si="261"/>
        <v>1.8669021091832678</v>
      </c>
      <c r="AZ497" s="389">
        <f t="shared" si="261"/>
        <v>1.8125263195954056</v>
      </c>
      <c r="BA497" s="389">
        <f t="shared" si="261"/>
        <v>1.7597342908693259</v>
      </c>
      <c r="BB497" s="389">
        <f t="shared" si="261"/>
        <v>1.7084798940478891</v>
      </c>
      <c r="BC497" s="389">
        <f t="shared" si="261"/>
        <v>1.6587183437358151</v>
      </c>
      <c r="BD497" s="389">
        <f t="shared" si="262"/>
        <v>1.6104061589668108</v>
      </c>
      <c r="BE497" s="389">
        <f t="shared" si="262"/>
        <v>1.5635011252104958</v>
      </c>
      <c r="BF497" s="389">
        <f t="shared" si="262"/>
        <v>1.517962257485918</v>
      </c>
      <c r="BG497" s="389">
        <f t="shared" si="262"/>
        <v>1.4737497645494353</v>
      </c>
      <c r="BH497" s="389">
        <f t="shared" si="262"/>
        <v>1.4308250141256653</v>
      </c>
      <c r="BI497" s="389">
        <f t="shared" si="262"/>
        <v>1.3891504991511314</v>
      </c>
      <c r="BJ497" s="389">
        <f t="shared" si="262"/>
        <v>1.3486898050010985</v>
      </c>
      <c r="BK497" s="390">
        <f t="shared" si="264"/>
        <v>36.239800129849542</v>
      </c>
    </row>
    <row r="498" spans="31:63" x14ac:dyDescent="0.3">
      <c r="AE498" s="367">
        <f t="shared" si="265"/>
        <v>2751000000</v>
      </c>
      <c r="AF498" s="158">
        <f t="shared" si="266"/>
        <v>3275</v>
      </c>
      <c r="AG498" s="41">
        <v>131</v>
      </c>
      <c r="AH498" s="41" t="s">
        <v>376</v>
      </c>
      <c r="AI498" s="362">
        <f t="shared" si="246"/>
        <v>30</v>
      </c>
      <c r="AJ498" s="370">
        <f t="shared" si="247"/>
        <v>27</v>
      </c>
      <c r="AK498" s="232">
        <f t="shared" si="248"/>
        <v>0.39750000000000002</v>
      </c>
      <c r="AL498" s="433">
        <f t="shared" si="249"/>
        <v>0.159</v>
      </c>
      <c r="AM498" s="224">
        <f t="shared" si="250"/>
        <v>1.5600000000000002E-3</v>
      </c>
      <c r="AN498" s="368">
        <f t="shared" si="251"/>
        <v>5.5650000000000005E-2</v>
      </c>
      <c r="AO498" s="369">
        <f t="shared" si="252"/>
        <v>2.3077257367928001</v>
      </c>
      <c r="AQ498" s="388">
        <f t="shared" si="263"/>
        <v>2.3649357367928001</v>
      </c>
      <c r="AR498" s="389">
        <f t="shared" si="260"/>
        <v>2.2960541133910679</v>
      </c>
      <c r="AS498" s="389">
        <f t="shared" si="260"/>
        <v>2.2291787508651146</v>
      </c>
      <c r="AT498" s="389">
        <f t="shared" ref="AT498:BC507" si="267">$AQ498/POWER(1+($B$10/100),AT$366-2024)</f>
        <v>2.16425121443215</v>
      </c>
      <c r="AU498" s="389">
        <f t="shared" si="267"/>
        <v>2.1012147712933498</v>
      </c>
      <c r="AV498" s="389">
        <f t="shared" si="267"/>
        <v>2.0400143410615046</v>
      </c>
      <c r="AW498" s="389">
        <f t="shared" si="267"/>
        <v>1.9805964476325288</v>
      </c>
      <c r="AX498" s="389">
        <f t="shared" si="267"/>
        <v>1.9229091724587657</v>
      </c>
      <c r="AY498" s="389">
        <f t="shared" si="267"/>
        <v>1.8669021091832678</v>
      </c>
      <c r="AZ498" s="389">
        <f t="shared" si="267"/>
        <v>1.8125263195954056</v>
      </c>
      <c r="BA498" s="389">
        <f t="shared" si="267"/>
        <v>1.7597342908693259</v>
      </c>
      <c r="BB498" s="389">
        <f t="shared" si="267"/>
        <v>1.7084798940478891</v>
      </c>
      <c r="BC498" s="389">
        <f t="shared" si="267"/>
        <v>1.6587183437358151</v>
      </c>
      <c r="BD498" s="389">
        <f t="shared" ref="BD498:BJ507" si="268">$AQ498/POWER(1+($B$10/100),BD$366-2024)</f>
        <v>1.6104061589668108</v>
      </c>
      <c r="BE498" s="389">
        <f t="shared" si="268"/>
        <v>1.5635011252104958</v>
      </c>
      <c r="BF498" s="389">
        <f t="shared" si="268"/>
        <v>1.517962257485918</v>
      </c>
      <c r="BG498" s="389">
        <f t="shared" si="268"/>
        <v>1.4737497645494353</v>
      </c>
      <c r="BH498" s="389">
        <f t="shared" si="268"/>
        <v>1.4308250141256653</v>
      </c>
      <c r="BI498" s="389">
        <f t="shared" si="268"/>
        <v>1.3891504991511314</v>
      </c>
      <c r="BJ498" s="389">
        <f t="shared" si="268"/>
        <v>1.3486898050010985</v>
      </c>
      <c r="BK498" s="390">
        <f t="shared" si="264"/>
        <v>36.239800129849542</v>
      </c>
    </row>
    <row r="499" spans="31:63" x14ac:dyDescent="0.3">
      <c r="AE499" s="367">
        <f t="shared" si="265"/>
        <v>2772000000</v>
      </c>
      <c r="AF499" s="158">
        <f t="shared" si="266"/>
        <v>3300</v>
      </c>
      <c r="AG499" s="41">
        <v>132</v>
      </c>
      <c r="AH499" s="41" t="s">
        <v>376</v>
      </c>
      <c r="AI499" s="362">
        <f t="shared" si="246"/>
        <v>30</v>
      </c>
      <c r="AJ499" s="370">
        <f t="shared" si="247"/>
        <v>27</v>
      </c>
      <c r="AK499" s="232">
        <f t="shared" si="248"/>
        <v>0.39750000000000002</v>
      </c>
      <c r="AL499" s="433">
        <f t="shared" si="249"/>
        <v>0.159</v>
      </c>
      <c r="AM499" s="224">
        <f t="shared" si="250"/>
        <v>1.5600000000000002E-3</v>
      </c>
      <c r="AN499" s="368">
        <f t="shared" si="251"/>
        <v>5.5650000000000005E-2</v>
      </c>
      <c r="AO499" s="369">
        <f t="shared" si="252"/>
        <v>2.3077257367928001</v>
      </c>
      <c r="AQ499" s="388">
        <f t="shared" si="263"/>
        <v>2.3649357367928001</v>
      </c>
      <c r="AR499" s="389">
        <f t="shared" si="260"/>
        <v>2.2960541133910679</v>
      </c>
      <c r="AS499" s="389">
        <f t="shared" si="260"/>
        <v>2.2291787508651146</v>
      </c>
      <c r="AT499" s="389">
        <f t="shared" si="267"/>
        <v>2.16425121443215</v>
      </c>
      <c r="AU499" s="389">
        <f t="shared" si="267"/>
        <v>2.1012147712933498</v>
      </c>
      <c r="AV499" s="389">
        <f t="shared" si="267"/>
        <v>2.0400143410615046</v>
      </c>
      <c r="AW499" s="389">
        <f t="shared" si="267"/>
        <v>1.9805964476325288</v>
      </c>
      <c r="AX499" s="389">
        <f t="shared" si="267"/>
        <v>1.9229091724587657</v>
      </c>
      <c r="AY499" s="389">
        <f t="shared" si="267"/>
        <v>1.8669021091832678</v>
      </c>
      <c r="AZ499" s="389">
        <f t="shared" si="267"/>
        <v>1.8125263195954056</v>
      </c>
      <c r="BA499" s="389">
        <f t="shared" si="267"/>
        <v>1.7597342908693259</v>
      </c>
      <c r="BB499" s="389">
        <f t="shared" si="267"/>
        <v>1.7084798940478891</v>
      </c>
      <c r="BC499" s="389">
        <f t="shared" si="267"/>
        <v>1.6587183437358151</v>
      </c>
      <c r="BD499" s="389">
        <f t="shared" si="268"/>
        <v>1.6104061589668108</v>
      </c>
      <c r="BE499" s="389">
        <f t="shared" si="268"/>
        <v>1.5635011252104958</v>
      </c>
      <c r="BF499" s="389">
        <f t="shared" si="268"/>
        <v>1.517962257485918</v>
      </c>
      <c r="BG499" s="389">
        <f t="shared" si="268"/>
        <v>1.4737497645494353</v>
      </c>
      <c r="BH499" s="389">
        <f t="shared" si="268"/>
        <v>1.4308250141256653</v>
      </c>
      <c r="BI499" s="389">
        <f t="shared" si="268"/>
        <v>1.3891504991511314</v>
      </c>
      <c r="BJ499" s="389">
        <f t="shared" si="268"/>
        <v>1.3486898050010985</v>
      </c>
      <c r="BK499" s="390">
        <f t="shared" si="264"/>
        <v>36.239800129849542</v>
      </c>
    </row>
    <row r="500" spans="31:63" x14ac:dyDescent="0.3">
      <c r="AE500" s="367">
        <f t="shared" si="265"/>
        <v>2793000000</v>
      </c>
      <c r="AF500" s="158">
        <f t="shared" si="266"/>
        <v>3325</v>
      </c>
      <c r="AG500" s="41">
        <v>133</v>
      </c>
      <c r="AH500" s="41" t="s">
        <v>376</v>
      </c>
      <c r="AI500" s="362">
        <f t="shared" si="246"/>
        <v>30</v>
      </c>
      <c r="AJ500" s="370">
        <f t="shared" si="247"/>
        <v>27</v>
      </c>
      <c r="AK500" s="232">
        <f t="shared" si="248"/>
        <v>0.39750000000000002</v>
      </c>
      <c r="AL500" s="433">
        <f t="shared" si="249"/>
        <v>0.159</v>
      </c>
      <c r="AM500" s="224">
        <f t="shared" si="250"/>
        <v>1.5600000000000002E-3</v>
      </c>
      <c r="AN500" s="368">
        <f t="shared" si="251"/>
        <v>5.5650000000000005E-2</v>
      </c>
      <c r="AO500" s="369">
        <f t="shared" si="252"/>
        <v>2.3077257367928001</v>
      </c>
      <c r="AQ500" s="388">
        <f t="shared" si="263"/>
        <v>2.3649357367928001</v>
      </c>
      <c r="AR500" s="389">
        <f t="shared" si="260"/>
        <v>2.2960541133910679</v>
      </c>
      <c r="AS500" s="389">
        <f t="shared" si="260"/>
        <v>2.2291787508651146</v>
      </c>
      <c r="AT500" s="389">
        <f t="shared" si="267"/>
        <v>2.16425121443215</v>
      </c>
      <c r="AU500" s="389">
        <f t="shared" si="267"/>
        <v>2.1012147712933498</v>
      </c>
      <c r="AV500" s="389">
        <f t="shared" si="267"/>
        <v>2.0400143410615046</v>
      </c>
      <c r="AW500" s="389">
        <f t="shared" si="267"/>
        <v>1.9805964476325288</v>
      </c>
      <c r="AX500" s="389">
        <f t="shared" si="267"/>
        <v>1.9229091724587657</v>
      </c>
      <c r="AY500" s="389">
        <f t="shared" si="267"/>
        <v>1.8669021091832678</v>
      </c>
      <c r="AZ500" s="389">
        <f t="shared" si="267"/>
        <v>1.8125263195954056</v>
      </c>
      <c r="BA500" s="389">
        <f t="shared" si="267"/>
        <v>1.7597342908693259</v>
      </c>
      <c r="BB500" s="389">
        <f t="shared" si="267"/>
        <v>1.7084798940478891</v>
      </c>
      <c r="BC500" s="389">
        <f t="shared" si="267"/>
        <v>1.6587183437358151</v>
      </c>
      <c r="BD500" s="389">
        <f t="shared" si="268"/>
        <v>1.6104061589668108</v>
      </c>
      <c r="BE500" s="389">
        <f t="shared" si="268"/>
        <v>1.5635011252104958</v>
      </c>
      <c r="BF500" s="389">
        <f t="shared" si="268"/>
        <v>1.517962257485918</v>
      </c>
      <c r="BG500" s="389">
        <f t="shared" si="268"/>
        <v>1.4737497645494353</v>
      </c>
      <c r="BH500" s="389">
        <f t="shared" si="268"/>
        <v>1.4308250141256653</v>
      </c>
      <c r="BI500" s="389">
        <f t="shared" si="268"/>
        <v>1.3891504991511314</v>
      </c>
      <c r="BJ500" s="389">
        <f t="shared" si="268"/>
        <v>1.3486898050010985</v>
      </c>
      <c r="BK500" s="390">
        <f t="shared" si="264"/>
        <v>36.239800129849542</v>
      </c>
    </row>
    <row r="501" spans="31:63" x14ac:dyDescent="0.3">
      <c r="AE501" s="367">
        <f t="shared" si="265"/>
        <v>2814000000</v>
      </c>
      <c r="AF501" s="158">
        <f t="shared" si="266"/>
        <v>3350</v>
      </c>
      <c r="AG501" s="41">
        <v>134</v>
      </c>
      <c r="AH501" s="41" t="s">
        <v>376</v>
      </c>
      <c r="AI501" s="362">
        <f t="shared" si="246"/>
        <v>30</v>
      </c>
      <c r="AJ501" s="370">
        <f t="shared" si="247"/>
        <v>27</v>
      </c>
      <c r="AK501" s="232">
        <f t="shared" si="248"/>
        <v>0.39750000000000002</v>
      </c>
      <c r="AL501" s="433">
        <f t="shared" si="249"/>
        <v>0.159</v>
      </c>
      <c r="AM501" s="224">
        <f t="shared" si="250"/>
        <v>1.5600000000000002E-3</v>
      </c>
      <c r="AN501" s="368">
        <f t="shared" si="251"/>
        <v>5.5650000000000005E-2</v>
      </c>
      <c r="AO501" s="369">
        <f t="shared" si="252"/>
        <v>2.3077257367928001</v>
      </c>
      <c r="AQ501" s="388">
        <f t="shared" si="263"/>
        <v>2.3649357367928001</v>
      </c>
      <c r="AR501" s="389">
        <f t="shared" si="260"/>
        <v>2.2960541133910679</v>
      </c>
      <c r="AS501" s="389">
        <f t="shared" si="260"/>
        <v>2.2291787508651146</v>
      </c>
      <c r="AT501" s="389">
        <f t="shared" si="267"/>
        <v>2.16425121443215</v>
      </c>
      <c r="AU501" s="389">
        <f t="shared" si="267"/>
        <v>2.1012147712933498</v>
      </c>
      <c r="AV501" s="389">
        <f t="shared" si="267"/>
        <v>2.0400143410615046</v>
      </c>
      <c r="AW501" s="389">
        <f t="shared" si="267"/>
        <v>1.9805964476325288</v>
      </c>
      <c r="AX501" s="389">
        <f t="shared" si="267"/>
        <v>1.9229091724587657</v>
      </c>
      <c r="AY501" s="389">
        <f t="shared" si="267"/>
        <v>1.8669021091832678</v>
      </c>
      <c r="AZ501" s="389">
        <f t="shared" si="267"/>
        <v>1.8125263195954056</v>
      </c>
      <c r="BA501" s="389">
        <f t="shared" si="267"/>
        <v>1.7597342908693259</v>
      </c>
      <c r="BB501" s="389">
        <f t="shared" si="267"/>
        <v>1.7084798940478891</v>
      </c>
      <c r="BC501" s="389">
        <f t="shared" si="267"/>
        <v>1.6587183437358151</v>
      </c>
      <c r="BD501" s="389">
        <f t="shared" si="268"/>
        <v>1.6104061589668108</v>
      </c>
      <c r="BE501" s="389">
        <f t="shared" si="268"/>
        <v>1.5635011252104958</v>
      </c>
      <c r="BF501" s="389">
        <f t="shared" si="268"/>
        <v>1.517962257485918</v>
      </c>
      <c r="BG501" s="389">
        <f t="shared" si="268"/>
        <v>1.4737497645494353</v>
      </c>
      <c r="BH501" s="389">
        <f t="shared" si="268"/>
        <v>1.4308250141256653</v>
      </c>
      <c r="BI501" s="389">
        <f t="shared" si="268"/>
        <v>1.3891504991511314</v>
      </c>
      <c r="BJ501" s="389">
        <f t="shared" si="268"/>
        <v>1.3486898050010985</v>
      </c>
      <c r="BK501" s="390">
        <f t="shared" si="264"/>
        <v>36.239800129849542</v>
      </c>
    </row>
    <row r="502" spans="31:63" x14ac:dyDescent="0.3">
      <c r="AE502" s="367">
        <f t="shared" si="265"/>
        <v>2835000000</v>
      </c>
      <c r="AF502" s="158">
        <f t="shared" si="266"/>
        <v>3375</v>
      </c>
      <c r="AG502" s="41">
        <v>135</v>
      </c>
      <c r="AH502" s="41" t="s">
        <v>376</v>
      </c>
      <c r="AI502" s="362">
        <f t="shared" si="246"/>
        <v>30</v>
      </c>
      <c r="AJ502" s="370">
        <f t="shared" si="247"/>
        <v>27</v>
      </c>
      <c r="AK502" s="232">
        <f t="shared" si="248"/>
        <v>0.39750000000000002</v>
      </c>
      <c r="AL502" s="433">
        <f t="shared" si="249"/>
        <v>0.159</v>
      </c>
      <c r="AM502" s="224">
        <f t="shared" si="250"/>
        <v>1.5600000000000002E-3</v>
      </c>
      <c r="AN502" s="368">
        <f t="shared" si="251"/>
        <v>5.5650000000000005E-2</v>
      </c>
      <c r="AO502" s="369">
        <f t="shared" si="252"/>
        <v>2.3077257367928001</v>
      </c>
      <c r="AQ502" s="388">
        <f t="shared" si="263"/>
        <v>2.3649357367928001</v>
      </c>
      <c r="AR502" s="389">
        <f t="shared" si="260"/>
        <v>2.2960541133910679</v>
      </c>
      <c r="AS502" s="389">
        <f t="shared" si="260"/>
        <v>2.2291787508651146</v>
      </c>
      <c r="AT502" s="389">
        <f t="shared" si="267"/>
        <v>2.16425121443215</v>
      </c>
      <c r="AU502" s="389">
        <f t="shared" si="267"/>
        <v>2.1012147712933498</v>
      </c>
      <c r="AV502" s="389">
        <f t="shared" si="267"/>
        <v>2.0400143410615046</v>
      </c>
      <c r="AW502" s="389">
        <f t="shared" si="267"/>
        <v>1.9805964476325288</v>
      </c>
      <c r="AX502" s="389">
        <f t="shared" si="267"/>
        <v>1.9229091724587657</v>
      </c>
      <c r="AY502" s="389">
        <f t="shared" si="267"/>
        <v>1.8669021091832678</v>
      </c>
      <c r="AZ502" s="389">
        <f t="shared" si="267"/>
        <v>1.8125263195954056</v>
      </c>
      <c r="BA502" s="389">
        <f t="shared" si="267"/>
        <v>1.7597342908693259</v>
      </c>
      <c r="BB502" s="389">
        <f t="shared" si="267"/>
        <v>1.7084798940478891</v>
      </c>
      <c r="BC502" s="389">
        <f t="shared" si="267"/>
        <v>1.6587183437358151</v>
      </c>
      <c r="BD502" s="389">
        <f t="shared" si="268"/>
        <v>1.6104061589668108</v>
      </c>
      <c r="BE502" s="389">
        <f t="shared" si="268"/>
        <v>1.5635011252104958</v>
      </c>
      <c r="BF502" s="389">
        <f t="shared" si="268"/>
        <v>1.517962257485918</v>
      </c>
      <c r="BG502" s="389">
        <f t="shared" si="268"/>
        <v>1.4737497645494353</v>
      </c>
      <c r="BH502" s="389">
        <f t="shared" si="268"/>
        <v>1.4308250141256653</v>
      </c>
      <c r="BI502" s="389">
        <f t="shared" si="268"/>
        <v>1.3891504991511314</v>
      </c>
      <c r="BJ502" s="389">
        <f t="shared" si="268"/>
        <v>1.3486898050010985</v>
      </c>
      <c r="BK502" s="390">
        <f t="shared" si="264"/>
        <v>36.239800129849542</v>
      </c>
    </row>
    <row r="503" spans="31:63" x14ac:dyDescent="0.3">
      <c r="AE503" s="367">
        <f t="shared" si="265"/>
        <v>2856000000</v>
      </c>
      <c r="AF503" s="158">
        <f t="shared" si="266"/>
        <v>3400</v>
      </c>
      <c r="AG503" s="41">
        <v>136</v>
      </c>
      <c r="AH503" s="41" t="s">
        <v>376</v>
      </c>
      <c r="AI503" s="362">
        <f t="shared" si="246"/>
        <v>30</v>
      </c>
      <c r="AJ503" s="370">
        <f t="shared" si="247"/>
        <v>27</v>
      </c>
      <c r="AK503" s="232">
        <f t="shared" si="248"/>
        <v>0.39750000000000002</v>
      </c>
      <c r="AL503" s="433">
        <f t="shared" si="249"/>
        <v>0.159</v>
      </c>
      <c r="AM503" s="224">
        <f t="shared" si="250"/>
        <v>1.5600000000000002E-3</v>
      </c>
      <c r="AN503" s="368">
        <f t="shared" si="251"/>
        <v>5.5650000000000005E-2</v>
      </c>
      <c r="AO503" s="369">
        <f t="shared" si="252"/>
        <v>2.3077257367928001</v>
      </c>
      <c r="AQ503" s="388">
        <f t="shared" si="263"/>
        <v>2.3649357367928001</v>
      </c>
      <c r="AR503" s="389">
        <f t="shared" si="260"/>
        <v>2.2960541133910679</v>
      </c>
      <c r="AS503" s="389">
        <f t="shared" si="260"/>
        <v>2.2291787508651146</v>
      </c>
      <c r="AT503" s="389">
        <f t="shared" si="267"/>
        <v>2.16425121443215</v>
      </c>
      <c r="AU503" s="389">
        <f t="shared" si="267"/>
        <v>2.1012147712933498</v>
      </c>
      <c r="AV503" s="389">
        <f t="shared" si="267"/>
        <v>2.0400143410615046</v>
      </c>
      <c r="AW503" s="389">
        <f t="shared" si="267"/>
        <v>1.9805964476325288</v>
      </c>
      <c r="AX503" s="389">
        <f t="shared" si="267"/>
        <v>1.9229091724587657</v>
      </c>
      <c r="AY503" s="389">
        <f t="shared" si="267"/>
        <v>1.8669021091832678</v>
      </c>
      <c r="AZ503" s="389">
        <f t="shared" si="267"/>
        <v>1.8125263195954056</v>
      </c>
      <c r="BA503" s="389">
        <f t="shared" si="267"/>
        <v>1.7597342908693259</v>
      </c>
      <c r="BB503" s="389">
        <f t="shared" si="267"/>
        <v>1.7084798940478891</v>
      </c>
      <c r="BC503" s="389">
        <f t="shared" si="267"/>
        <v>1.6587183437358151</v>
      </c>
      <c r="BD503" s="389">
        <f t="shared" si="268"/>
        <v>1.6104061589668108</v>
      </c>
      <c r="BE503" s="389">
        <f t="shared" si="268"/>
        <v>1.5635011252104958</v>
      </c>
      <c r="BF503" s="389">
        <f t="shared" si="268"/>
        <v>1.517962257485918</v>
      </c>
      <c r="BG503" s="389">
        <f t="shared" si="268"/>
        <v>1.4737497645494353</v>
      </c>
      <c r="BH503" s="389">
        <f t="shared" si="268"/>
        <v>1.4308250141256653</v>
      </c>
      <c r="BI503" s="389">
        <f t="shared" si="268"/>
        <v>1.3891504991511314</v>
      </c>
      <c r="BJ503" s="389">
        <f t="shared" si="268"/>
        <v>1.3486898050010985</v>
      </c>
      <c r="BK503" s="390">
        <f t="shared" si="264"/>
        <v>36.239800129849542</v>
      </c>
    </row>
    <row r="504" spans="31:63" x14ac:dyDescent="0.3">
      <c r="AE504" s="367">
        <f t="shared" si="265"/>
        <v>2877000000</v>
      </c>
      <c r="AF504" s="158">
        <f t="shared" si="266"/>
        <v>3425</v>
      </c>
      <c r="AG504" s="41">
        <v>137</v>
      </c>
      <c r="AH504" s="41" t="s">
        <v>376</v>
      </c>
      <c r="AI504" s="362">
        <f t="shared" si="246"/>
        <v>30</v>
      </c>
      <c r="AJ504" s="370">
        <f t="shared" si="247"/>
        <v>27</v>
      </c>
      <c r="AK504" s="232">
        <f t="shared" si="248"/>
        <v>0.39750000000000002</v>
      </c>
      <c r="AL504" s="433">
        <f t="shared" si="249"/>
        <v>0.159</v>
      </c>
      <c r="AM504" s="224">
        <f t="shared" si="250"/>
        <v>1.5600000000000002E-3</v>
      </c>
      <c r="AN504" s="368">
        <f t="shared" si="251"/>
        <v>5.5650000000000005E-2</v>
      </c>
      <c r="AO504" s="369">
        <f t="shared" si="252"/>
        <v>2.3077257367928001</v>
      </c>
      <c r="AQ504" s="388">
        <f t="shared" si="263"/>
        <v>2.3649357367928001</v>
      </c>
      <c r="AR504" s="389">
        <f t="shared" si="260"/>
        <v>2.2960541133910679</v>
      </c>
      <c r="AS504" s="389">
        <f t="shared" si="260"/>
        <v>2.2291787508651146</v>
      </c>
      <c r="AT504" s="389">
        <f t="shared" si="267"/>
        <v>2.16425121443215</v>
      </c>
      <c r="AU504" s="389">
        <f t="shared" si="267"/>
        <v>2.1012147712933498</v>
      </c>
      <c r="AV504" s="389">
        <f t="shared" si="267"/>
        <v>2.0400143410615046</v>
      </c>
      <c r="AW504" s="389">
        <f t="shared" si="267"/>
        <v>1.9805964476325288</v>
      </c>
      <c r="AX504" s="389">
        <f t="shared" si="267"/>
        <v>1.9229091724587657</v>
      </c>
      <c r="AY504" s="389">
        <f t="shared" si="267"/>
        <v>1.8669021091832678</v>
      </c>
      <c r="AZ504" s="389">
        <f t="shared" si="267"/>
        <v>1.8125263195954056</v>
      </c>
      <c r="BA504" s="389">
        <f t="shared" si="267"/>
        <v>1.7597342908693259</v>
      </c>
      <c r="BB504" s="389">
        <f t="shared" si="267"/>
        <v>1.7084798940478891</v>
      </c>
      <c r="BC504" s="389">
        <f t="shared" si="267"/>
        <v>1.6587183437358151</v>
      </c>
      <c r="BD504" s="389">
        <f t="shared" si="268"/>
        <v>1.6104061589668108</v>
      </c>
      <c r="BE504" s="389">
        <f t="shared" si="268"/>
        <v>1.5635011252104958</v>
      </c>
      <c r="BF504" s="389">
        <f t="shared" si="268"/>
        <v>1.517962257485918</v>
      </c>
      <c r="BG504" s="389">
        <f t="shared" si="268"/>
        <v>1.4737497645494353</v>
      </c>
      <c r="BH504" s="389">
        <f t="shared" si="268"/>
        <v>1.4308250141256653</v>
      </c>
      <c r="BI504" s="389">
        <f t="shared" si="268"/>
        <v>1.3891504991511314</v>
      </c>
      <c r="BJ504" s="389">
        <f t="shared" si="268"/>
        <v>1.3486898050010985</v>
      </c>
      <c r="BK504" s="390">
        <f t="shared" si="264"/>
        <v>36.239800129849542</v>
      </c>
    </row>
    <row r="505" spans="31:63" x14ac:dyDescent="0.3">
      <c r="AE505" s="367">
        <f t="shared" si="265"/>
        <v>2898000000</v>
      </c>
      <c r="AF505" s="158">
        <f t="shared" si="266"/>
        <v>3450</v>
      </c>
      <c r="AG505" s="41">
        <v>138</v>
      </c>
      <c r="AH505" s="41" t="s">
        <v>376</v>
      </c>
      <c r="AI505" s="362">
        <f t="shared" si="246"/>
        <v>30</v>
      </c>
      <c r="AJ505" s="370">
        <f t="shared" si="247"/>
        <v>27</v>
      </c>
      <c r="AK505" s="232">
        <f t="shared" si="248"/>
        <v>0.39750000000000002</v>
      </c>
      <c r="AL505" s="433">
        <f t="shared" si="249"/>
        <v>0.159</v>
      </c>
      <c r="AM505" s="224">
        <f t="shared" si="250"/>
        <v>1.5600000000000002E-3</v>
      </c>
      <c r="AN505" s="368">
        <f t="shared" si="251"/>
        <v>5.5650000000000005E-2</v>
      </c>
      <c r="AO505" s="369">
        <f t="shared" si="252"/>
        <v>2.3077257367928001</v>
      </c>
      <c r="AQ505" s="388">
        <f t="shared" si="263"/>
        <v>2.3649357367928001</v>
      </c>
      <c r="AR505" s="389">
        <f t="shared" si="260"/>
        <v>2.2960541133910679</v>
      </c>
      <c r="AS505" s="389">
        <f t="shared" si="260"/>
        <v>2.2291787508651146</v>
      </c>
      <c r="AT505" s="389">
        <f t="shared" si="267"/>
        <v>2.16425121443215</v>
      </c>
      <c r="AU505" s="389">
        <f t="shared" si="267"/>
        <v>2.1012147712933498</v>
      </c>
      <c r="AV505" s="389">
        <f t="shared" si="267"/>
        <v>2.0400143410615046</v>
      </c>
      <c r="AW505" s="389">
        <f t="shared" si="267"/>
        <v>1.9805964476325288</v>
      </c>
      <c r="AX505" s="389">
        <f t="shared" si="267"/>
        <v>1.9229091724587657</v>
      </c>
      <c r="AY505" s="389">
        <f t="shared" si="267"/>
        <v>1.8669021091832678</v>
      </c>
      <c r="AZ505" s="389">
        <f t="shared" si="267"/>
        <v>1.8125263195954056</v>
      </c>
      <c r="BA505" s="389">
        <f t="shared" si="267"/>
        <v>1.7597342908693259</v>
      </c>
      <c r="BB505" s="389">
        <f t="shared" si="267"/>
        <v>1.7084798940478891</v>
      </c>
      <c r="BC505" s="389">
        <f t="shared" si="267"/>
        <v>1.6587183437358151</v>
      </c>
      <c r="BD505" s="389">
        <f t="shared" si="268"/>
        <v>1.6104061589668108</v>
      </c>
      <c r="BE505" s="389">
        <f t="shared" si="268"/>
        <v>1.5635011252104958</v>
      </c>
      <c r="BF505" s="389">
        <f t="shared" si="268"/>
        <v>1.517962257485918</v>
      </c>
      <c r="BG505" s="389">
        <f t="shared" si="268"/>
        <v>1.4737497645494353</v>
      </c>
      <c r="BH505" s="389">
        <f t="shared" si="268"/>
        <v>1.4308250141256653</v>
      </c>
      <c r="BI505" s="389">
        <f t="shared" si="268"/>
        <v>1.3891504991511314</v>
      </c>
      <c r="BJ505" s="389">
        <f t="shared" si="268"/>
        <v>1.3486898050010985</v>
      </c>
      <c r="BK505" s="390">
        <f t="shared" si="264"/>
        <v>36.239800129849542</v>
      </c>
    </row>
    <row r="506" spans="31:63" x14ac:dyDescent="0.3">
      <c r="AE506" s="367">
        <f t="shared" si="265"/>
        <v>2919000000</v>
      </c>
      <c r="AF506" s="158">
        <f t="shared" si="266"/>
        <v>3475</v>
      </c>
      <c r="AG506" s="41">
        <v>139</v>
      </c>
      <c r="AH506" s="41" t="s">
        <v>376</v>
      </c>
      <c r="AI506" s="362">
        <f t="shared" si="246"/>
        <v>30</v>
      </c>
      <c r="AJ506" s="370">
        <f t="shared" si="247"/>
        <v>27</v>
      </c>
      <c r="AK506" s="232">
        <f t="shared" si="248"/>
        <v>0.39750000000000002</v>
      </c>
      <c r="AL506" s="433">
        <f t="shared" si="249"/>
        <v>0.159</v>
      </c>
      <c r="AM506" s="224">
        <f t="shared" si="250"/>
        <v>1.5600000000000002E-3</v>
      </c>
      <c r="AN506" s="368">
        <f t="shared" si="251"/>
        <v>5.5650000000000005E-2</v>
      </c>
      <c r="AO506" s="369">
        <f t="shared" si="252"/>
        <v>2.3077257367928001</v>
      </c>
      <c r="AQ506" s="388">
        <f t="shared" si="263"/>
        <v>2.3649357367928001</v>
      </c>
      <c r="AR506" s="389">
        <f t="shared" si="260"/>
        <v>2.2960541133910679</v>
      </c>
      <c r="AS506" s="389">
        <f t="shared" si="260"/>
        <v>2.2291787508651146</v>
      </c>
      <c r="AT506" s="389">
        <f t="shared" si="267"/>
        <v>2.16425121443215</v>
      </c>
      <c r="AU506" s="389">
        <f t="shared" si="267"/>
        <v>2.1012147712933498</v>
      </c>
      <c r="AV506" s="389">
        <f t="shared" si="267"/>
        <v>2.0400143410615046</v>
      </c>
      <c r="AW506" s="389">
        <f t="shared" si="267"/>
        <v>1.9805964476325288</v>
      </c>
      <c r="AX506" s="389">
        <f t="shared" si="267"/>
        <v>1.9229091724587657</v>
      </c>
      <c r="AY506" s="389">
        <f t="shared" si="267"/>
        <v>1.8669021091832678</v>
      </c>
      <c r="AZ506" s="389">
        <f t="shared" si="267"/>
        <v>1.8125263195954056</v>
      </c>
      <c r="BA506" s="389">
        <f t="shared" si="267"/>
        <v>1.7597342908693259</v>
      </c>
      <c r="BB506" s="389">
        <f t="shared" si="267"/>
        <v>1.7084798940478891</v>
      </c>
      <c r="BC506" s="389">
        <f t="shared" si="267"/>
        <v>1.6587183437358151</v>
      </c>
      <c r="BD506" s="389">
        <f t="shared" si="268"/>
        <v>1.6104061589668108</v>
      </c>
      <c r="BE506" s="389">
        <f t="shared" si="268"/>
        <v>1.5635011252104958</v>
      </c>
      <c r="BF506" s="389">
        <f t="shared" si="268"/>
        <v>1.517962257485918</v>
      </c>
      <c r="BG506" s="389">
        <f t="shared" si="268"/>
        <v>1.4737497645494353</v>
      </c>
      <c r="BH506" s="389">
        <f t="shared" si="268"/>
        <v>1.4308250141256653</v>
      </c>
      <c r="BI506" s="389">
        <f t="shared" si="268"/>
        <v>1.3891504991511314</v>
      </c>
      <c r="BJ506" s="389">
        <f t="shared" si="268"/>
        <v>1.3486898050010985</v>
      </c>
      <c r="BK506" s="390">
        <f t="shared" si="264"/>
        <v>36.239800129849542</v>
      </c>
    </row>
    <row r="507" spans="31:63" x14ac:dyDescent="0.3">
      <c r="AE507" s="367">
        <f t="shared" si="265"/>
        <v>2940000000</v>
      </c>
      <c r="AF507" s="158">
        <f t="shared" si="266"/>
        <v>3500</v>
      </c>
      <c r="AG507" s="41">
        <v>140</v>
      </c>
      <c r="AH507" s="41" t="s">
        <v>376</v>
      </c>
      <c r="AI507" s="362">
        <f t="shared" si="246"/>
        <v>30</v>
      </c>
      <c r="AJ507" s="370">
        <f t="shared" si="247"/>
        <v>27</v>
      </c>
      <c r="AK507" s="232">
        <f t="shared" si="248"/>
        <v>0.39750000000000002</v>
      </c>
      <c r="AL507" s="433">
        <f t="shared" si="249"/>
        <v>0.159</v>
      </c>
      <c r="AM507" s="224">
        <f t="shared" si="250"/>
        <v>1.5600000000000002E-3</v>
      </c>
      <c r="AN507" s="368">
        <f t="shared" si="251"/>
        <v>5.5650000000000005E-2</v>
      </c>
      <c r="AO507" s="369">
        <f t="shared" si="252"/>
        <v>2.3077257367928001</v>
      </c>
      <c r="AQ507" s="388">
        <f t="shared" si="263"/>
        <v>2.3649357367928001</v>
      </c>
      <c r="AR507" s="389">
        <f t="shared" ref="AR507:AS526" si="269">$AQ507/POWER(1+($B$10/100),AR$366-2024)</f>
        <v>2.2960541133910679</v>
      </c>
      <c r="AS507" s="389">
        <f t="shared" si="269"/>
        <v>2.2291787508651146</v>
      </c>
      <c r="AT507" s="389">
        <f t="shared" si="267"/>
        <v>2.16425121443215</v>
      </c>
      <c r="AU507" s="389">
        <f t="shared" si="267"/>
        <v>2.1012147712933498</v>
      </c>
      <c r="AV507" s="389">
        <f t="shared" si="267"/>
        <v>2.0400143410615046</v>
      </c>
      <c r="AW507" s="389">
        <f t="shared" si="267"/>
        <v>1.9805964476325288</v>
      </c>
      <c r="AX507" s="389">
        <f t="shared" si="267"/>
        <v>1.9229091724587657</v>
      </c>
      <c r="AY507" s="389">
        <f t="shared" si="267"/>
        <v>1.8669021091832678</v>
      </c>
      <c r="AZ507" s="389">
        <f t="shared" si="267"/>
        <v>1.8125263195954056</v>
      </c>
      <c r="BA507" s="389">
        <f t="shared" si="267"/>
        <v>1.7597342908693259</v>
      </c>
      <c r="BB507" s="389">
        <f t="shared" si="267"/>
        <v>1.7084798940478891</v>
      </c>
      <c r="BC507" s="389">
        <f t="shared" si="267"/>
        <v>1.6587183437358151</v>
      </c>
      <c r="BD507" s="389">
        <f t="shared" si="268"/>
        <v>1.6104061589668108</v>
      </c>
      <c r="BE507" s="389">
        <f t="shared" si="268"/>
        <v>1.5635011252104958</v>
      </c>
      <c r="BF507" s="389">
        <f t="shared" si="268"/>
        <v>1.517962257485918</v>
      </c>
      <c r="BG507" s="389">
        <f t="shared" si="268"/>
        <v>1.4737497645494353</v>
      </c>
      <c r="BH507" s="389">
        <f t="shared" si="268"/>
        <v>1.4308250141256653</v>
      </c>
      <c r="BI507" s="389">
        <f t="shared" si="268"/>
        <v>1.3891504991511314</v>
      </c>
      <c r="BJ507" s="389">
        <f t="shared" si="268"/>
        <v>1.3486898050010985</v>
      </c>
      <c r="BK507" s="390">
        <f t="shared" si="264"/>
        <v>36.239800129849542</v>
      </c>
    </row>
    <row r="508" spans="31:63" x14ac:dyDescent="0.3">
      <c r="AE508" s="367">
        <f t="shared" si="265"/>
        <v>2961000000</v>
      </c>
      <c r="AF508" s="158">
        <f t="shared" si="266"/>
        <v>3525</v>
      </c>
      <c r="AG508" s="41">
        <v>141</v>
      </c>
      <c r="AH508" s="41" t="s">
        <v>376</v>
      </c>
      <c r="AI508" s="362">
        <f t="shared" si="246"/>
        <v>30</v>
      </c>
      <c r="AJ508" s="370">
        <f t="shared" si="247"/>
        <v>27</v>
      </c>
      <c r="AK508" s="232">
        <f t="shared" si="248"/>
        <v>0.39750000000000002</v>
      </c>
      <c r="AL508" s="433">
        <f t="shared" si="249"/>
        <v>0.159</v>
      </c>
      <c r="AM508" s="224">
        <f t="shared" si="250"/>
        <v>1.5600000000000002E-3</v>
      </c>
      <c r="AN508" s="368">
        <f t="shared" si="251"/>
        <v>5.5650000000000005E-2</v>
      </c>
      <c r="AO508" s="369">
        <f t="shared" si="252"/>
        <v>2.3077257367928001</v>
      </c>
      <c r="AQ508" s="388">
        <f t="shared" si="263"/>
        <v>2.3649357367928001</v>
      </c>
      <c r="AR508" s="389">
        <f t="shared" si="269"/>
        <v>2.2960541133910679</v>
      </c>
      <c r="AS508" s="389">
        <f t="shared" si="269"/>
        <v>2.2291787508651146</v>
      </c>
      <c r="AT508" s="389">
        <f t="shared" ref="AT508:BC517" si="270">$AQ508/POWER(1+($B$10/100),AT$366-2024)</f>
        <v>2.16425121443215</v>
      </c>
      <c r="AU508" s="389">
        <f t="shared" si="270"/>
        <v>2.1012147712933498</v>
      </c>
      <c r="AV508" s="389">
        <f t="shared" si="270"/>
        <v>2.0400143410615046</v>
      </c>
      <c r="AW508" s="389">
        <f t="shared" si="270"/>
        <v>1.9805964476325288</v>
      </c>
      <c r="AX508" s="389">
        <f t="shared" si="270"/>
        <v>1.9229091724587657</v>
      </c>
      <c r="AY508" s="389">
        <f t="shared" si="270"/>
        <v>1.8669021091832678</v>
      </c>
      <c r="AZ508" s="389">
        <f t="shared" si="270"/>
        <v>1.8125263195954056</v>
      </c>
      <c r="BA508" s="389">
        <f t="shared" si="270"/>
        <v>1.7597342908693259</v>
      </c>
      <c r="BB508" s="389">
        <f t="shared" si="270"/>
        <v>1.7084798940478891</v>
      </c>
      <c r="BC508" s="389">
        <f t="shared" si="270"/>
        <v>1.6587183437358151</v>
      </c>
      <c r="BD508" s="389">
        <f t="shared" ref="BD508:BJ517" si="271">$AQ508/POWER(1+($B$10/100),BD$366-2024)</f>
        <v>1.6104061589668108</v>
      </c>
      <c r="BE508" s="389">
        <f t="shared" si="271"/>
        <v>1.5635011252104958</v>
      </c>
      <c r="BF508" s="389">
        <f t="shared" si="271"/>
        <v>1.517962257485918</v>
      </c>
      <c r="BG508" s="389">
        <f t="shared" si="271"/>
        <v>1.4737497645494353</v>
      </c>
      <c r="BH508" s="389">
        <f t="shared" si="271"/>
        <v>1.4308250141256653</v>
      </c>
      <c r="BI508" s="389">
        <f t="shared" si="271"/>
        <v>1.3891504991511314</v>
      </c>
      <c r="BJ508" s="389">
        <f t="shared" si="271"/>
        <v>1.3486898050010985</v>
      </c>
      <c r="BK508" s="390">
        <f t="shared" si="264"/>
        <v>36.239800129849542</v>
      </c>
    </row>
    <row r="509" spans="31:63" x14ac:dyDescent="0.3">
      <c r="AE509" s="367">
        <f t="shared" si="265"/>
        <v>2982000000</v>
      </c>
      <c r="AF509" s="158">
        <f t="shared" si="266"/>
        <v>3550</v>
      </c>
      <c r="AG509" s="41">
        <v>142</v>
      </c>
      <c r="AH509" s="41" t="s">
        <v>376</v>
      </c>
      <c r="AI509" s="362">
        <f t="shared" si="246"/>
        <v>30</v>
      </c>
      <c r="AJ509" s="370">
        <f t="shared" si="247"/>
        <v>27</v>
      </c>
      <c r="AK509" s="232">
        <f t="shared" si="248"/>
        <v>0.39750000000000002</v>
      </c>
      <c r="AL509" s="433">
        <f t="shared" si="249"/>
        <v>0.159</v>
      </c>
      <c r="AM509" s="224">
        <f t="shared" si="250"/>
        <v>1.5600000000000002E-3</v>
      </c>
      <c r="AN509" s="368">
        <f t="shared" si="251"/>
        <v>5.5650000000000005E-2</v>
      </c>
      <c r="AO509" s="369">
        <f t="shared" si="252"/>
        <v>2.3077257367928001</v>
      </c>
      <c r="AQ509" s="388">
        <f t="shared" si="263"/>
        <v>2.3649357367928001</v>
      </c>
      <c r="AR509" s="389">
        <f t="shared" si="269"/>
        <v>2.2960541133910679</v>
      </c>
      <c r="AS509" s="389">
        <f t="shared" si="269"/>
        <v>2.2291787508651146</v>
      </c>
      <c r="AT509" s="389">
        <f t="shared" si="270"/>
        <v>2.16425121443215</v>
      </c>
      <c r="AU509" s="389">
        <f t="shared" si="270"/>
        <v>2.1012147712933498</v>
      </c>
      <c r="AV509" s="389">
        <f t="shared" si="270"/>
        <v>2.0400143410615046</v>
      </c>
      <c r="AW509" s="389">
        <f t="shared" si="270"/>
        <v>1.9805964476325288</v>
      </c>
      <c r="AX509" s="389">
        <f t="shared" si="270"/>
        <v>1.9229091724587657</v>
      </c>
      <c r="AY509" s="389">
        <f t="shared" si="270"/>
        <v>1.8669021091832678</v>
      </c>
      <c r="AZ509" s="389">
        <f t="shared" si="270"/>
        <v>1.8125263195954056</v>
      </c>
      <c r="BA509" s="389">
        <f t="shared" si="270"/>
        <v>1.7597342908693259</v>
      </c>
      <c r="BB509" s="389">
        <f t="shared" si="270"/>
        <v>1.7084798940478891</v>
      </c>
      <c r="BC509" s="389">
        <f t="shared" si="270"/>
        <v>1.6587183437358151</v>
      </c>
      <c r="BD509" s="389">
        <f t="shared" si="271"/>
        <v>1.6104061589668108</v>
      </c>
      <c r="BE509" s="389">
        <f t="shared" si="271"/>
        <v>1.5635011252104958</v>
      </c>
      <c r="BF509" s="389">
        <f t="shared" si="271"/>
        <v>1.517962257485918</v>
      </c>
      <c r="BG509" s="389">
        <f t="shared" si="271"/>
        <v>1.4737497645494353</v>
      </c>
      <c r="BH509" s="389">
        <f t="shared" si="271"/>
        <v>1.4308250141256653</v>
      </c>
      <c r="BI509" s="389">
        <f t="shared" si="271"/>
        <v>1.3891504991511314</v>
      </c>
      <c r="BJ509" s="389">
        <f t="shared" si="271"/>
        <v>1.3486898050010985</v>
      </c>
      <c r="BK509" s="390">
        <f t="shared" si="264"/>
        <v>36.239800129849542</v>
      </c>
    </row>
    <row r="510" spans="31:63" x14ac:dyDescent="0.3">
      <c r="AE510" s="367">
        <f t="shared" si="265"/>
        <v>3003000000</v>
      </c>
      <c r="AF510" s="158">
        <f t="shared" si="266"/>
        <v>3575</v>
      </c>
      <c r="AG510" s="41">
        <v>143</v>
      </c>
      <c r="AH510" s="41" t="s">
        <v>376</v>
      </c>
      <c r="AI510" s="362">
        <f t="shared" si="246"/>
        <v>30</v>
      </c>
      <c r="AJ510" s="370">
        <f t="shared" si="247"/>
        <v>27</v>
      </c>
      <c r="AK510" s="232">
        <f t="shared" si="248"/>
        <v>0.39750000000000002</v>
      </c>
      <c r="AL510" s="433">
        <f t="shared" si="249"/>
        <v>0.159</v>
      </c>
      <c r="AM510" s="224">
        <f t="shared" si="250"/>
        <v>1.5600000000000002E-3</v>
      </c>
      <c r="AN510" s="368">
        <f t="shared" si="251"/>
        <v>5.5650000000000005E-2</v>
      </c>
      <c r="AO510" s="369">
        <f t="shared" si="252"/>
        <v>2.3077257367928001</v>
      </c>
      <c r="AQ510" s="388">
        <f t="shared" si="263"/>
        <v>2.3649357367928001</v>
      </c>
      <c r="AR510" s="389">
        <f t="shared" si="269"/>
        <v>2.2960541133910679</v>
      </c>
      <c r="AS510" s="389">
        <f t="shared" si="269"/>
        <v>2.2291787508651146</v>
      </c>
      <c r="AT510" s="389">
        <f t="shared" si="270"/>
        <v>2.16425121443215</v>
      </c>
      <c r="AU510" s="389">
        <f t="shared" si="270"/>
        <v>2.1012147712933498</v>
      </c>
      <c r="AV510" s="389">
        <f t="shared" si="270"/>
        <v>2.0400143410615046</v>
      </c>
      <c r="AW510" s="389">
        <f t="shared" si="270"/>
        <v>1.9805964476325288</v>
      </c>
      <c r="AX510" s="389">
        <f t="shared" si="270"/>
        <v>1.9229091724587657</v>
      </c>
      <c r="AY510" s="389">
        <f t="shared" si="270"/>
        <v>1.8669021091832678</v>
      </c>
      <c r="AZ510" s="389">
        <f t="shared" si="270"/>
        <v>1.8125263195954056</v>
      </c>
      <c r="BA510" s="389">
        <f t="shared" si="270"/>
        <v>1.7597342908693259</v>
      </c>
      <c r="BB510" s="389">
        <f t="shared" si="270"/>
        <v>1.7084798940478891</v>
      </c>
      <c r="BC510" s="389">
        <f t="shared" si="270"/>
        <v>1.6587183437358151</v>
      </c>
      <c r="BD510" s="389">
        <f t="shared" si="271"/>
        <v>1.6104061589668108</v>
      </c>
      <c r="BE510" s="389">
        <f t="shared" si="271"/>
        <v>1.5635011252104958</v>
      </c>
      <c r="BF510" s="389">
        <f t="shared" si="271"/>
        <v>1.517962257485918</v>
      </c>
      <c r="BG510" s="389">
        <f t="shared" si="271"/>
        <v>1.4737497645494353</v>
      </c>
      <c r="BH510" s="389">
        <f t="shared" si="271"/>
        <v>1.4308250141256653</v>
      </c>
      <c r="BI510" s="389">
        <f t="shared" si="271"/>
        <v>1.3891504991511314</v>
      </c>
      <c r="BJ510" s="389">
        <f t="shared" si="271"/>
        <v>1.3486898050010985</v>
      </c>
      <c r="BK510" s="390">
        <f t="shared" si="264"/>
        <v>36.239800129849542</v>
      </c>
    </row>
    <row r="511" spans="31:63" x14ac:dyDescent="0.3">
      <c r="AE511" s="367">
        <f t="shared" si="265"/>
        <v>3024000000</v>
      </c>
      <c r="AF511" s="158">
        <f t="shared" si="266"/>
        <v>3600</v>
      </c>
      <c r="AG511" s="41">
        <v>144</v>
      </c>
      <c r="AH511" s="41" t="s">
        <v>376</v>
      </c>
      <c r="AI511" s="362">
        <f t="shared" si="246"/>
        <v>30</v>
      </c>
      <c r="AJ511" s="370">
        <f t="shared" si="247"/>
        <v>27</v>
      </c>
      <c r="AK511" s="232">
        <f t="shared" si="248"/>
        <v>0.39750000000000002</v>
      </c>
      <c r="AL511" s="433">
        <f t="shared" si="249"/>
        <v>0.159</v>
      </c>
      <c r="AM511" s="224">
        <f t="shared" si="250"/>
        <v>1.5600000000000002E-3</v>
      </c>
      <c r="AN511" s="368">
        <f t="shared" si="251"/>
        <v>5.5650000000000005E-2</v>
      </c>
      <c r="AO511" s="369">
        <f t="shared" si="252"/>
        <v>2.3077257367928001</v>
      </c>
      <c r="AQ511" s="388">
        <f t="shared" si="263"/>
        <v>2.3649357367928001</v>
      </c>
      <c r="AR511" s="389">
        <f t="shared" si="269"/>
        <v>2.2960541133910679</v>
      </c>
      <c r="AS511" s="389">
        <f t="shared" si="269"/>
        <v>2.2291787508651146</v>
      </c>
      <c r="AT511" s="389">
        <f t="shared" si="270"/>
        <v>2.16425121443215</v>
      </c>
      <c r="AU511" s="389">
        <f t="shared" si="270"/>
        <v>2.1012147712933498</v>
      </c>
      <c r="AV511" s="389">
        <f t="shared" si="270"/>
        <v>2.0400143410615046</v>
      </c>
      <c r="AW511" s="389">
        <f t="shared" si="270"/>
        <v>1.9805964476325288</v>
      </c>
      <c r="AX511" s="389">
        <f t="shared" si="270"/>
        <v>1.9229091724587657</v>
      </c>
      <c r="AY511" s="389">
        <f t="shared" si="270"/>
        <v>1.8669021091832678</v>
      </c>
      <c r="AZ511" s="389">
        <f t="shared" si="270"/>
        <v>1.8125263195954056</v>
      </c>
      <c r="BA511" s="389">
        <f t="shared" si="270"/>
        <v>1.7597342908693259</v>
      </c>
      <c r="BB511" s="389">
        <f t="shared" si="270"/>
        <v>1.7084798940478891</v>
      </c>
      <c r="BC511" s="389">
        <f t="shared" si="270"/>
        <v>1.6587183437358151</v>
      </c>
      <c r="BD511" s="389">
        <f t="shared" si="271"/>
        <v>1.6104061589668108</v>
      </c>
      <c r="BE511" s="389">
        <f t="shared" si="271"/>
        <v>1.5635011252104958</v>
      </c>
      <c r="BF511" s="389">
        <f t="shared" si="271"/>
        <v>1.517962257485918</v>
      </c>
      <c r="BG511" s="389">
        <f t="shared" si="271"/>
        <v>1.4737497645494353</v>
      </c>
      <c r="BH511" s="389">
        <f t="shared" si="271"/>
        <v>1.4308250141256653</v>
      </c>
      <c r="BI511" s="389">
        <f t="shared" si="271"/>
        <v>1.3891504991511314</v>
      </c>
      <c r="BJ511" s="389">
        <f t="shared" si="271"/>
        <v>1.3486898050010985</v>
      </c>
      <c r="BK511" s="390">
        <f t="shared" si="264"/>
        <v>36.239800129849542</v>
      </c>
    </row>
    <row r="512" spans="31:63" x14ac:dyDescent="0.3">
      <c r="AE512" s="367">
        <f t="shared" si="265"/>
        <v>3045000000</v>
      </c>
      <c r="AF512" s="158">
        <f t="shared" si="266"/>
        <v>3625</v>
      </c>
      <c r="AG512" s="41">
        <v>145</v>
      </c>
      <c r="AH512" s="41" t="s">
        <v>376</v>
      </c>
      <c r="AI512" s="362">
        <f t="shared" si="246"/>
        <v>30</v>
      </c>
      <c r="AJ512" s="370">
        <f t="shared" si="247"/>
        <v>27</v>
      </c>
      <c r="AK512" s="232">
        <f t="shared" si="248"/>
        <v>0.39750000000000002</v>
      </c>
      <c r="AL512" s="433">
        <f t="shared" si="249"/>
        <v>0.159</v>
      </c>
      <c r="AM512" s="224">
        <f t="shared" si="250"/>
        <v>1.5600000000000002E-3</v>
      </c>
      <c r="AN512" s="368">
        <f t="shared" si="251"/>
        <v>5.5650000000000005E-2</v>
      </c>
      <c r="AO512" s="369">
        <f t="shared" si="252"/>
        <v>2.3077257367928001</v>
      </c>
      <c r="AQ512" s="388">
        <f t="shared" si="263"/>
        <v>2.3649357367928001</v>
      </c>
      <c r="AR512" s="389">
        <f t="shared" si="269"/>
        <v>2.2960541133910679</v>
      </c>
      <c r="AS512" s="389">
        <f t="shared" si="269"/>
        <v>2.2291787508651146</v>
      </c>
      <c r="AT512" s="389">
        <f t="shared" si="270"/>
        <v>2.16425121443215</v>
      </c>
      <c r="AU512" s="389">
        <f t="shared" si="270"/>
        <v>2.1012147712933498</v>
      </c>
      <c r="AV512" s="389">
        <f t="shared" si="270"/>
        <v>2.0400143410615046</v>
      </c>
      <c r="AW512" s="389">
        <f t="shared" si="270"/>
        <v>1.9805964476325288</v>
      </c>
      <c r="AX512" s="389">
        <f t="shared" si="270"/>
        <v>1.9229091724587657</v>
      </c>
      <c r="AY512" s="389">
        <f t="shared" si="270"/>
        <v>1.8669021091832678</v>
      </c>
      <c r="AZ512" s="389">
        <f t="shared" si="270"/>
        <v>1.8125263195954056</v>
      </c>
      <c r="BA512" s="389">
        <f t="shared" si="270"/>
        <v>1.7597342908693259</v>
      </c>
      <c r="BB512" s="389">
        <f t="shared" si="270"/>
        <v>1.7084798940478891</v>
      </c>
      <c r="BC512" s="389">
        <f t="shared" si="270"/>
        <v>1.6587183437358151</v>
      </c>
      <c r="BD512" s="389">
        <f t="shared" si="271"/>
        <v>1.6104061589668108</v>
      </c>
      <c r="BE512" s="389">
        <f t="shared" si="271"/>
        <v>1.5635011252104958</v>
      </c>
      <c r="BF512" s="389">
        <f t="shared" si="271"/>
        <v>1.517962257485918</v>
      </c>
      <c r="BG512" s="389">
        <f t="shared" si="271"/>
        <v>1.4737497645494353</v>
      </c>
      <c r="BH512" s="389">
        <f t="shared" si="271"/>
        <v>1.4308250141256653</v>
      </c>
      <c r="BI512" s="389">
        <f t="shared" si="271"/>
        <v>1.3891504991511314</v>
      </c>
      <c r="BJ512" s="389">
        <f t="shared" si="271"/>
        <v>1.3486898050010985</v>
      </c>
      <c r="BK512" s="390">
        <f t="shared" si="264"/>
        <v>36.239800129849542</v>
      </c>
    </row>
    <row r="513" spans="31:63" x14ac:dyDescent="0.3">
      <c r="AE513" s="367">
        <f t="shared" si="265"/>
        <v>3066000000</v>
      </c>
      <c r="AF513" s="158">
        <f t="shared" si="266"/>
        <v>3650</v>
      </c>
      <c r="AG513" s="41">
        <v>146</v>
      </c>
      <c r="AH513" s="41" t="s">
        <v>376</v>
      </c>
      <c r="AI513" s="362">
        <f t="shared" si="246"/>
        <v>30</v>
      </c>
      <c r="AJ513" s="370">
        <f t="shared" si="247"/>
        <v>27</v>
      </c>
      <c r="AK513" s="232">
        <f t="shared" si="248"/>
        <v>0.39750000000000002</v>
      </c>
      <c r="AL513" s="433">
        <f t="shared" si="249"/>
        <v>0.159</v>
      </c>
      <c r="AM513" s="224">
        <f t="shared" si="250"/>
        <v>1.5600000000000002E-3</v>
      </c>
      <c r="AN513" s="368">
        <f t="shared" si="251"/>
        <v>5.5650000000000005E-2</v>
      </c>
      <c r="AO513" s="369">
        <f t="shared" si="252"/>
        <v>2.3077257367928001</v>
      </c>
      <c r="AQ513" s="388">
        <f t="shared" si="263"/>
        <v>2.3649357367928001</v>
      </c>
      <c r="AR513" s="389">
        <f t="shared" si="269"/>
        <v>2.2960541133910679</v>
      </c>
      <c r="AS513" s="389">
        <f t="shared" si="269"/>
        <v>2.2291787508651146</v>
      </c>
      <c r="AT513" s="389">
        <f t="shared" si="270"/>
        <v>2.16425121443215</v>
      </c>
      <c r="AU513" s="389">
        <f t="shared" si="270"/>
        <v>2.1012147712933498</v>
      </c>
      <c r="AV513" s="389">
        <f t="shared" si="270"/>
        <v>2.0400143410615046</v>
      </c>
      <c r="AW513" s="389">
        <f t="shared" si="270"/>
        <v>1.9805964476325288</v>
      </c>
      <c r="AX513" s="389">
        <f t="shared" si="270"/>
        <v>1.9229091724587657</v>
      </c>
      <c r="AY513" s="389">
        <f t="shared" si="270"/>
        <v>1.8669021091832678</v>
      </c>
      <c r="AZ513" s="389">
        <f t="shared" si="270"/>
        <v>1.8125263195954056</v>
      </c>
      <c r="BA513" s="389">
        <f t="shared" si="270"/>
        <v>1.7597342908693259</v>
      </c>
      <c r="BB513" s="389">
        <f t="shared" si="270"/>
        <v>1.7084798940478891</v>
      </c>
      <c r="BC513" s="389">
        <f t="shared" si="270"/>
        <v>1.6587183437358151</v>
      </c>
      <c r="BD513" s="389">
        <f t="shared" si="271"/>
        <v>1.6104061589668108</v>
      </c>
      <c r="BE513" s="389">
        <f t="shared" si="271"/>
        <v>1.5635011252104958</v>
      </c>
      <c r="BF513" s="389">
        <f t="shared" si="271"/>
        <v>1.517962257485918</v>
      </c>
      <c r="BG513" s="389">
        <f t="shared" si="271"/>
        <v>1.4737497645494353</v>
      </c>
      <c r="BH513" s="389">
        <f t="shared" si="271"/>
        <v>1.4308250141256653</v>
      </c>
      <c r="BI513" s="389">
        <f t="shared" si="271"/>
        <v>1.3891504991511314</v>
      </c>
      <c r="BJ513" s="389">
        <f t="shared" si="271"/>
        <v>1.3486898050010985</v>
      </c>
      <c r="BK513" s="390">
        <f t="shared" si="264"/>
        <v>36.239800129849542</v>
      </c>
    </row>
    <row r="514" spans="31:63" x14ac:dyDescent="0.3">
      <c r="AE514" s="367">
        <f t="shared" si="265"/>
        <v>3087000000</v>
      </c>
      <c r="AF514" s="158">
        <f t="shared" si="266"/>
        <v>3675</v>
      </c>
      <c r="AG514" s="41">
        <v>147</v>
      </c>
      <c r="AH514" s="41" t="s">
        <v>376</v>
      </c>
      <c r="AI514" s="362">
        <f t="shared" si="246"/>
        <v>30</v>
      </c>
      <c r="AJ514" s="370">
        <f t="shared" si="247"/>
        <v>27</v>
      </c>
      <c r="AK514" s="232">
        <f t="shared" si="248"/>
        <v>0.39750000000000002</v>
      </c>
      <c r="AL514" s="433">
        <f t="shared" si="249"/>
        <v>0.159</v>
      </c>
      <c r="AM514" s="224">
        <f t="shared" si="250"/>
        <v>1.5600000000000002E-3</v>
      </c>
      <c r="AN514" s="368">
        <f t="shared" si="251"/>
        <v>5.5650000000000005E-2</v>
      </c>
      <c r="AO514" s="369">
        <f t="shared" si="252"/>
        <v>2.3077257367928001</v>
      </c>
      <c r="AQ514" s="388">
        <f t="shared" si="263"/>
        <v>2.3649357367928001</v>
      </c>
      <c r="AR514" s="389">
        <f t="shared" si="269"/>
        <v>2.2960541133910679</v>
      </c>
      <c r="AS514" s="389">
        <f t="shared" si="269"/>
        <v>2.2291787508651146</v>
      </c>
      <c r="AT514" s="389">
        <f t="shared" si="270"/>
        <v>2.16425121443215</v>
      </c>
      <c r="AU514" s="389">
        <f t="shared" si="270"/>
        <v>2.1012147712933498</v>
      </c>
      <c r="AV514" s="389">
        <f t="shared" si="270"/>
        <v>2.0400143410615046</v>
      </c>
      <c r="AW514" s="389">
        <f t="shared" si="270"/>
        <v>1.9805964476325288</v>
      </c>
      <c r="AX514" s="389">
        <f t="shared" si="270"/>
        <v>1.9229091724587657</v>
      </c>
      <c r="AY514" s="389">
        <f t="shared" si="270"/>
        <v>1.8669021091832678</v>
      </c>
      <c r="AZ514" s="389">
        <f t="shared" si="270"/>
        <v>1.8125263195954056</v>
      </c>
      <c r="BA514" s="389">
        <f t="shared" si="270"/>
        <v>1.7597342908693259</v>
      </c>
      <c r="BB514" s="389">
        <f t="shared" si="270"/>
        <v>1.7084798940478891</v>
      </c>
      <c r="BC514" s="389">
        <f t="shared" si="270"/>
        <v>1.6587183437358151</v>
      </c>
      <c r="BD514" s="389">
        <f t="shared" si="271"/>
        <v>1.6104061589668108</v>
      </c>
      <c r="BE514" s="389">
        <f t="shared" si="271"/>
        <v>1.5635011252104958</v>
      </c>
      <c r="BF514" s="389">
        <f t="shared" si="271"/>
        <v>1.517962257485918</v>
      </c>
      <c r="BG514" s="389">
        <f t="shared" si="271"/>
        <v>1.4737497645494353</v>
      </c>
      <c r="BH514" s="389">
        <f t="shared" si="271"/>
        <v>1.4308250141256653</v>
      </c>
      <c r="BI514" s="389">
        <f t="shared" si="271"/>
        <v>1.3891504991511314</v>
      </c>
      <c r="BJ514" s="389">
        <f t="shared" si="271"/>
        <v>1.3486898050010985</v>
      </c>
      <c r="BK514" s="390">
        <f t="shared" si="264"/>
        <v>36.239800129849542</v>
      </c>
    </row>
    <row r="515" spans="31:63" x14ac:dyDescent="0.3">
      <c r="AE515" s="367">
        <f t="shared" si="265"/>
        <v>3108000000</v>
      </c>
      <c r="AF515" s="158">
        <f t="shared" si="266"/>
        <v>3700</v>
      </c>
      <c r="AG515" s="41">
        <v>148</v>
      </c>
      <c r="AH515" s="41" t="s">
        <v>376</v>
      </c>
      <c r="AI515" s="362">
        <f t="shared" si="246"/>
        <v>30</v>
      </c>
      <c r="AJ515" s="370">
        <f t="shared" si="247"/>
        <v>27</v>
      </c>
      <c r="AK515" s="232">
        <f t="shared" si="248"/>
        <v>0.39750000000000002</v>
      </c>
      <c r="AL515" s="433">
        <f t="shared" si="249"/>
        <v>0.159</v>
      </c>
      <c r="AM515" s="224">
        <f t="shared" si="250"/>
        <v>1.5600000000000002E-3</v>
      </c>
      <c r="AN515" s="368">
        <f t="shared" si="251"/>
        <v>5.5650000000000005E-2</v>
      </c>
      <c r="AO515" s="369">
        <f t="shared" si="252"/>
        <v>2.3077257367928001</v>
      </c>
      <c r="AQ515" s="388">
        <f t="shared" si="263"/>
        <v>2.3649357367928001</v>
      </c>
      <c r="AR515" s="389">
        <f t="shared" si="269"/>
        <v>2.2960541133910679</v>
      </c>
      <c r="AS515" s="389">
        <f t="shared" si="269"/>
        <v>2.2291787508651146</v>
      </c>
      <c r="AT515" s="389">
        <f t="shared" si="270"/>
        <v>2.16425121443215</v>
      </c>
      <c r="AU515" s="389">
        <f t="shared" si="270"/>
        <v>2.1012147712933498</v>
      </c>
      <c r="AV515" s="389">
        <f t="shared" si="270"/>
        <v>2.0400143410615046</v>
      </c>
      <c r="AW515" s="389">
        <f t="shared" si="270"/>
        <v>1.9805964476325288</v>
      </c>
      <c r="AX515" s="389">
        <f t="shared" si="270"/>
        <v>1.9229091724587657</v>
      </c>
      <c r="AY515" s="389">
        <f t="shared" si="270"/>
        <v>1.8669021091832678</v>
      </c>
      <c r="AZ515" s="389">
        <f t="shared" si="270"/>
        <v>1.8125263195954056</v>
      </c>
      <c r="BA515" s="389">
        <f t="shared" si="270"/>
        <v>1.7597342908693259</v>
      </c>
      <c r="BB515" s="389">
        <f t="shared" si="270"/>
        <v>1.7084798940478891</v>
      </c>
      <c r="BC515" s="389">
        <f t="shared" si="270"/>
        <v>1.6587183437358151</v>
      </c>
      <c r="BD515" s="389">
        <f t="shared" si="271"/>
        <v>1.6104061589668108</v>
      </c>
      <c r="BE515" s="389">
        <f t="shared" si="271"/>
        <v>1.5635011252104958</v>
      </c>
      <c r="BF515" s="389">
        <f t="shared" si="271"/>
        <v>1.517962257485918</v>
      </c>
      <c r="BG515" s="389">
        <f t="shared" si="271"/>
        <v>1.4737497645494353</v>
      </c>
      <c r="BH515" s="389">
        <f t="shared" si="271"/>
        <v>1.4308250141256653</v>
      </c>
      <c r="BI515" s="389">
        <f t="shared" si="271"/>
        <v>1.3891504991511314</v>
      </c>
      <c r="BJ515" s="389">
        <f t="shared" si="271"/>
        <v>1.3486898050010985</v>
      </c>
      <c r="BK515" s="390">
        <f t="shared" si="264"/>
        <v>36.239800129849542</v>
      </c>
    </row>
    <row r="516" spans="31:63" x14ac:dyDescent="0.3">
      <c r="AE516" s="367">
        <f t="shared" si="265"/>
        <v>3129000000</v>
      </c>
      <c r="AF516" s="158">
        <f t="shared" si="266"/>
        <v>3725</v>
      </c>
      <c r="AG516" s="41">
        <v>149</v>
      </c>
      <c r="AH516" s="41" t="s">
        <v>376</v>
      </c>
      <c r="AI516" s="362">
        <f t="shared" ref="AI516:AI544" si="272">AI334*$B$3</f>
        <v>30</v>
      </c>
      <c r="AJ516" s="370">
        <f t="shared" ref="AJ516:AJ544" si="273">AJ334*$B$4</f>
        <v>27</v>
      </c>
      <c r="AK516" s="232">
        <f t="shared" ref="AK516:AK544" si="274">AK334*$B$5</f>
        <v>0.39750000000000002</v>
      </c>
      <c r="AL516" s="433">
        <f t="shared" ref="AL516:AL544" si="275">AL334*$B$6</f>
        <v>0.159</v>
      </c>
      <c r="AM516" s="224">
        <f t="shared" ref="AM516:AM544" si="276">AM334*$B$7</f>
        <v>1.5600000000000002E-3</v>
      </c>
      <c r="AN516" s="368">
        <f t="shared" ref="AN516:AN544" si="277">(AK516+AL516)*(AN334/100)</f>
        <v>5.5650000000000005E-2</v>
      </c>
      <c r="AO516" s="369">
        <f t="shared" ref="AO516:AO544" si="278">AO334*$B$9</f>
        <v>2.3077257367928001</v>
      </c>
      <c r="AQ516" s="388">
        <f t="shared" si="263"/>
        <v>2.3649357367928001</v>
      </c>
      <c r="AR516" s="389">
        <f t="shared" si="269"/>
        <v>2.2960541133910679</v>
      </c>
      <c r="AS516" s="389">
        <f t="shared" si="269"/>
        <v>2.2291787508651146</v>
      </c>
      <c r="AT516" s="389">
        <f t="shared" si="270"/>
        <v>2.16425121443215</v>
      </c>
      <c r="AU516" s="389">
        <f t="shared" si="270"/>
        <v>2.1012147712933498</v>
      </c>
      <c r="AV516" s="389">
        <f t="shared" si="270"/>
        <v>2.0400143410615046</v>
      </c>
      <c r="AW516" s="389">
        <f t="shared" si="270"/>
        <v>1.9805964476325288</v>
      </c>
      <c r="AX516" s="389">
        <f t="shared" si="270"/>
        <v>1.9229091724587657</v>
      </c>
      <c r="AY516" s="389">
        <f t="shared" si="270"/>
        <v>1.8669021091832678</v>
      </c>
      <c r="AZ516" s="389">
        <f t="shared" si="270"/>
        <v>1.8125263195954056</v>
      </c>
      <c r="BA516" s="389">
        <f t="shared" si="270"/>
        <v>1.7597342908693259</v>
      </c>
      <c r="BB516" s="389">
        <f t="shared" si="270"/>
        <v>1.7084798940478891</v>
      </c>
      <c r="BC516" s="389">
        <f t="shared" si="270"/>
        <v>1.6587183437358151</v>
      </c>
      <c r="BD516" s="389">
        <f t="shared" si="271"/>
        <v>1.6104061589668108</v>
      </c>
      <c r="BE516" s="389">
        <f t="shared" si="271"/>
        <v>1.5635011252104958</v>
      </c>
      <c r="BF516" s="389">
        <f t="shared" si="271"/>
        <v>1.517962257485918</v>
      </c>
      <c r="BG516" s="389">
        <f t="shared" si="271"/>
        <v>1.4737497645494353</v>
      </c>
      <c r="BH516" s="389">
        <f t="shared" si="271"/>
        <v>1.4308250141256653</v>
      </c>
      <c r="BI516" s="389">
        <f t="shared" si="271"/>
        <v>1.3891504991511314</v>
      </c>
      <c r="BJ516" s="389">
        <f t="shared" si="271"/>
        <v>1.3486898050010985</v>
      </c>
      <c r="BK516" s="390">
        <f t="shared" si="264"/>
        <v>36.239800129849542</v>
      </c>
    </row>
    <row r="517" spans="31:63" x14ac:dyDescent="0.3">
      <c r="AE517" s="367">
        <f t="shared" si="265"/>
        <v>3150000000</v>
      </c>
      <c r="AF517" s="158">
        <f t="shared" si="266"/>
        <v>3750</v>
      </c>
      <c r="AG517" s="41">
        <v>150</v>
      </c>
      <c r="AH517" s="41" t="s">
        <v>376</v>
      </c>
      <c r="AI517" s="362">
        <f t="shared" si="272"/>
        <v>30</v>
      </c>
      <c r="AJ517" s="370">
        <f t="shared" si="273"/>
        <v>27</v>
      </c>
      <c r="AK517" s="232">
        <f t="shared" si="274"/>
        <v>0.39750000000000002</v>
      </c>
      <c r="AL517" s="433">
        <f t="shared" si="275"/>
        <v>0.159</v>
      </c>
      <c r="AM517" s="224">
        <f t="shared" si="276"/>
        <v>1.5600000000000002E-3</v>
      </c>
      <c r="AN517" s="368">
        <f t="shared" si="277"/>
        <v>5.5650000000000005E-2</v>
      </c>
      <c r="AO517" s="369">
        <f t="shared" si="278"/>
        <v>2.3077257367928001</v>
      </c>
      <c r="AQ517" s="388">
        <f t="shared" si="263"/>
        <v>2.3649357367928001</v>
      </c>
      <c r="AR517" s="389">
        <f t="shared" si="269"/>
        <v>2.2960541133910679</v>
      </c>
      <c r="AS517" s="389">
        <f t="shared" si="269"/>
        <v>2.2291787508651146</v>
      </c>
      <c r="AT517" s="389">
        <f t="shared" si="270"/>
        <v>2.16425121443215</v>
      </c>
      <c r="AU517" s="389">
        <f t="shared" si="270"/>
        <v>2.1012147712933498</v>
      </c>
      <c r="AV517" s="389">
        <f t="shared" si="270"/>
        <v>2.0400143410615046</v>
      </c>
      <c r="AW517" s="389">
        <f t="shared" si="270"/>
        <v>1.9805964476325288</v>
      </c>
      <c r="AX517" s="389">
        <f t="shared" si="270"/>
        <v>1.9229091724587657</v>
      </c>
      <c r="AY517" s="389">
        <f t="shared" si="270"/>
        <v>1.8669021091832678</v>
      </c>
      <c r="AZ517" s="389">
        <f t="shared" si="270"/>
        <v>1.8125263195954056</v>
      </c>
      <c r="BA517" s="389">
        <f t="shared" si="270"/>
        <v>1.7597342908693259</v>
      </c>
      <c r="BB517" s="389">
        <f t="shared" si="270"/>
        <v>1.7084798940478891</v>
      </c>
      <c r="BC517" s="389">
        <f t="shared" si="270"/>
        <v>1.6587183437358151</v>
      </c>
      <c r="BD517" s="389">
        <f t="shared" si="271"/>
        <v>1.6104061589668108</v>
      </c>
      <c r="BE517" s="389">
        <f t="shared" si="271"/>
        <v>1.5635011252104958</v>
      </c>
      <c r="BF517" s="389">
        <f t="shared" si="271"/>
        <v>1.517962257485918</v>
      </c>
      <c r="BG517" s="389">
        <f t="shared" si="271"/>
        <v>1.4737497645494353</v>
      </c>
      <c r="BH517" s="389">
        <f t="shared" si="271"/>
        <v>1.4308250141256653</v>
      </c>
      <c r="BI517" s="389">
        <f t="shared" si="271"/>
        <v>1.3891504991511314</v>
      </c>
      <c r="BJ517" s="389">
        <f t="shared" si="271"/>
        <v>1.3486898050010985</v>
      </c>
      <c r="BK517" s="390">
        <f t="shared" si="264"/>
        <v>36.239800129849542</v>
      </c>
    </row>
    <row r="518" spans="31:63" x14ac:dyDescent="0.3">
      <c r="AE518" s="367">
        <f t="shared" si="265"/>
        <v>3171000000</v>
      </c>
      <c r="AF518" s="158">
        <f t="shared" si="266"/>
        <v>3775</v>
      </c>
      <c r="AG518" s="41">
        <v>151</v>
      </c>
      <c r="AH518" s="41" t="s">
        <v>376</v>
      </c>
      <c r="AI518" s="362">
        <f t="shared" si="272"/>
        <v>30</v>
      </c>
      <c r="AJ518" s="370">
        <f t="shared" si="273"/>
        <v>27</v>
      </c>
      <c r="AK518" s="232">
        <f t="shared" si="274"/>
        <v>0.39750000000000002</v>
      </c>
      <c r="AL518" s="433">
        <f t="shared" si="275"/>
        <v>0.159</v>
      </c>
      <c r="AM518" s="224">
        <f t="shared" si="276"/>
        <v>1.5600000000000002E-3</v>
      </c>
      <c r="AN518" s="368">
        <f t="shared" si="277"/>
        <v>5.5650000000000005E-2</v>
      </c>
      <c r="AO518" s="369">
        <f t="shared" si="278"/>
        <v>2.3077257367928001</v>
      </c>
      <c r="AQ518" s="388">
        <f t="shared" si="263"/>
        <v>2.3649357367928001</v>
      </c>
      <c r="AR518" s="389">
        <f t="shared" si="269"/>
        <v>2.2960541133910679</v>
      </c>
      <c r="AS518" s="389">
        <f t="shared" si="269"/>
        <v>2.2291787508651146</v>
      </c>
      <c r="AT518" s="389">
        <f t="shared" ref="AT518:BC527" si="279">$AQ518/POWER(1+($B$10/100),AT$366-2024)</f>
        <v>2.16425121443215</v>
      </c>
      <c r="AU518" s="389">
        <f t="shared" si="279"/>
        <v>2.1012147712933498</v>
      </c>
      <c r="AV518" s="389">
        <f t="shared" si="279"/>
        <v>2.0400143410615046</v>
      </c>
      <c r="AW518" s="389">
        <f t="shared" si="279"/>
        <v>1.9805964476325288</v>
      </c>
      <c r="AX518" s="389">
        <f t="shared" si="279"/>
        <v>1.9229091724587657</v>
      </c>
      <c r="AY518" s="389">
        <f t="shared" si="279"/>
        <v>1.8669021091832678</v>
      </c>
      <c r="AZ518" s="389">
        <f t="shared" si="279"/>
        <v>1.8125263195954056</v>
      </c>
      <c r="BA518" s="389">
        <f t="shared" si="279"/>
        <v>1.7597342908693259</v>
      </c>
      <c r="BB518" s="389">
        <f t="shared" si="279"/>
        <v>1.7084798940478891</v>
      </c>
      <c r="BC518" s="389">
        <f t="shared" si="279"/>
        <v>1.6587183437358151</v>
      </c>
      <c r="BD518" s="389">
        <f t="shared" ref="BD518:BJ527" si="280">$AQ518/POWER(1+($B$10/100),BD$366-2024)</f>
        <v>1.6104061589668108</v>
      </c>
      <c r="BE518" s="389">
        <f t="shared" si="280"/>
        <v>1.5635011252104958</v>
      </c>
      <c r="BF518" s="389">
        <f t="shared" si="280"/>
        <v>1.517962257485918</v>
      </c>
      <c r="BG518" s="389">
        <f t="shared" si="280"/>
        <v>1.4737497645494353</v>
      </c>
      <c r="BH518" s="389">
        <f t="shared" si="280"/>
        <v>1.4308250141256653</v>
      </c>
      <c r="BI518" s="389">
        <f t="shared" si="280"/>
        <v>1.3891504991511314</v>
      </c>
      <c r="BJ518" s="389">
        <f t="shared" si="280"/>
        <v>1.3486898050010985</v>
      </c>
      <c r="BK518" s="390">
        <f t="shared" si="264"/>
        <v>36.239800129849542</v>
      </c>
    </row>
    <row r="519" spans="31:63" x14ac:dyDescent="0.3">
      <c r="AE519" s="367">
        <f t="shared" si="265"/>
        <v>3192000000</v>
      </c>
      <c r="AF519" s="158">
        <f t="shared" si="266"/>
        <v>3800</v>
      </c>
      <c r="AG519" s="41">
        <v>152</v>
      </c>
      <c r="AH519" s="41" t="s">
        <v>376</v>
      </c>
      <c r="AI519" s="362">
        <f t="shared" si="272"/>
        <v>30</v>
      </c>
      <c r="AJ519" s="370">
        <f t="shared" si="273"/>
        <v>27</v>
      </c>
      <c r="AK519" s="232">
        <f t="shared" si="274"/>
        <v>0.39750000000000002</v>
      </c>
      <c r="AL519" s="433">
        <f t="shared" si="275"/>
        <v>0.159</v>
      </c>
      <c r="AM519" s="224">
        <f t="shared" si="276"/>
        <v>1.5600000000000002E-3</v>
      </c>
      <c r="AN519" s="368">
        <f t="shared" si="277"/>
        <v>5.5650000000000005E-2</v>
      </c>
      <c r="AO519" s="369">
        <f t="shared" si="278"/>
        <v>2.3077257367928001</v>
      </c>
      <c r="AQ519" s="388">
        <f t="shared" si="263"/>
        <v>2.3649357367928001</v>
      </c>
      <c r="AR519" s="389">
        <f t="shared" si="269"/>
        <v>2.2960541133910679</v>
      </c>
      <c r="AS519" s="389">
        <f t="shared" si="269"/>
        <v>2.2291787508651146</v>
      </c>
      <c r="AT519" s="389">
        <f t="shared" si="279"/>
        <v>2.16425121443215</v>
      </c>
      <c r="AU519" s="389">
        <f t="shared" si="279"/>
        <v>2.1012147712933498</v>
      </c>
      <c r="AV519" s="389">
        <f t="shared" si="279"/>
        <v>2.0400143410615046</v>
      </c>
      <c r="AW519" s="389">
        <f t="shared" si="279"/>
        <v>1.9805964476325288</v>
      </c>
      <c r="AX519" s="389">
        <f t="shared" si="279"/>
        <v>1.9229091724587657</v>
      </c>
      <c r="AY519" s="389">
        <f t="shared" si="279"/>
        <v>1.8669021091832678</v>
      </c>
      <c r="AZ519" s="389">
        <f t="shared" si="279"/>
        <v>1.8125263195954056</v>
      </c>
      <c r="BA519" s="389">
        <f t="shared" si="279"/>
        <v>1.7597342908693259</v>
      </c>
      <c r="BB519" s="389">
        <f t="shared" si="279"/>
        <v>1.7084798940478891</v>
      </c>
      <c r="BC519" s="389">
        <f t="shared" si="279"/>
        <v>1.6587183437358151</v>
      </c>
      <c r="BD519" s="389">
        <f t="shared" si="280"/>
        <v>1.6104061589668108</v>
      </c>
      <c r="BE519" s="389">
        <f t="shared" si="280"/>
        <v>1.5635011252104958</v>
      </c>
      <c r="BF519" s="389">
        <f t="shared" si="280"/>
        <v>1.517962257485918</v>
      </c>
      <c r="BG519" s="389">
        <f t="shared" si="280"/>
        <v>1.4737497645494353</v>
      </c>
      <c r="BH519" s="389">
        <f t="shared" si="280"/>
        <v>1.4308250141256653</v>
      </c>
      <c r="BI519" s="389">
        <f t="shared" si="280"/>
        <v>1.3891504991511314</v>
      </c>
      <c r="BJ519" s="389">
        <f t="shared" si="280"/>
        <v>1.3486898050010985</v>
      </c>
      <c r="BK519" s="390">
        <f t="shared" si="264"/>
        <v>36.239800129849542</v>
      </c>
    </row>
    <row r="520" spans="31:63" x14ac:dyDescent="0.3">
      <c r="AE520" s="367">
        <f t="shared" si="265"/>
        <v>3213000000</v>
      </c>
      <c r="AF520" s="158">
        <f t="shared" si="266"/>
        <v>3825</v>
      </c>
      <c r="AG520" s="41">
        <v>153</v>
      </c>
      <c r="AH520" s="41" t="s">
        <v>376</v>
      </c>
      <c r="AI520" s="362">
        <f t="shared" si="272"/>
        <v>30</v>
      </c>
      <c r="AJ520" s="370">
        <f t="shared" si="273"/>
        <v>27</v>
      </c>
      <c r="AK520" s="232">
        <f t="shared" si="274"/>
        <v>0.39750000000000002</v>
      </c>
      <c r="AL520" s="433">
        <f t="shared" si="275"/>
        <v>0.159</v>
      </c>
      <c r="AM520" s="224">
        <f t="shared" si="276"/>
        <v>1.5600000000000002E-3</v>
      </c>
      <c r="AN520" s="368">
        <f t="shared" si="277"/>
        <v>5.5650000000000005E-2</v>
      </c>
      <c r="AO520" s="369">
        <f t="shared" si="278"/>
        <v>2.3077257367928001</v>
      </c>
      <c r="AQ520" s="388">
        <f t="shared" si="263"/>
        <v>2.3649357367928001</v>
      </c>
      <c r="AR520" s="389">
        <f t="shared" si="269"/>
        <v>2.2960541133910679</v>
      </c>
      <c r="AS520" s="389">
        <f t="shared" si="269"/>
        <v>2.2291787508651146</v>
      </c>
      <c r="AT520" s="389">
        <f t="shared" si="279"/>
        <v>2.16425121443215</v>
      </c>
      <c r="AU520" s="389">
        <f t="shared" si="279"/>
        <v>2.1012147712933498</v>
      </c>
      <c r="AV520" s="389">
        <f t="shared" si="279"/>
        <v>2.0400143410615046</v>
      </c>
      <c r="AW520" s="389">
        <f t="shared" si="279"/>
        <v>1.9805964476325288</v>
      </c>
      <c r="AX520" s="389">
        <f t="shared" si="279"/>
        <v>1.9229091724587657</v>
      </c>
      <c r="AY520" s="389">
        <f t="shared" si="279"/>
        <v>1.8669021091832678</v>
      </c>
      <c r="AZ520" s="389">
        <f t="shared" si="279"/>
        <v>1.8125263195954056</v>
      </c>
      <c r="BA520" s="389">
        <f t="shared" si="279"/>
        <v>1.7597342908693259</v>
      </c>
      <c r="BB520" s="389">
        <f t="shared" si="279"/>
        <v>1.7084798940478891</v>
      </c>
      <c r="BC520" s="389">
        <f t="shared" si="279"/>
        <v>1.6587183437358151</v>
      </c>
      <c r="BD520" s="389">
        <f t="shared" si="280"/>
        <v>1.6104061589668108</v>
      </c>
      <c r="BE520" s="389">
        <f t="shared" si="280"/>
        <v>1.5635011252104958</v>
      </c>
      <c r="BF520" s="389">
        <f t="shared" si="280"/>
        <v>1.517962257485918</v>
      </c>
      <c r="BG520" s="389">
        <f t="shared" si="280"/>
        <v>1.4737497645494353</v>
      </c>
      <c r="BH520" s="389">
        <f t="shared" si="280"/>
        <v>1.4308250141256653</v>
      </c>
      <c r="BI520" s="389">
        <f t="shared" si="280"/>
        <v>1.3891504991511314</v>
      </c>
      <c r="BJ520" s="389">
        <f t="shared" si="280"/>
        <v>1.3486898050010985</v>
      </c>
      <c r="BK520" s="390">
        <f t="shared" si="264"/>
        <v>36.239800129849542</v>
      </c>
    </row>
    <row r="521" spans="31:63" x14ac:dyDescent="0.3">
      <c r="AE521" s="367">
        <f t="shared" si="265"/>
        <v>3234000000</v>
      </c>
      <c r="AF521" s="158">
        <f t="shared" si="266"/>
        <v>3850</v>
      </c>
      <c r="AG521" s="41">
        <v>154</v>
      </c>
      <c r="AH521" s="41" t="s">
        <v>376</v>
      </c>
      <c r="AI521" s="362">
        <f t="shared" si="272"/>
        <v>30</v>
      </c>
      <c r="AJ521" s="370">
        <f t="shared" si="273"/>
        <v>27</v>
      </c>
      <c r="AK521" s="232">
        <f t="shared" si="274"/>
        <v>0.39750000000000002</v>
      </c>
      <c r="AL521" s="433">
        <f t="shared" si="275"/>
        <v>0.159</v>
      </c>
      <c r="AM521" s="224">
        <f t="shared" si="276"/>
        <v>1.5600000000000002E-3</v>
      </c>
      <c r="AN521" s="368">
        <f t="shared" si="277"/>
        <v>5.5650000000000005E-2</v>
      </c>
      <c r="AO521" s="369">
        <f t="shared" si="278"/>
        <v>2.3077257367928001</v>
      </c>
      <c r="AQ521" s="388">
        <f t="shared" si="263"/>
        <v>2.3649357367928001</v>
      </c>
      <c r="AR521" s="389">
        <f t="shared" si="269"/>
        <v>2.2960541133910679</v>
      </c>
      <c r="AS521" s="389">
        <f t="shared" si="269"/>
        <v>2.2291787508651146</v>
      </c>
      <c r="AT521" s="389">
        <f t="shared" si="279"/>
        <v>2.16425121443215</v>
      </c>
      <c r="AU521" s="389">
        <f t="shared" si="279"/>
        <v>2.1012147712933498</v>
      </c>
      <c r="AV521" s="389">
        <f t="shared" si="279"/>
        <v>2.0400143410615046</v>
      </c>
      <c r="AW521" s="389">
        <f t="shared" si="279"/>
        <v>1.9805964476325288</v>
      </c>
      <c r="AX521" s="389">
        <f t="shared" si="279"/>
        <v>1.9229091724587657</v>
      </c>
      <c r="AY521" s="389">
        <f t="shared" si="279"/>
        <v>1.8669021091832678</v>
      </c>
      <c r="AZ521" s="389">
        <f t="shared" si="279"/>
        <v>1.8125263195954056</v>
      </c>
      <c r="BA521" s="389">
        <f t="shared" si="279"/>
        <v>1.7597342908693259</v>
      </c>
      <c r="BB521" s="389">
        <f t="shared" si="279"/>
        <v>1.7084798940478891</v>
      </c>
      <c r="BC521" s="389">
        <f t="shared" si="279"/>
        <v>1.6587183437358151</v>
      </c>
      <c r="BD521" s="389">
        <f t="shared" si="280"/>
        <v>1.6104061589668108</v>
      </c>
      <c r="BE521" s="389">
        <f t="shared" si="280"/>
        <v>1.5635011252104958</v>
      </c>
      <c r="BF521" s="389">
        <f t="shared" si="280"/>
        <v>1.517962257485918</v>
      </c>
      <c r="BG521" s="389">
        <f t="shared" si="280"/>
        <v>1.4737497645494353</v>
      </c>
      <c r="BH521" s="389">
        <f t="shared" si="280"/>
        <v>1.4308250141256653</v>
      </c>
      <c r="BI521" s="389">
        <f t="shared" si="280"/>
        <v>1.3891504991511314</v>
      </c>
      <c r="BJ521" s="389">
        <f t="shared" si="280"/>
        <v>1.3486898050010985</v>
      </c>
      <c r="BK521" s="390">
        <f t="shared" si="264"/>
        <v>36.239800129849542</v>
      </c>
    </row>
    <row r="522" spans="31:63" x14ac:dyDescent="0.3">
      <c r="AE522" s="367">
        <f t="shared" si="265"/>
        <v>3255000000</v>
      </c>
      <c r="AF522" s="158">
        <f t="shared" si="266"/>
        <v>3875</v>
      </c>
      <c r="AG522" s="41">
        <v>155</v>
      </c>
      <c r="AH522" s="41" t="s">
        <v>376</v>
      </c>
      <c r="AI522" s="362">
        <f t="shared" si="272"/>
        <v>30</v>
      </c>
      <c r="AJ522" s="370">
        <f t="shared" si="273"/>
        <v>27</v>
      </c>
      <c r="AK522" s="232">
        <f t="shared" si="274"/>
        <v>0.39750000000000002</v>
      </c>
      <c r="AL522" s="433">
        <f t="shared" si="275"/>
        <v>0.159</v>
      </c>
      <c r="AM522" s="224">
        <f t="shared" si="276"/>
        <v>1.5600000000000002E-3</v>
      </c>
      <c r="AN522" s="368">
        <f t="shared" si="277"/>
        <v>5.5650000000000005E-2</v>
      </c>
      <c r="AO522" s="369">
        <f t="shared" si="278"/>
        <v>2.3077257367928001</v>
      </c>
      <c r="AQ522" s="388">
        <f t="shared" si="263"/>
        <v>2.3649357367928001</v>
      </c>
      <c r="AR522" s="389">
        <f t="shared" si="269"/>
        <v>2.2960541133910679</v>
      </c>
      <c r="AS522" s="389">
        <f t="shared" si="269"/>
        <v>2.2291787508651146</v>
      </c>
      <c r="AT522" s="389">
        <f t="shared" si="279"/>
        <v>2.16425121443215</v>
      </c>
      <c r="AU522" s="389">
        <f t="shared" si="279"/>
        <v>2.1012147712933498</v>
      </c>
      <c r="AV522" s="389">
        <f t="shared" si="279"/>
        <v>2.0400143410615046</v>
      </c>
      <c r="AW522" s="389">
        <f t="shared" si="279"/>
        <v>1.9805964476325288</v>
      </c>
      <c r="AX522" s="389">
        <f t="shared" si="279"/>
        <v>1.9229091724587657</v>
      </c>
      <c r="AY522" s="389">
        <f t="shared" si="279"/>
        <v>1.8669021091832678</v>
      </c>
      <c r="AZ522" s="389">
        <f t="shared" si="279"/>
        <v>1.8125263195954056</v>
      </c>
      <c r="BA522" s="389">
        <f t="shared" si="279"/>
        <v>1.7597342908693259</v>
      </c>
      <c r="BB522" s="389">
        <f t="shared" si="279"/>
        <v>1.7084798940478891</v>
      </c>
      <c r="BC522" s="389">
        <f t="shared" si="279"/>
        <v>1.6587183437358151</v>
      </c>
      <c r="BD522" s="389">
        <f t="shared" si="280"/>
        <v>1.6104061589668108</v>
      </c>
      <c r="BE522" s="389">
        <f t="shared" si="280"/>
        <v>1.5635011252104958</v>
      </c>
      <c r="BF522" s="389">
        <f t="shared" si="280"/>
        <v>1.517962257485918</v>
      </c>
      <c r="BG522" s="389">
        <f t="shared" si="280"/>
        <v>1.4737497645494353</v>
      </c>
      <c r="BH522" s="389">
        <f t="shared" si="280"/>
        <v>1.4308250141256653</v>
      </c>
      <c r="BI522" s="389">
        <f t="shared" si="280"/>
        <v>1.3891504991511314</v>
      </c>
      <c r="BJ522" s="389">
        <f t="shared" si="280"/>
        <v>1.3486898050010985</v>
      </c>
      <c r="BK522" s="390">
        <f t="shared" si="264"/>
        <v>36.239800129849542</v>
      </c>
    </row>
    <row r="523" spans="31:63" x14ac:dyDescent="0.3">
      <c r="AE523" s="367">
        <f t="shared" si="265"/>
        <v>3276000000</v>
      </c>
      <c r="AF523" s="158">
        <f t="shared" si="266"/>
        <v>3900</v>
      </c>
      <c r="AG523" s="41">
        <v>156</v>
      </c>
      <c r="AH523" s="41" t="s">
        <v>376</v>
      </c>
      <c r="AI523" s="362">
        <f t="shared" si="272"/>
        <v>30</v>
      </c>
      <c r="AJ523" s="370">
        <f t="shared" si="273"/>
        <v>27</v>
      </c>
      <c r="AK523" s="232">
        <f t="shared" si="274"/>
        <v>0.39750000000000002</v>
      </c>
      <c r="AL523" s="433">
        <f t="shared" si="275"/>
        <v>0.159</v>
      </c>
      <c r="AM523" s="224">
        <f t="shared" si="276"/>
        <v>1.5600000000000002E-3</v>
      </c>
      <c r="AN523" s="368">
        <f t="shared" si="277"/>
        <v>5.5650000000000005E-2</v>
      </c>
      <c r="AO523" s="369">
        <f t="shared" si="278"/>
        <v>2.3077257367928001</v>
      </c>
      <c r="AQ523" s="388">
        <f t="shared" si="263"/>
        <v>2.3649357367928001</v>
      </c>
      <c r="AR523" s="389">
        <f t="shared" si="269"/>
        <v>2.2960541133910679</v>
      </c>
      <c r="AS523" s="389">
        <f t="shared" si="269"/>
        <v>2.2291787508651146</v>
      </c>
      <c r="AT523" s="389">
        <f t="shared" si="279"/>
        <v>2.16425121443215</v>
      </c>
      <c r="AU523" s="389">
        <f t="shared" si="279"/>
        <v>2.1012147712933498</v>
      </c>
      <c r="AV523" s="389">
        <f t="shared" si="279"/>
        <v>2.0400143410615046</v>
      </c>
      <c r="AW523" s="389">
        <f t="shared" si="279"/>
        <v>1.9805964476325288</v>
      </c>
      <c r="AX523" s="389">
        <f t="shared" si="279"/>
        <v>1.9229091724587657</v>
      </c>
      <c r="AY523" s="389">
        <f t="shared" si="279"/>
        <v>1.8669021091832678</v>
      </c>
      <c r="AZ523" s="389">
        <f t="shared" si="279"/>
        <v>1.8125263195954056</v>
      </c>
      <c r="BA523" s="389">
        <f t="shared" si="279"/>
        <v>1.7597342908693259</v>
      </c>
      <c r="BB523" s="389">
        <f t="shared" si="279"/>
        <v>1.7084798940478891</v>
      </c>
      <c r="BC523" s="389">
        <f t="shared" si="279"/>
        <v>1.6587183437358151</v>
      </c>
      <c r="BD523" s="389">
        <f t="shared" si="280"/>
        <v>1.6104061589668108</v>
      </c>
      <c r="BE523" s="389">
        <f t="shared" si="280"/>
        <v>1.5635011252104958</v>
      </c>
      <c r="BF523" s="389">
        <f t="shared" si="280"/>
        <v>1.517962257485918</v>
      </c>
      <c r="BG523" s="389">
        <f t="shared" si="280"/>
        <v>1.4737497645494353</v>
      </c>
      <c r="BH523" s="389">
        <f t="shared" si="280"/>
        <v>1.4308250141256653</v>
      </c>
      <c r="BI523" s="389">
        <f t="shared" si="280"/>
        <v>1.3891504991511314</v>
      </c>
      <c r="BJ523" s="389">
        <f t="shared" si="280"/>
        <v>1.3486898050010985</v>
      </c>
      <c r="BK523" s="390">
        <f t="shared" si="264"/>
        <v>36.239800129849542</v>
      </c>
    </row>
    <row r="524" spans="31:63" x14ac:dyDescent="0.3">
      <c r="AE524" s="367">
        <f t="shared" si="265"/>
        <v>3297000000</v>
      </c>
      <c r="AF524" s="158">
        <f t="shared" si="266"/>
        <v>3925</v>
      </c>
      <c r="AG524" s="41">
        <v>157</v>
      </c>
      <c r="AH524" s="41" t="s">
        <v>376</v>
      </c>
      <c r="AI524" s="362">
        <f t="shared" si="272"/>
        <v>30</v>
      </c>
      <c r="AJ524" s="370">
        <f t="shared" si="273"/>
        <v>27</v>
      </c>
      <c r="AK524" s="232">
        <f t="shared" si="274"/>
        <v>0.39750000000000002</v>
      </c>
      <c r="AL524" s="433">
        <f t="shared" si="275"/>
        <v>0.159</v>
      </c>
      <c r="AM524" s="224">
        <f t="shared" si="276"/>
        <v>1.5600000000000002E-3</v>
      </c>
      <c r="AN524" s="368">
        <f t="shared" si="277"/>
        <v>5.5650000000000005E-2</v>
      </c>
      <c r="AO524" s="369">
        <f t="shared" si="278"/>
        <v>2.3077257367928001</v>
      </c>
      <c r="AQ524" s="388">
        <f t="shared" si="263"/>
        <v>2.3649357367928001</v>
      </c>
      <c r="AR524" s="389">
        <f t="shared" si="269"/>
        <v>2.2960541133910679</v>
      </c>
      <c r="AS524" s="389">
        <f t="shared" si="269"/>
        <v>2.2291787508651146</v>
      </c>
      <c r="AT524" s="389">
        <f t="shared" si="279"/>
        <v>2.16425121443215</v>
      </c>
      <c r="AU524" s="389">
        <f t="shared" si="279"/>
        <v>2.1012147712933498</v>
      </c>
      <c r="AV524" s="389">
        <f t="shared" si="279"/>
        <v>2.0400143410615046</v>
      </c>
      <c r="AW524" s="389">
        <f t="shared" si="279"/>
        <v>1.9805964476325288</v>
      </c>
      <c r="AX524" s="389">
        <f t="shared" si="279"/>
        <v>1.9229091724587657</v>
      </c>
      <c r="AY524" s="389">
        <f t="shared" si="279"/>
        <v>1.8669021091832678</v>
      </c>
      <c r="AZ524" s="389">
        <f t="shared" si="279"/>
        <v>1.8125263195954056</v>
      </c>
      <c r="BA524" s="389">
        <f t="shared" si="279"/>
        <v>1.7597342908693259</v>
      </c>
      <c r="BB524" s="389">
        <f t="shared" si="279"/>
        <v>1.7084798940478891</v>
      </c>
      <c r="BC524" s="389">
        <f t="shared" si="279"/>
        <v>1.6587183437358151</v>
      </c>
      <c r="BD524" s="389">
        <f t="shared" si="280"/>
        <v>1.6104061589668108</v>
      </c>
      <c r="BE524" s="389">
        <f t="shared" si="280"/>
        <v>1.5635011252104958</v>
      </c>
      <c r="BF524" s="389">
        <f t="shared" si="280"/>
        <v>1.517962257485918</v>
      </c>
      <c r="BG524" s="389">
        <f t="shared" si="280"/>
        <v>1.4737497645494353</v>
      </c>
      <c r="BH524" s="389">
        <f t="shared" si="280"/>
        <v>1.4308250141256653</v>
      </c>
      <c r="BI524" s="389">
        <f t="shared" si="280"/>
        <v>1.3891504991511314</v>
      </c>
      <c r="BJ524" s="389">
        <f t="shared" si="280"/>
        <v>1.3486898050010985</v>
      </c>
      <c r="BK524" s="390">
        <f t="shared" si="264"/>
        <v>36.239800129849542</v>
      </c>
    </row>
    <row r="525" spans="31:63" x14ac:dyDescent="0.3">
      <c r="AE525" s="367">
        <f t="shared" si="265"/>
        <v>3318000000</v>
      </c>
      <c r="AF525" s="158">
        <f t="shared" si="266"/>
        <v>3950</v>
      </c>
      <c r="AG525" s="41">
        <v>158</v>
      </c>
      <c r="AH525" s="41" t="s">
        <v>376</v>
      </c>
      <c r="AI525" s="362">
        <f t="shared" si="272"/>
        <v>30</v>
      </c>
      <c r="AJ525" s="370">
        <f t="shared" si="273"/>
        <v>27</v>
      </c>
      <c r="AK525" s="232">
        <f t="shared" si="274"/>
        <v>0.39750000000000002</v>
      </c>
      <c r="AL525" s="433">
        <f t="shared" si="275"/>
        <v>0.159</v>
      </c>
      <c r="AM525" s="224">
        <f t="shared" si="276"/>
        <v>1.5600000000000002E-3</v>
      </c>
      <c r="AN525" s="368">
        <f t="shared" si="277"/>
        <v>5.5650000000000005E-2</v>
      </c>
      <c r="AO525" s="369">
        <f t="shared" si="278"/>
        <v>2.3077257367928001</v>
      </c>
      <c r="AQ525" s="388">
        <f t="shared" si="263"/>
        <v>2.3649357367928001</v>
      </c>
      <c r="AR525" s="389">
        <f t="shared" si="269"/>
        <v>2.2960541133910679</v>
      </c>
      <c r="AS525" s="389">
        <f t="shared" si="269"/>
        <v>2.2291787508651146</v>
      </c>
      <c r="AT525" s="389">
        <f t="shared" si="279"/>
        <v>2.16425121443215</v>
      </c>
      <c r="AU525" s="389">
        <f t="shared" si="279"/>
        <v>2.1012147712933498</v>
      </c>
      <c r="AV525" s="389">
        <f t="shared" si="279"/>
        <v>2.0400143410615046</v>
      </c>
      <c r="AW525" s="389">
        <f t="shared" si="279"/>
        <v>1.9805964476325288</v>
      </c>
      <c r="AX525" s="389">
        <f t="shared" si="279"/>
        <v>1.9229091724587657</v>
      </c>
      <c r="AY525" s="389">
        <f t="shared" si="279"/>
        <v>1.8669021091832678</v>
      </c>
      <c r="AZ525" s="389">
        <f t="shared" si="279"/>
        <v>1.8125263195954056</v>
      </c>
      <c r="BA525" s="389">
        <f t="shared" si="279"/>
        <v>1.7597342908693259</v>
      </c>
      <c r="BB525" s="389">
        <f t="shared" si="279"/>
        <v>1.7084798940478891</v>
      </c>
      <c r="BC525" s="389">
        <f t="shared" si="279"/>
        <v>1.6587183437358151</v>
      </c>
      <c r="BD525" s="389">
        <f t="shared" si="280"/>
        <v>1.6104061589668108</v>
      </c>
      <c r="BE525" s="389">
        <f t="shared" si="280"/>
        <v>1.5635011252104958</v>
      </c>
      <c r="BF525" s="389">
        <f t="shared" si="280"/>
        <v>1.517962257485918</v>
      </c>
      <c r="BG525" s="389">
        <f t="shared" si="280"/>
        <v>1.4737497645494353</v>
      </c>
      <c r="BH525" s="389">
        <f t="shared" si="280"/>
        <v>1.4308250141256653</v>
      </c>
      <c r="BI525" s="389">
        <f t="shared" si="280"/>
        <v>1.3891504991511314</v>
      </c>
      <c r="BJ525" s="389">
        <f t="shared" si="280"/>
        <v>1.3486898050010985</v>
      </c>
      <c r="BK525" s="390">
        <f t="shared" si="264"/>
        <v>36.239800129849542</v>
      </c>
    </row>
    <row r="526" spans="31:63" x14ac:dyDescent="0.3">
      <c r="AE526" s="367">
        <f t="shared" si="265"/>
        <v>3339000000</v>
      </c>
      <c r="AF526" s="158">
        <f t="shared" si="266"/>
        <v>3975</v>
      </c>
      <c r="AG526" s="41">
        <v>159</v>
      </c>
      <c r="AH526" s="41" t="s">
        <v>376</v>
      </c>
      <c r="AI526" s="362">
        <f t="shared" si="272"/>
        <v>30</v>
      </c>
      <c r="AJ526" s="370">
        <f t="shared" si="273"/>
        <v>27</v>
      </c>
      <c r="AK526" s="232">
        <f t="shared" si="274"/>
        <v>0.39750000000000002</v>
      </c>
      <c r="AL526" s="433">
        <f t="shared" si="275"/>
        <v>0.159</v>
      </c>
      <c r="AM526" s="224">
        <f t="shared" si="276"/>
        <v>1.5600000000000002E-3</v>
      </c>
      <c r="AN526" s="368">
        <f t="shared" si="277"/>
        <v>5.5650000000000005E-2</v>
      </c>
      <c r="AO526" s="369">
        <f t="shared" si="278"/>
        <v>2.3077257367928001</v>
      </c>
      <c r="AQ526" s="388">
        <f t="shared" si="263"/>
        <v>2.3649357367928001</v>
      </c>
      <c r="AR526" s="389">
        <f t="shared" si="269"/>
        <v>2.2960541133910679</v>
      </c>
      <c r="AS526" s="389">
        <f t="shared" si="269"/>
        <v>2.2291787508651146</v>
      </c>
      <c r="AT526" s="389">
        <f t="shared" si="279"/>
        <v>2.16425121443215</v>
      </c>
      <c r="AU526" s="389">
        <f t="shared" si="279"/>
        <v>2.1012147712933498</v>
      </c>
      <c r="AV526" s="389">
        <f t="shared" si="279"/>
        <v>2.0400143410615046</v>
      </c>
      <c r="AW526" s="389">
        <f t="shared" si="279"/>
        <v>1.9805964476325288</v>
      </c>
      <c r="AX526" s="389">
        <f t="shared" si="279"/>
        <v>1.9229091724587657</v>
      </c>
      <c r="AY526" s="389">
        <f t="shared" si="279"/>
        <v>1.8669021091832678</v>
      </c>
      <c r="AZ526" s="389">
        <f t="shared" si="279"/>
        <v>1.8125263195954056</v>
      </c>
      <c r="BA526" s="389">
        <f t="shared" si="279"/>
        <v>1.7597342908693259</v>
      </c>
      <c r="BB526" s="389">
        <f t="shared" si="279"/>
        <v>1.7084798940478891</v>
      </c>
      <c r="BC526" s="389">
        <f t="shared" si="279"/>
        <v>1.6587183437358151</v>
      </c>
      <c r="BD526" s="389">
        <f t="shared" si="280"/>
        <v>1.6104061589668108</v>
      </c>
      <c r="BE526" s="389">
        <f t="shared" si="280"/>
        <v>1.5635011252104958</v>
      </c>
      <c r="BF526" s="389">
        <f t="shared" si="280"/>
        <v>1.517962257485918</v>
      </c>
      <c r="BG526" s="389">
        <f t="shared" si="280"/>
        <v>1.4737497645494353</v>
      </c>
      <c r="BH526" s="389">
        <f t="shared" si="280"/>
        <v>1.4308250141256653</v>
      </c>
      <c r="BI526" s="389">
        <f t="shared" si="280"/>
        <v>1.3891504991511314</v>
      </c>
      <c r="BJ526" s="389">
        <f t="shared" si="280"/>
        <v>1.3486898050010985</v>
      </c>
      <c r="BK526" s="390">
        <f t="shared" si="264"/>
        <v>36.239800129849542</v>
      </c>
    </row>
    <row r="527" spans="31:63" x14ac:dyDescent="0.3">
      <c r="AE527" s="367">
        <f t="shared" si="265"/>
        <v>3360000000</v>
      </c>
      <c r="AF527" s="158">
        <f t="shared" si="266"/>
        <v>4000</v>
      </c>
      <c r="AG527" s="41">
        <v>160</v>
      </c>
      <c r="AH527" s="41" t="s">
        <v>376</v>
      </c>
      <c r="AI527" s="362">
        <f t="shared" si="272"/>
        <v>30</v>
      </c>
      <c r="AJ527" s="370">
        <f t="shared" si="273"/>
        <v>27</v>
      </c>
      <c r="AK527" s="232">
        <f t="shared" si="274"/>
        <v>0.39750000000000002</v>
      </c>
      <c r="AL527" s="433">
        <f t="shared" si="275"/>
        <v>0.159</v>
      </c>
      <c r="AM527" s="224">
        <f t="shared" si="276"/>
        <v>1.5600000000000002E-3</v>
      </c>
      <c r="AN527" s="368">
        <f t="shared" si="277"/>
        <v>5.5650000000000005E-2</v>
      </c>
      <c r="AO527" s="369">
        <f t="shared" si="278"/>
        <v>2.3077257367928001</v>
      </c>
      <c r="AQ527" s="388">
        <f t="shared" si="263"/>
        <v>2.3649357367928001</v>
      </c>
      <c r="AR527" s="389">
        <f t="shared" ref="AR527:AS544" si="281">$AQ527/POWER(1+($B$10/100),AR$366-2024)</f>
        <v>2.2960541133910679</v>
      </c>
      <c r="AS527" s="389">
        <f t="shared" si="281"/>
        <v>2.2291787508651146</v>
      </c>
      <c r="AT527" s="389">
        <f t="shared" si="279"/>
        <v>2.16425121443215</v>
      </c>
      <c r="AU527" s="389">
        <f t="shared" si="279"/>
        <v>2.1012147712933498</v>
      </c>
      <c r="AV527" s="389">
        <f t="shared" si="279"/>
        <v>2.0400143410615046</v>
      </c>
      <c r="AW527" s="389">
        <f t="shared" si="279"/>
        <v>1.9805964476325288</v>
      </c>
      <c r="AX527" s="389">
        <f t="shared" si="279"/>
        <v>1.9229091724587657</v>
      </c>
      <c r="AY527" s="389">
        <f t="shared" si="279"/>
        <v>1.8669021091832678</v>
      </c>
      <c r="AZ527" s="389">
        <f t="shared" si="279"/>
        <v>1.8125263195954056</v>
      </c>
      <c r="BA527" s="389">
        <f t="shared" si="279"/>
        <v>1.7597342908693259</v>
      </c>
      <c r="BB527" s="389">
        <f t="shared" si="279"/>
        <v>1.7084798940478891</v>
      </c>
      <c r="BC527" s="389">
        <f t="shared" si="279"/>
        <v>1.6587183437358151</v>
      </c>
      <c r="BD527" s="389">
        <f t="shared" si="280"/>
        <v>1.6104061589668108</v>
      </c>
      <c r="BE527" s="389">
        <f t="shared" si="280"/>
        <v>1.5635011252104958</v>
      </c>
      <c r="BF527" s="389">
        <f t="shared" si="280"/>
        <v>1.517962257485918</v>
      </c>
      <c r="BG527" s="389">
        <f t="shared" si="280"/>
        <v>1.4737497645494353</v>
      </c>
      <c r="BH527" s="389">
        <f t="shared" si="280"/>
        <v>1.4308250141256653</v>
      </c>
      <c r="BI527" s="389">
        <f t="shared" si="280"/>
        <v>1.3891504991511314</v>
      </c>
      <c r="BJ527" s="389">
        <f t="shared" si="280"/>
        <v>1.3486898050010985</v>
      </c>
      <c r="BK527" s="390">
        <f t="shared" si="264"/>
        <v>36.239800129849542</v>
      </c>
    </row>
    <row r="528" spans="31:63" x14ac:dyDescent="0.3">
      <c r="AE528" s="367">
        <f t="shared" si="265"/>
        <v>3381000000</v>
      </c>
      <c r="AF528" s="158">
        <f t="shared" si="266"/>
        <v>4025</v>
      </c>
      <c r="AG528" s="41">
        <v>161</v>
      </c>
      <c r="AH528" s="41" t="s">
        <v>376</v>
      </c>
      <c r="AI528" s="362">
        <f t="shared" si="272"/>
        <v>30</v>
      </c>
      <c r="AJ528" s="370">
        <f t="shared" si="273"/>
        <v>27</v>
      </c>
      <c r="AK528" s="232">
        <f t="shared" si="274"/>
        <v>0.39750000000000002</v>
      </c>
      <c r="AL528" s="433">
        <f t="shared" si="275"/>
        <v>0.159</v>
      </c>
      <c r="AM528" s="224">
        <f t="shared" si="276"/>
        <v>1.5600000000000002E-3</v>
      </c>
      <c r="AN528" s="368">
        <f t="shared" si="277"/>
        <v>5.5650000000000005E-2</v>
      </c>
      <c r="AO528" s="369">
        <f t="shared" si="278"/>
        <v>2.3077257367928001</v>
      </c>
      <c r="AQ528" s="388">
        <f t="shared" si="263"/>
        <v>2.3649357367928001</v>
      </c>
      <c r="AR528" s="389">
        <f t="shared" si="281"/>
        <v>2.2960541133910679</v>
      </c>
      <c r="AS528" s="389">
        <f t="shared" si="281"/>
        <v>2.2291787508651146</v>
      </c>
      <c r="AT528" s="389">
        <f t="shared" ref="AT528:BC537" si="282">$AQ528/POWER(1+($B$10/100),AT$366-2024)</f>
        <v>2.16425121443215</v>
      </c>
      <c r="AU528" s="389">
        <f t="shared" si="282"/>
        <v>2.1012147712933498</v>
      </c>
      <c r="AV528" s="389">
        <f t="shared" si="282"/>
        <v>2.0400143410615046</v>
      </c>
      <c r="AW528" s="389">
        <f t="shared" si="282"/>
        <v>1.9805964476325288</v>
      </c>
      <c r="AX528" s="389">
        <f t="shared" si="282"/>
        <v>1.9229091724587657</v>
      </c>
      <c r="AY528" s="389">
        <f t="shared" si="282"/>
        <v>1.8669021091832678</v>
      </c>
      <c r="AZ528" s="389">
        <f t="shared" si="282"/>
        <v>1.8125263195954056</v>
      </c>
      <c r="BA528" s="389">
        <f t="shared" si="282"/>
        <v>1.7597342908693259</v>
      </c>
      <c r="BB528" s="389">
        <f t="shared" si="282"/>
        <v>1.7084798940478891</v>
      </c>
      <c r="BC528" s="389">
        <f t="shared" si="282"/>
        <v>1.6587183437358151</v>
      </c>
      <c r="BD528" s="389">
        <f t="shared" ref="BD528:BJ537" si="283">$AQ528/POWER(1+($B$10/100),BD$366-2024)</f>
        <v>1.6104061589668108</v>
      </c>
      <c r="BE528" s="389">
        <f t="shared" si="283"/>
        <v>1.5635011252104958</v>
      </c>
      <c r="BF528" s="389">
        <f t="shared" si="283"/>
        <v>1.517962257485918</v>
      </c>
      <c r="BG528" s="389">
        <f t="shared" si="283"/>
        <v>1.4737497645494353</v>
      </c>
      <c r="BH528" s="389">
        <f t="shared" si="283"/>
        <v>1.4308250141256653</v>
      </c>
      <c r="BI528" s="389">
        <f t="shared" si="283"/>
        <v>1.3891504991511314</v>
      </c>
      <c r="BJ528" s="389">
        <f t="shared" si="283"/>
        <v>1.3486898050010985</v>
      </c>
      <c r="BK528" s="390">
        <f t="shared" si="264"/>
        <v>36.239800129849542</v>
      </c>
    </row>
    <row r="529" spans="31:63" x14ac:dyDescent="0.3">
      <c r="AE529" s="367">
        <f t="shared" si="265"/>
        <v>3402000000</v>
      </c>
      <c r="AF529" s="158">
        <f t="shared" si="266"/>
        <v>4050</v>
      </c>
      <c r="AG529" s="41">
        <v>162</v>
      </c>
      <c r="AH529" s="41" t="s">
        <v>376</v>
      </c>
      <c r="AI529" s="362">
        <f t="shared" si="272"/>
        <v>30</v>
      </c>
      <c r="AJ529" s="370">
        <f t="shared" si="273"/>
        <v>27</v>
      </c>
      <c r="AK529" s="232">
        <f t="shared" si="274"/>
        <v>0.39750000000000002</v>
      </c>
      <c r="AL529" s="433">
        <f t="shared" si="275"/>
        <v>0.159</v>
      </c>
      <c r="AM529" s="224">
        <f t="shared" si="276"/>
        <v>1.5600000000000002E-3</v>
      </c>
      <c r="AN529" s="368">
        <f t="shared" si="277"/>
        <v>5.5650000000000005E-2</v>
      </c>
      <c r="AO529" s="369">
        <f t="shared" si="278"/>
        <v>2.3077257367928001</v>
      </c>
      <c r="AQ529" s="388">
        <f t="shared" si="263"/>
        <v>2.3649357367928001</v>
      </c>
      <c r="AR529" s="389">
        <f t="shared" si="281"/>
        <v>2.2960541133910679</v>
      </c>
      <c r="AS529" s="389">
        <f t="shared" si="281"/>
        <v>2.2291787508651146</v>
      </c>
      <c r="AT529" s="389">
        <f t="shared" si="282"/>
        <v>2.16425121443215</v>
      </c>
      <c r="AU529" s="389">
        <f t="shared" si="282"/>
        <v>2.1012147712933498</v>
      </c>
      <c r="AV529" s="389">
        <f t="shared" si="282"/>
        <v>2.0400143410615046</v>
      </c>
      <c r="AW529" s="389">
        <f t="shared" si="282"/>
        <v>1.9805964476325288</v>
      </c>
      <c r="AX529" s="389">
        <f t="shared" si="282"/>
        <v>1.9229091724587657</v>
      </c>
      <c r="AY529" s="389">
        <f t="shared" si="282"/>
        <v>1.8669021091832678</v>
      </c>
      <c r="AZ529" s="389">
        <f t="shared" si="282"/>
        <v>1.8125263195954056</v>
      </c>
      <c r="BA529" s="389">
        <f t="shared" si="282"/>
        <v>1.7597342908693259</v>
      </c>
      <c r="BB529" s="389">
        <f t="shared" si="282"/>
        <v>1.7084798940478891</v>
      </c>
      <c r="BC529" s="389">
        <f t="shared" si="282"/>
        <v>1.6587183437358151</v>
      </c>
      <c r="BD529" s="389">
        <f t="shared" si="283"/>
        <v>1.6104061589668108</v>
      </c>
      <c r="BE529" s="389">
        <f t="shared" si="283"/>
        <v>1.5635011252104958</v>
      </c>
      <c r="BF529" s="389">
        <f t="shared" si="283"/>
        <v>1.517962257485918</v>
      </c>
      <c r="BG529" s="389">
        <f t="shared" si="283"/>
        <v>1.4737497645494353</v>
      </c>
      <c r="BH529" s="389">
        <f t="shared" si="283"/>
        <v>1.4308250141256653</v>
      </c>
      <c r="BI529" s="389">
        <f t="shared" si="283"/>
        <v>1.3891504991511314</v>
      </c>
      <c r="BJ529" s="389">
        <f t="shared" si="283"/>
        <v>1.3486898050010985</v>
      </c>
      <c r="BK529" s="390">
        <f t="shared" si="264"/>
        <v>36.239800129849542</v>
      </c>
    </row>
    <row r="530" spans="31:63" x14ac:dyDescent="0.3">
      <c r="AE530" s="367">
        <f t="shared" si="265"/>
        <v>3423000000</v>
      </c>
      <c r="AF530" s="158">
        <f t="shared" si="266"/>
        <v>4075</v>
      </c>
      <c r="AG530" s="41">
        <v>163</v>
      </c>
      <c r="AH530" s="41" t="s">
        <v>376</v>
      </c>
      <c r="AI530" s="362">
        <f t="shared" si="272"/>
        <v>30</v>
      </c>
      <c r="AJ530" s="370">
        <f t="shared" si="273"/>
        <v>27</v>
      </c>
      <c r="AK530" s="232">
        <f t="shared" si="274"/>
        <v>0.39750000000000002</v>
      </c>
      <c r="AL530" s="433">
        <f t="shared" si="275"/>
        <v>0.159</v>
      </c>
      <c r="AM530" s="224">
        <f t="shared" si="276"/>
        <v>1.5600000000000002E-3</v>
      </c>
      <c r="AN530" s="368">
        <f t="shared" si="277"/>
        <v>5.5650000000000005E-2</v>
      </c>
      <c r="AO530" s="369">
        <f t="shared" si="278"/>
        <v>2.3077257367928001</v>
      </c>
      <c r="AQ530" s="388">
        <f t="shared" si="263"/>
        <v>2.3649357367928001</v>
      </c>
      <c r="AR530" s="389">
        <f t="shared" si="281"/>
        <v>2.2960541133910679</v>
      </c>
      <c r="AS530" s="389">
        <f t="shared" si="281"/>
        <v>2.2291787508651146</v>
      </c>
      <c r="AT530" s="389">
        <f t="shared" si="282"/>
        <v>2.16425121443215</v>
      </c>
      <c r="AU530" s="389">
        <f t="shared" si="282"/>
        <v>2.1012147712933498</v>
      </c>
      <c r="AV530" s="389">
        <f t="shared" si="282"/>
        <v>2.0400143410615046</v>
      </c>
      <c r="AW530" s="389">
        <f t="shared" si="282"/>
        <v>1.9805964476325288</v>
      </c>
      <c r="AX530" s="389">
        <f t="shared" si="282"/>
        <v>1.9229091724587657</v>
      </c>
      <c r="AY530" s="389">
        <f t="shared" si="282"/>
        <v>1.8669021091832678</v>
      </c>
      <c r="AZ530" s="389">
        <f t="shared" si="282"/>
        <v>1.8125263195954056</v>
      </c>
      <c r="BA530" s="389">
        <f t="shared" si="282"/>
        <v>1.7597342908693259</v>
      </c>
      <c r="BB530" s="389">
        <f t="shared" si="282"/>
        <v>1.7084798940478891</v>
      </c>
      <c r="BC530" s="389">
        <f t="shared" si="282"/>
        <v>1.6587183437358151</v>
      </c>
      <c r="BD530" s="389">
        <f t="shared" si="283"/>
        <v>1.6104061589668108</v>
      </c>
      <c r="BE530" s="389">
        <f t="shared" si="283"/>
        <v>1.5635011252104958</v>
      </c>
      <c r="BF530" s="389">
        <f t="shared" si="283"/>
        <v>1.517962257485918</v>
      </c>
      <c r="BG530" s="389">
        <f t="shared" si="283"/>
        <v>1.4737497645494353</v>
      </c>
      <c r="BH530" s="389">
        <f t="shared" si="283"/>
        <v>1.4308250141256653</v>
      </c>
      <c r="BI530" s="389">
        <f t="shared" si="283"/>
        <v>1.3891504991511314</v>
      </c>
      <c r="BJ530" s="389">
        <f t="shared" si="283"/>
        <v>1.3486898050010985</v>
      </c>
      <c r="BK530" s="390">
        <f t="shared" si="264"/>
        <v>36.239800129849542</v>
      </c>
    </row>
    <row r="531" spans="31:63" x14ac:dyDescent="0.3">
      <c r="AE531" s="367">
        <f t="shared" si="265"/>
        <v>3444000000</v>
      </c>
      <c r="AF531" s="158">
        <f t="shared" si="266"/>
        <v>4100</v>
      </c>
      <c r="AG531" s="41">
        <v>164</v>
      </c>
      <c r="AH531" s="41" t="s">
        <v>376</v>
      </c>
      <c r="AI531" s="362">
        <f t="shared" si="272"/>
        <v>30</v>
      </c>
      <c r="AJ531" s="370">
        <f t="shared" si="273"/>
        <v>27</v>
      </c>
      <c r="AK531" s="232">
        <f t="shared" si="274"/>
        <v>0.39750000000000002</v>
      </c>
      <c r="AL531" s="433">
        <f t="shared" si="275"/>
        <v>0.159</v>
      </c>
      <c r="AM531" s="224">
        <f t="shared" si="276"/>
        <v>1.5600000000000002E-3</v>
      </c>
      <c r="AN531" s="368">
        <f t="shared" si="277"/>
        <v>5.5650000000000005E-2</v>
      </c>
      <c r="AO531" s="369">
        <f t="shared" si="278"/>
        <v>2.3077257367928001</v>
      </c>
      <c r="AQ531" s="388">
        <f t="shared" si="263"/>
        <v>2.3649357367928001</v>
      </c>
      <c r="AR531" s="389">
        <f t="shared" si="281"/>
        <v>2.2960541133910679</v>
      </c>
      <c r="AS531" s="389">
        <f t="shared" si="281"/>
        <v>2.2291787508651146</v>
      </c>
      <c r="AT531" s="389">
        <f t="shared" si="282"/>
        <v>2.16425121443215</v>
      </c>
      <c r="AU531" s="389">
        <f t="shared" si="282"/>
        <v>2.1012147712933498</v>
      </c>
      <c r="AV531" s="389">
        <f t="shared" si="282"/>
        <v>2.0400143410615046</v>
      </c>
      <c r="AW531" s="389">
        <f t="shared" si="282"/>
        <v>1.9805964476325288</v>
      </c>
      <c r="AX531" s="389">
        <f t="shared" si="282"/>
        <v>1.9229091724587657</v>
      </c>
      <c r="AY531" s="389">
        <f t="shared" si="282"/>
        <v>1.8669021091832678</v>
      </c>
      <c r="AZ531" s="389">
        <f t="shared" si="282"/>
        <v>1.8125263195954056</v>
      </c>
      <c r="BA531" s="389">
        <f t="shared" si="282"/>
        <v>1.7597342908693259</v>
      </c>
      <c r="BB531" s="389">
        <f t="shared" si="282"/>
        <v>1.7084798940478891</v>
      </c>
      <c r="BC531" s="389">
        <f t="shared" si="282"/>
        <v>1.6587183437358151</v>
      </c>
      <c r="BD531" s="389">
        <f t="shared" si="283"/>
        <v>1.6104061589668108</v>
      </c>
      <c r="BE531" s="389">
        <f t="shared" si="283"/>
        <v>1.5635011252104958</v>
      </c>
      <c r="BF531" s="389">
        <f t="shared" si="283"/>
        <v>1.517962257485918</v>
      </c>
      <c r="BG531" s="389">
        <f t="shared" si="283"/>
        <v>1.4737497645494353</v>
      </c>
      <c r="BH531" s="389">
        <f t="shared" si="283"/>
        <v>1.4308250141256653</v>
      </c>
      <c r="BI531" s="389">
        <f t="shared" si="283"/>
        <v>1.3891504991511314</v>
      </c>
      <c r="BJ531" s="389">
        <f t="shared" si="283"/>
        <v>1.3486898050010985</v>
      </c>
      <c r="BK531" s="390">
        <f t="shared" si="264"/>
        <v>36.239800129849542</v>
      </c>
    </row>
    <row r="532" spans="31:63" x14ac:dyDescent="0.3">
      <c r="AE532" s="367">
        <f t="shared" si="265"/>
        <v>3465000000</v>
      </c>
      <c r="AF532" s="158">
        <f t="shared" si="266"/>
        <v>4125</v>
      </c>
      <c r="AG532" s="41">
        <v>165</v>
      </c>
      <c r="AH532" s="41" t="s">
        <v>376</v>
      </c>
      <c r="AI532" s="362">
        <f t="shared" si="272"/>
        <v>30</v>
      </c>
      <c r="AJ532" s="370">
        <f t="shared" si="273"/>
        <v>27</v>
      </c>
      <c r="AK532" s="232">
        <f t="shared" si="274"/>
        <v>0.39750000000000002</v>
      </c>
      <c r="AL532" s="433">
        <f t="shared" si="275"/>
        <v>0.159</v>
      </c>
      <c r="AM532" s="224">
        <f t="shared" si="276"/>
        <v>1.5600000000000002E-3</v>
      </c>
      <c r="AN532" s="368">
        <f t="shared" si="277"/>
        <v>5.5650000000000005E-2</v>
      </c>
      <c r="AO532" s="369">
        <f t="shared" si="278"/>
        <v>2.3077257367928001</v>
      </c>
      <c r="AQ532" s="388">
        <f t="shared" si="263"/>
        <v>2.3649357367928001</v>
      </c>
      <c r="AR532" s="389">
        <f t="shared" si="281"/>
        <v>2.2960541133910679</v>
      </c>
      <c r="AS532" s="389">
        <f t="shared" si="281"/>
        <v>2.2291787508651146</v>
      </c>
      <c r="AT532" s="389">
        <f t="shared" si="282"/>
        <v>2.16425121443215</v>
      </c>
      <c r="AU532" s="389">
        <f t="shared" si="282"/>
        <v>2.1012147712933498</v>
      </c>
      <c r="AV532" s="389">
        <f t="shared" si="282"/>
        <v>2.0400143410615046</v>
      </c>
      <c r="AW532" s="389">
        <f t="shared" si="282"/>
        <v>1.9805964476325288</v>
      </c>
      <c r="AX532" s="389">
        <f t="shared" si="282"/>
        <v>1.9229091724587657</v>
      </c>
      <c r="AY532" s="389">
        <f t="shared" si="282"/>
        <v>1.8669021091832678</v>
      </c>
      <c r="AZ532" s="389">
        <f t="shared" si="282"/>
        <v>1.8125263195954056</v>
      </c>
      <c r="BA532" s="389">
        <f t="shared" si="282"/>
        <v>1.7597342908693259</v>
      </c>
      <c r="BB532" s="389">
        <f t="shared" si="282"/>
        <v>1.7084798940478891</v>
      </c>
      <c r="BC532" s="389">
        <f t="shared" si="282"/>
        <v>1.6587183437358151</v>
      </c>
      <c r="BD532" s="389">
        <f t="shared" si="283"/>
        <v>1.6104061589668108</v>
      </c>
      <c r="BE532" s="389">
        <f t="shared" si="283"/>
        <v>1.5635011252104958</v>
      </c>
      <c r="BF532" s="389">
        <f t="shared" si="283"/>
        <v>1.517962257485918</v>
      </c>
      <c r="BG532" s="389">
        <f t="shared" si="283"/>
        <v>1.4737497645494353</v>
      </c>
      <c r="BH532" s="389">
        <f t="shared" si="283"/>
        <v>1.4308250141256653</v>
      </c>
      <c r="BI532" s="389">
        <f t="shared" si="283"/>
        <v>1.3891504991511314</v>
      </c>
      <c r="BJ532" s="389">
        <f t="shared" si="283"/>
        <v>1.3486898050010985</v>
      </c>
      <c r="BK532" s="390">
        <f t="shared" si="264"/>
        <v>36.239800129849542</v>
      </c>
    </row>
    <row r="533" spans="31:63" x14ac:dyDescent="0.3">
      <c r="AE533" s="367">
        <f t="shared" si="265"/>
        <v>3486000000</v>
      </c>
      <c r="AF533" s="158">
        <f t="shared" si="266"/>
        <v>4150</v>
      </c>
      <c r="AG533" s="41">
        <v>166</v>
      </c>
      <c r="AH533" s="41" t="s">
        <v>376</v>
      </c>
      <c r="AI533" s="362">
        <f t="shared" si="272"/>
        <v>30</v>
      </c>
      <c r="AJ533" s="370">
        <f t="shared" si="273"/>
        <v>27</v>
      </c>
      <c r="AK533" s="232">
        <f t="shared" si="274"/>
        <v>0.39750000000000002</v>
      </c>
      <c r="AL533" s="433">
        <f t="shared" si="275"/>
        <v>0.159</v>
      </c>
      <c r="AM533" s="224">
        <f t="shared" si="276"/>
        <v>1.5600000000000002E-3</v>
      </c>
      <c r="AN533" s="368">
        <f t="shared" si="277"/>
        <v>5.5650000000000005E-2</v>
      </c>
      <c r="AO533" s="369">
        <f t="shared" si="278"/>
        <v>2.3077257367928001</v>
      </c>
      <c r="AQ533" s="388">
        <f t="shared" si="263"/>
        <v>2.3649357367928001</v>
      </c>
      <c r="AR533" s="389">
        <f t="shared" si="281"/>
        <v>2.2960541133910679</v>
      </c>
      <c r="AS533" s="389">
        <f t="shared" si="281"/>
        <v>2.2291787508651146</v>
      </c>
      <c r="AT533" s="389">
        <f t="shared" si="282"/>
        <v>2.16425121443215</v>
      </c>
      <c r="AU533" s="389">
        <f t="shared" si="282"/>
        <v>2.1012147712933498</v>
      </c>
      <c r="AV533" s="389">
        <f t="shared" si="282"/>
        <v>2.0400143410615046</v>
      </c>
      <c r="AW533" s="389">
        <f t="shared" si="282"/>
        <v>1.9805964476325288</v>
      </c>
      <c r="AX533" s="389">
        <f t="shared" si="282"/>
        <v>1.9229091724587657</v>
      </c>
      <c r="AY533" s="389">
        <f t="shared" si="282"/>
        <v>1.8669021091832678</v>
      </c>
      <c r="AZ533" s="389">
        <f t="shared" si="282"/>
        <v>1.8125263195954056</v>
      </c>
      <c r="BA533" s="389">
        <f t="shared" si="282"/>
        <v>1.7597342908693259</v>
      </c>
      <c r="BB533" s="389">
        <f t="shared" si="282"/>
        <v>1.7084798940478891</v>
      </c>
      <c r="BC533" s="389">
        <f t="shared" si="282"/>
        <v>1.6587183437358151</v>
      </c>
      <c r="BD533" s="389">
        <f t="shared" si="283"/>
        <v>1.6104061589668108</v>
      </c>
      <c r="BE533" s="389">
        <f t="shared" si="283"/>
        <v>1.5635011252104958</v>
      </c>
      <c r="BF533" s="389">
        <f t="shared" si="283"/>
        <v>1.517962257485918</v>
      </c>
      <c r="BG533" s="389">
        <f t="shared" si="283"/>
        <v>1.4737497645494353</v>
      </c>
      <c r="BH533" s="389">
        <f t="shared" si="283"/>
        <v>1.4308250141256653</v>
      </c>
      <c r="BI533" s="389">
        <f t="shared" si="283"/>
        <v>1.3891504991511314</v>
      </c>
      <c r="BJ533" s="389">
        <f t="shared" si="283"/>
        <v>1.3486898050010985</v>
      </c>
      <c r="BK533" s="390">
        <f t="shared" si="264"/>
        <v>36.239800129849542</v>
      </c>
    </row>
    <row r="534" spans="31:63" x14ac:dyDescent="0.3">
      <c r="AE534" s="367">
        <f t="shared" si="265"/>
        <v>3507000000</v>
      </c>
      <c r="AF534" s="158">
        <f t="shared" si="266"/>
        <v>4175</v>
      </c>
      <c r="AG534" s="41">
        <v>167</v>
      </c>
      <c r="AH534" s="41" t="s">
        <v>376</v>
      </c>
      <c r="AI534" s="362">
        <f t="shared" si="272"/>
        <v>30</v>
      </c>
      <c r="AJ534" s="370">
        <f t="shared" si="273"/>
        <v>27</v>
      </c>
      <c r="AK534" s="232">
        <f t="shared" si="274"/>
        <v>0.39750000000000002</v>
      </c>
      <c r="AL534" s="433">
        <f t="shared" si="275"/>
        <v>0.159</v>
      </c>
      <c r="AM534" s="224">
        <f t="shared" si="276"/>
        <v>1.5600000000000002E-3</v>
      </c>
      <c r="AN534" s="368">
        <f t="shared" si="277"/>
        <v>5.5650000000000005E-2</v>
      </c>
      <c r="AO534" s="369">
        <f t="shared" si="278"/>
        <v>2.3077257367928001</v>
      </c>
      <c r="AQ534" s="388">
        <f t="shared" si="263"/>
        <v>2.3649357367928001</v>
      </c>
      <c r="AR534" s="389">
        <f t="shared" si="281"/>
        <v>2.2960541133910679</v>
      </c>
      <c r="AS534" s="389">
        <f t="shared" si="281"/>
        <v>2.2291787508651146</v>
      </c>
      <c r="AT534" s="389">
        <f t="shared" si="282"/>
        <v>2.16425121443215</v>
      </c>
      <c r="AU534" s="389">
        <f t="shared" si="282"/>
        <v>2.1012147712933498</v>
      </c>
      <c r="AV534" s="389">
        <f t="shared" si="282"/>
        <v>2.0400143410615046</v>
      </c>
      <c r="AW534" s="389">
        <f t="shared" si="282"/>
        <v>1.9805964476325288</v>
      </c>
      <c r="AX534" s="389">
        <f t="shared" si="282"/>
        <v>1.9229091724587657</v>
      </c>
      <c r="AY534" s="389">
        <f t="shared" si="282"/>
        <v>1.8669021091832678</v>
      </c>
      <c r="AZ534" s="389">
        <f t="shared" si="282"/>
        <v>1.8125263195954056</v>
      </c>
      <c r="BA534" s="389">
        <f t="shared" si="282"/>
        <v>1.7597342908693259</v>
      </c>
      <c r="BB534" s="389">
        <f t="shared" si="282"/>
        <v>1.7084798940478891</v>
      </c>
      <c r="BC534" s="389">
        <f t="shared" si="282"/>
        <v>1.6587183437358151</v>
      </c>
      <c r="BD534" s="389">
        <f t="shared" si="283"/>
        <v>1.6104061589668108</v>
      </c>
      <c r="BE534" s="389">
        <f t="shared" si="283"/>
        <v>1.5635011252104958</v>
      </c>
      <c r="BF534" s="389">
        <f t="shared" si="283"/>
        <v>1.517962257485918</v>
      </c>
      <c r="BG534" s="389">
        <f t="shared" si="283"/>
        <v>1.4737497645494353</v>
      </c>
      <c r="BH534" s="389">
        <f t="shared" si="283"/>
        <v>1.4308250141256653</v>
      </c>
      <c r="BI534" s="389">
        <f t="shared" si="283"/>
        <v>1.3891504991511314</v>
      </c>
      <c r="BJ534" s="389">
        <f t="shared" si="283"/>
        <v>1.3486898050010985</v>
      </c>
      <c r="BK534" s="390">
        <f t="shared" si="264"/>
        <v>36.239800129849542</v>
      </c>
    </row>
    <row r="535" spans="31:63" x14ac:dyDescent="0.3">
      <c r="AE535" s="367">
        <f t="shared" si="265"/>
        <v>3528000000</v>
      </c>
      <c r="AF535" s="158">
        <f t="shared" si="266"/>
        <v>4200</v>
      </c>
      <c r="AG535" s="41">
        <v>168</v>
      </c>
      <c r="AH535" s="41" t="s">
        <v>376</v>
      </c>
      <c r="AI535" s="362">
        <f t="shared" si="272"/>
        <v>30</v>
      </c>
      <c r="AJ535" s="370">
        <f t="shared" si="273"/>
        <v>27</v>
      </c>
      <c r="AK535" s="232">
        <f t="shared" si="274"/>
        <v>0.39750000000000002</v>
      </c>
      <c r="AL535" s="433">
        <f t="shared" si="275"/>
        <v>0.159</v>
      </c>
      <c r="AM535" s="224">
        <f t="shared" si="276"/>
        <v>1.5600000000000002E-3</v>
      </c>
      <c r="AN535" s="368">
        <f t="shared" si="277"/>
        <v>5.5650000000000005E-2</v>
      </c>
      <c r="AO535" s="369">
        <f t="shared" si="278"/>
        <v>2.3077257367928001</v>
      </c>
      <c r="AQ535" s="388">
        <f t="shared" si="263"/>
        <v>2.3649357367928001</v>
      </c>
      <c r="AR535" s="389">
        <f t="shared" si="281"/>
        <v>2.2960541133910679</v>
      </c>
      <c r="AS535" s="389">
        <f t="shared" si="281"/>
        <v>2.2291787508651146</v>
      </c>
      <c r="AT535" s="389">
        <f t="shared" si="282"/>
        <v>2.16425121443215</v>
      </c>
      <c r="AU535" s="389">
        <f t="shared" si="282"/>
        <v>2.1012147712933498</v>
      </c>
      <c r="AV535" s="389">
        <f t="shared" si="282"/>
        <v>2.0400143410615046</v>
      </c>
      <c r="AW535" s="389">
        <f t="shared" si="282"/>
        <v>1.9805964476325288</v>
      </c>
      <c r="AX535" s="389">
        <f t="shared" si="282"/>
        <v>1.9229091724587657</v>
      </c>
      <c r="AY535" s="389">
        <f t="shared" si="282"/>
        <v>1.8669021091832678</v>
      </c>
      <c r="AZ535" s="389">
        <f t="shared" si="282"/>
        <v>1.8125263195954056</v>
      </c>
      <c r="BA535" s="389">
        <f t="shared" si="282"/>
        <v>1.7597342908693259</v>
      </c>
      <c r="BB535" s="389">
        <f t="shared" si="282"/>
        <v>1.7084798940478891</v>
      </c>
      <c r="BC535" s="389">
        <f t="shared" si="282"/>
        <v>1.6587183437358151</v>
      </c>
      <c r="BD535" s="389">
        <f t="shared" si="283"/>
        <v>1.6104061589668108</v>
      </c>
      <c r="BE535" s="389">
        <f t="shared" si="283"/>
        <v>1.5635011252104958</v>
      </c>
      <c r="BF535" s="389">
        <f t="shared" si="283"/>
        <v>1.517962257485918</v>
      </c>
      <c r="BG535" s="389">
        <f t="shared" si="283"/>
        <v>1.4737497645494353</v>
      </c>
      <c r="BH535" s="389">
        <f t="shared" si="283"/>
        <v>1.4308250141256653</v>
      </c>
      <c r="BI535" s="389">
        <f t="shared" si="283"/>
        <v>1.3891504991511314</v>
      </c>
      <c r="BJ535" s="389">
        <f t="shared" si="283"/>
        <v>1.3486898050010985</v>
      </c>
      <c r="BK535" s="390">
        <f t="shared" si="264"/>
        <v>36.239800129849542</v>
      </c>
    </row>
    <row r="536" spans="31:63" x14ac:dyDescent="0.3">
      <c r="AE536" s="367">
        <f t="shared" si="265"/>
        <v>3549000000</v>
      </c>
      <c r="AF536" s="158">
        <f t="shared" si="266"/>
        <v>4225</v>
      </c>
      <c r="AG536" s="41">
        <v>169</v>
      </c>
      <c r="AH536" s="41" t="s">
        <v>376</v>
      </c>
      <c r="AI536" s="362">
        <f t="shared" si="272"/>
        <v>30</v>
      </c>
      <c r="AJ536" s="370">
        <f t="shared" si="273"/>
        <v>27</v>
      </c>
      <c r="AK536" s="232">
        <f t="shared" si="274"/>
        <v>0.39750000000000002</v>
      </c>
      <c r="AL536" s="433">
        <f t="shared" si="275"/>
        <v>0.159</v>
      </c>
      <c r="AM536" s="224">
        <f t="shared" si="276"/>
        <v>1.5600000000000002E-3</v>
      </c>
      <c r="AN536" s="368">
        <f t="shared" si="277"/>
        <v>5.5650000000000005E-2</v>
      </c>
      <c r="AO536" s="369">
        <f t="shared" si="278"/>
        <v>2.3077257367928001</v>
      </c>
      <c r="AQ536" s="388">
        <f t="shared" si="263"/>
        <v>2.3649357367928001</v>
      </c>
      <c r="AR536" s="389">
        <f t="shared" si="281"/>
        <v>2.2960541133910679</v>
      </c>
      <c r="AS536" s="389">
        <f t="shared" si="281"/>
        <v>2.2291787508651146</v>
      </c>
      <c r="AT536" s="389">
        <f t="shared" si="282"/>
        <v>2.16425121443215</v>
      </c>
      <c r="AU536" s="389">
        <f t="shared" si="282"/>
        <v>2.1012147712933498</v>
      </c>
      <c r="AV536" s="389">
        <f t="shared" si="282"/>
        <v>2.0400143410615046</v>
      </c>
      <c r="AW536" s="389">
        <f t="shared" si="282"/>
        <v>1.9805964476325288</v>
      </c>
      <c r="AX536" s="389">
        <f t="shared" si="282"/>
        <v>1.9229091724587657</v>
      </c>
      <c r="AY536" s="389">
        <f t="shared" si="282"/>
        <v>1.8669021091832678</v>
      </c>
      <c r="AZ536" s="389">
        <f t="shared" si="282"/>
        <v>1.8125263195954056</v>
      </c>
      <c r="BA536" s="389">
        <f t="shared" si="282"/>
        <v>1.7597342908693259</v>
      </c>
      <c r="BB536" s="389">
        <f t="shared" si="282"/>
        <v>1.7084798940478891</v>
      </c>
      <c r="BC536" s="389">
        <f t="shared" si="282"/>
        <v>1.6587183437358151</v>
      </c>
      <c r="BD536" s="389">
        <f t="shared" si="283"/>
        <v>1.6104061589668108</v>
      </c>
      <c r="BE536" s="389">
        <f t="shared" si="283"/>
        <v>1.5635011252104958</v>
      </c>
      <c r="BF536" s="389">
        <f t="shared" si="283"/>
        <v>1.517962257485918</v>
      </c>
      <c r="BG536" s="389">
        <f t="shared" si="283"/>
        <v>1.4737497645494353</v>
      </c>
      <c r="BH536" s="389">
        <f t="shared" si="283"/>
        <v>1.4308250141256653</v>
      </c>
      <c r="BI536" s="389">
        <f t="shared" si="283"/>
        <v>1.3891504991511314</v>
      </c>
      <c r="BJ536" s="389">
        <f t="shared" si="283"/>
        <v>1.3486898050010985</v>
      </c>
      <c r="BK536" s="390">
        <f t="shared" si="264"/>
        <v>36.239800129849542</v>
      </c>
    </row>
    <row r="537" spans="31:63" x14ac:dyDescent="0.3">
      <c r="AE537" s="367">
        <f t="shared" si="265"/>
        <v>3570000000</v>
      </c>
      <c r="AF537" s="158">
        <f t="shared" si="266"/>
        <v>4250</v>
      </c>
      <c r="AG537" s="41">
        <v>170</v>
      </c>
      <c r="AH537" s="41" t="s">
        <v>376</v>
      </c>
      <c r="AI537" s="362">
        <f t="shared" si="272"/>
        <v>30</v>
      </c>
      <c r="AJ537" s="370">
        <f t="shared" si="273"/>
        <v>27</v>
      </c>
      <c r="AK537" s="232">
        <f t="shared" si="274"/>
        <v>0.39750000000000002</v>
      </c>
      <c r="AL537" s="433">
        <f t="shared" si="275"/>
        <v>0.159</v>
      </c>
      <c r="AM537" s="224">
        <f t="shared" si="276"/>
        <v>1.5600000000000002E-3</v>
      </c>
      <c r="AN537" s="368">
        <f t="shared" si="277"/>
        <v>5.5650000000000005E-2</v>
      </c>
      <c r="AO537" s="369">
        <f t="shared" si="278"/>
        <v>2.3077257367928001</v>
      </c>
      <c r="AQ537" s="388">
        <f t="shared" si="263"/>
        <v>2.3649357367928001</v>
      </c>
      <c r="AR537" s="389">
        <f t="shared" si="281"/>
        <v>2.2960541133910679</v>
      </c>
      <c r="AS537" s="389">
        <f t="shared" si="281"/>
        <v>2.2291787508651146</v>
      </c>
      <c r="AT537" s="389">
        <f t="shared" si="282"/>
        <v>2.16425121443215</v>
      </c>
      <c r="AU537" s="389">
        <f t="shared" si="282"/>
        <v>2.1012147712933498</v>
      </c>
      <c r="AV537" s="389">
        <f t="shared" si="282"/>
        <v>2.0400143410615046</v>
      </c>
      <c r="AW537" s="389">
        <f t="shared" si="282"/>
        <v>1.9805964476325288</v>
      </c>
      <c r="AX537" s="389">
        <f t="shared" si="282"/>
        <v>1.9229091724587657</v>
      </c>
      <c r="AY537" s="389">
        <f t="shared" si="282"/>
        <v>1.8669021091832678</v>
      </c>
      <c r="AZ537" s="389">
        <f t="shared" si="282"/>
        <v>1.8125263195954056</v>
      </c>
      <c r="BA537" s="389">
        <f t="shared" si="282"/>
        <v>1.7597342908693259</v>
      </c>
      <c r="BB537" s="389">
        <f t="shared" si="282"/>
        <v>1.7084798940478891</v>
      </c>
      <c r="BC537" s="389">
        <f t="shared" si="282"/>
        <v>1.6587183437358151</v>
      </c>
      <c r="BD537" s="389">
        <f t="shared" si="283"/>
        <v>1.6104061589668108</v>
      </c>
      <c r="BE537" s="389">
        <f t="shared" si="283"/>
        <v>1.5635011252104958</v>
      </c>
      <c r="BF537" s="389">
        <f t="shared" si="283"/>
        <v>1.517962257485918</v>
      </c>
      <c r="BG537" s="389">
        <f t="shared" si="283"/>
        <v>1.4737497645494353</v>
      </c>
      <c r="BH537" s="389">
        <f t="shared" si="283"/>
        <v>1.4308250141256653</v>
      </c>
      <c r="BI537" s="389">
        <f t="shared" si="283"/>
        <v>1.3891504991511314</v>
      </c>
      <c r="BJ537" s="389">
        <f t="shared" si="283"/>
        <v>1.3486898050010985</v>
      </c>
      <c r="BK537" s="390">
        <f t="shared" si="264"/>
        <v>36.239800129849542</v>
      </c>
    </row>
    <row r="538" spans="31:63" x14ac:dyDescent="0.3">
      <c r="AE538" s="367">
        <f t="shared" si="265"/>
        <v>3591000000</v>
      </c>
      <c r="AF538" s="158">
        <f t="shared" si="266"/>
        <v>4275</v>
      </c>
      <c r="AG538" s="41">
        <v>171</v>
      </c>
      <c r="AH538" s="41" t="s">
        <v>376</v>
      </c>
      <c r="AI538" s="362">
        <f t="shared" si="272"/>
        <v>30</v>
      </c>
      <c r="AJ538" s="370">
        <f t="shared" si="273"/>
        <v>27</v>
      </c>
      <c r="AK538" s="232">
        <f t="shared" si="274"/>
        <v>0.39750000000000002</v>
      </c>
      <c r="AL538" s="433">
        <f t="shared" si="275"/>
        <v>0.159</v>
      </c>
      <c r="AM538" s="224">
        <f t="shared" si="276"/>
        <v>1.5600000000000002E-3</v>
      </c>
      <c r="AN538" s="368">
        <f t="shared" si="277"/>
        <v>5.5650000000000005E-2</v>
      </c>
      <c r="AO538" s="369">
        <f t="shared" si="278"/>
        <v>2.3077257367928001</v>
      </c>
      <c r="AQ538" s="388">
        <f t="shared" si="263"/>
        <v>2.3649357367928001</v>
      </c>
      <c r="AR538" s="389">
        <f t="shared" si="281"/>
        <v>2.2960541133910679</v>
      </c>
      <c r="AS538" s="389">
        <f t="shared" si="281"/>
        <v>2.2291787508651146</v>
      </c>
      <c r="AT538" s="389">
        <f t="shared" ref="AT538:BC544" si="284">$AQ538/POWER(1+($B$10/100),AT$366-2024)</f>
        <v>2.16425121443215</v>
      </c>
      <c r="AU538" s="389">
        <f t="shared" si="284"/>
        <v>2.1012147712933498</v>
      </c>
      <c r="AV538" s="389">
        <f t="shared" si="284"/>
        <v>2.0400143410615046</v>
      </c>
      <c r="AW538" s="389">
        <f t="shared" si="284"/>
        <v>1.9805964476325288</v>
      </c>
      <c r="AX538" s="389">
        <f t="shared" si="284"/>
        <v>1.9229091724587657</v>
      </c>
      <c r="AY538" s="389">
        <f t="shared" si="284"/>
        <v>1.8669021091832678</v>
      </c>
      <c r="AZ538" s="389">
        <f t="shared" si="284"/>
        <v>1.8125263195954056</v>
      </c>
      <c r="BA538" s="389">
        <f t="shared" si="284"/>
        <v>1.7597342908693259</v>
      </c>
      <c r="BB538" s="389">
        <f t="shared" si="284"/>
        <v>1.7084798940478891</v>
      </c>
      <c r="BC538" s="389">
        <f t="shared" si="284"/>
        <v>1.6587183437358151</v>
      </c>
      <c r="BD538" s="389">
        <f t="shared" ref="BD538:BJ544" si="285">$AQ538/POWER(1+($B$10/100),BD$366-2024)</f>
        <v>1.6104061589668108</v>
      </c>
      <c r="BE538" s="389">
        <f t="shared" si="285"/>
        <v>1.5635011252104958</v>
      </c>
      <c r="BF538" s="389">
        <f t="shared" si="285"/>
        <v>1.517962257485918</v>
      </c>
      <c r="BG538" s="389">
        <f t="shared" si="285"/>
        <v>1.4737497645494353</v>
      </c>
      <c r="BH538" s="389">
        <f t="shared" si="285"/>
        <v>1.4308250141256653</v>
      </c>
      <c r="BI538" s="389">
        <f t="shared" si="285"/>
        <v>1.3891504991511314</v>
      </c>
      <c r="BJ538" s="389">
        <f t="shared" si="285"/>
        <v>1.3486898050010985</v>
      </c>
      <c r="BK538" s="390">
        <f t="shared" si="264"/>
        <v>36.239800129849542</v>
      </c>
    </row>
    <row r="539" spans="31:63" x14ac:dyDescent="0.3">
      <c r="AE539" s="367">
        <f t="shared" si="265"/>
        <v>3612000000</v>
      </c>
      <c r="AF539" s="158">
        <f t="shared" si="266"/>
        <v>4300</v>
      </c>
      <c r="AG539" s="41">
        <v>172</v>
      </c>
      <c r="AH539" s="41" t="s">
        <v>376</v>
      </c>
      <c r="AI539" s="362">
        <f t="shared" si="272"/>
        <v>30</v>
      </c>
      <c r="AJ539" s="370">
        <f t="shared" si="273"/>
        <v>27</v>
      </c>
      <c r="AK539" s="232">
        <f t="shared" si="274"/>
        <v>0.39750000000000002</v>
      </c>
      <c r="AL539" s="433">
        <f t="shared" si="275"/>
        <v>0.159</v>
      </c>
      <c r="AM539" s="224">
        <f t="shared" si="276"/>
        <v>1.5600000000000002E-3</v>
      </c>
      <c r="AN539" s="368">
        <f t="shared" si="277"/>
        <v>5.5650000000000005E-2</v>
      </c>
      <c r="AO539" s="369">
        <f t="shared" si="278"/>
        <v>2.3077257367928001</v>
      </c>
      <c r="AQ539" s="388">
        <f t="shared" si="263"/>
        <v>2.3649357367928001</v>
      </c>
      <c r="AR539" s="389">
        <f t="shared" si="281"/>
        <v>2.2960541133910679</v>
      </c>
      <c r="AS539" s="389">
        <f t="shared" si="281"/>
        <v>2.2291787508651146</v>
      </c>
      <c r="AT539" s="389">
        <f t="shared" si="284"/>
        <v>2.16425121443215</v>
      </c>
      <c r="AU539" s="389">
        <f t="shared" si="284"/>
        <v>2.1012147712933498</v>
      </c>
      <c r="AV539" s="389">
        <f t="shared" si="284"/>
        <v>2.0400143410615046</v>
      </c>
      <c r="AW539" s="389">
        <f t="shared" si="284"/>
        <v>1.9805964476325288</v>
      </c>
      <c r="AX539" s="389">
        <f t="shared" si="284"/>
        <v>1.9229091724587657</v>
      </c>
      <c r="AY539" s="389">
        <f t="shared" si="284"/>
        <v>1.8669021091832678</v>
      </c>
      <c r="AZ539" s="389">
        <f t="shared" si="284"/>
        <v>1.8125263195954056</v>
      </c>
      <c r="BA539" s="389">
        <f t="shared" si="284"/>
        <v>1.7597342908693259</v>
      </c>
      <c r="BB539" s="389">
        <f t="shared" si="284"/>
        <v>1.7084798940478891</v>
      </c>
      <c r="BC539" s="389">
        <f t="shared" si="284"/>
        <v>1.6587183437358151</v>
      </c>
      <c r="BD539" s="389">
        <f t="shared" si="285"/>
        <v>1.6104061589668108</v>
      </c>
      <c r="BE539" s="389">
        <f t="shared" si="285"/>
        <v>1.5635011252104958</v>
      </c>
      <c r="BF539" s="389">
        <f t="shared" si="285"/>
        <v>1.517962257485918</v>
      </c>
      <c r="BG539" s="389">
        <f t="shared" si="285"/>
        <v>1.4737497645494353</v>
      </c>
      <c r="BH539" s="389">
        <f t="shared" si="285"/>
        <v>1.4308250141256653</v>
      </c>
      <c r="BI539" s="389">
        <f t="shared" si="285"/>
        <v>1.3891504991511314</v>
      </c>
      <c r="BJ539" s="389">
        <f t="shared" si="285"/>
        <v>1.3486898050010985</v>
      </c>
      <c r="BK539" s="390">
        <f t="shared" si="264"/>
        <v>36.239800129849542</v>
      </c>
    </row>
    <row r="540" spans="31:63" x14ac:dyDescent="0.3">
      <c r="AE540" s="367">
        <f t="shared" si="265"/>
        <v>3633000000</v>
      </c>
      <c r="AF540" s="158">
        <f t="shared" si="266"/>
        <v>4325</v>
      </c>
      <c r="AG540" s="41">
        <v>173</v>
      </c>
      <c r="AH540" s="41" t="s">
        <v>376</v>
      </c>
      <c r="AI540" s="362">
        <f t="shared" si="272"/>
        <v>30</v>
      </c>
      <c r="AJ540" s="370">
        <f t="shared" si="273"/>
        <v>27</v>
      </c>
      <c r="AK540" s="232">
        <f t="shared" si="274"/>
        <v>0.39750000000000002</v>
      </c>
      <c r="AL540" s="433">
        <f t="shared" si="275"/>
        <v>0.159</v>
      </c>
      <c r="AM540" s="224">
        <f t="shared" si="276"/>
        <v>1.5600000000000002E-3</v>
      </c>
      <c r="AN540" s="368">
        <f t="shared" si="277"/>
        <v>5.5650000000000005E-2</v>
      </c>
      <c r="AO540" s="369">
        <f t="shared" si="278"/>
        <v>2.3077257367928001</v>
      </c>
      <c r="AQ540" s="388">
        <f t="shared" si="263"/>
        <v>2.3649357367928001</v>
      </c>
      <c r="AR540" s="389">
        <f t="shared" si="281"/>
        <v>2.2960541133910679</v>
      </c>
      <c r="AS540" s="389">
        <f t="shared" si="281"/>
        <v>2.2291787508651146</v>
      </c>
      <c r="AT540" s="389">
        <f t="shared" si="284"/>
        <v>2.16425121443215</v>
      </c>
      <c r="AU540" s="389">
        <f t="shared" si="284"/>
        <v>2.1012147712933498</v>
      </c>
      <c r="AV540" s="389">
        <f t="shared" si="284"/>
        <v>2.0400143410615046</v>
      </c>
      <c r="AW540" s="389">
        <f t="shared" si="284"/>
        <v>1.9805964476325288</v>
      </c>
      <c r="AX540" s="389">
        <f t="shared" si="284"/>
        <v>1.9229091724587657</v>
      </c>
      <c r="AY540" s="389">
        <f t="shared" si="284"/>
        <v>1.8669021091832678</v>
      </c>
      <c r="AZ540" s="389">
        <f t="shared" si="284"/>
        <v>1.8125263195954056</v>
      </c>
      <c r="BA540" s="389">
        <f t="shared" si="284"/>
        <v>1.7597342908693259</v>
      </c>
      <c r="BB540" s="389">
        <f t="shared" si="284"/>
        <v>1.7084798940478891</v>
      </c>
      <c r="BC540" s="389">
        <f t="shared" si="284"/>
        <v>1.6587183437358151</v>
      </c>
      <c r="BD540" s="389">
        <f t="shared" si="285"/>
        <v>1.6104061589668108</v>
      </c>
      <c r="BE540" s="389">
        <f t="shared" si="285"/>
        <v>1.5635011252104958</v>
      </c>
      <c r="BF540" s="389">
        <f t="shared" si="285"/>
        <v>1.517962257485918</v>
      </c>
      <c r="BG540" s="389">
        <f t="shared" si="285"/>
        <v>1.4737497645494353</v>
      </c>
      <c r="BH540" s="389">
        <f t="shared" si="285"/>
        <v>1.4308250141256653</v>
      </c>
      <c r="BI540" s="389">
        <f t="shared" si="285"/>
        <v>1.3891504991511314</v>
      </c>
      <c r="BJ540" s="389">
        <f t="shared" si="285"/>
        <v>1.3486898050010985</v>
      </c>
      <c r="BK540" s="390">
        <f t="shared" si="264"/>
        <v>36.239800129849542</v>
      </c>
    </row>
    <row r="541" spans="31:63" x14ac:dyDescent="0.3">
      <c r="AE541" s="367">
        <f t="shared" si="265"/>
        <v>3654000000</v>
      </c>
      <c r="AF541" s="158">
        <f t="shared" si="266"/>
        <v>4350</v>
      </c>
      <c r="AG541" s="41">
        <v>174</v>
      </c>
      <c r="AH541" s="41" t="s">
        <v>376</v>
      </c>
      <c r="AI541" s="362">
        <f t="shared" si="272"/>
        <v>30</v>
      </c>
      <c r="AJ541" s="370">
        <f t="shared" si="273"/>
        <v>27</v>
      </c>
      <c r="AK541" s="232">
        <f t="shared" si="274"/>
        <v>0.39750000000000002</v>
      </c>
      <c r="AL541" s="433">
        <f t="shared" si="275"/>
        <v>0.159</v>
      </c>
      <c r="AM541" s="224">
        <f t="shared" si="276"/>
        <v>1.5600000000000002E-3</v>
      </c>
      <c r="AN541" s="368">
        <f t="shared" si="277"/>
        <v>5.5650000000000005E-2</v>
      </c>
      <c r="AO541" s="369">
        <f t="shared" si="278"/>
        <v>2.3077257367928001</v>
      </c>
      <c r="AQ541" s="388">
        <f t="shared" si="263"/>
        <v>2.3649357367928001</v>
      </c>
      <c r="AR541" s="389">
        <f t="shared" si="281"/>
        <v>2.2960541133910679</v>
      </c>
      <c r="AS541" s="389">
        <f t="shared" si="281"/>
        <v>2.2291787508651146</v>
      </c>
      <c r="AT541" s="389">
        <f t="shared" si="284"/>
        <v>2.16425121443215</v>
      </c>
      <c r="AU541" s="389">
        <f t="shared" si="284"/>
        <v>2.1012147712933498</v>
      </c>
      <c r="AV541" s="389">
        <f t="shared" si="284"/>
        <v>2.0400143410615046</v>
      </c>
      <c r="AW541" s="389">
        <f t="shared" si="284"/>
        <v>1.9805964476325288</v>
      </c>
      <c r="AX541" s="389">
        <f t="shared" si="284"/>
        <v>1.9229091724587657</v>
      </c>
      <c r="AY541" s="389">
        <f t="shared" si="284"/>
        <v>1.8669021091832678</v>
      </c>
      <c r="AZ541" s="389">
        <f t="shared" si="284"/>
        <v>1.8125263195954056</v>
      </c>
      <c r="BA541" s="389">
        <f t="shared" si="284"/>
        <v>1.7597342908693259</v>
      </c>
      <c r="BB541" s="389">
        <f t="shared" si="284"/>
        <v>1.7084798940478891</v>
      </c>
      <c r="BC541" s="389">
        <f t="shared" si="284"/>
        <v>1.6587183437358151</v>
      </c>
      <c r="BD541" s="389">
        <f t="shared" si="285"/>
        <v>1.6104061589668108</v>
      </c>
      <c r="BE541" s="389">
        <f t="shared" si="285"/>
        <v>1.5635011252104958</v>
      </c>
      <c r="BF541" s="389">
        <f t="shared" si="285"/>
        <v>1.517962257485918</v>
      </c>
      <c r="BG541" s="389">
        <f t="shared" si="285"/>
        <v>1.4737497645494353</v>
      </c>
      <c r="BH541" s="389">
        <f t="shared" si="285"/>
        <v>1.4308250141256653</v>
      </c>
      <c r="BI541" s="389">
        <f t="shared" si="285"/>
        <v>1.3891504991511314</v>
      </c>
      <c r="BJ541" s="389">
        <f t="shared" si="285"/>
        <v>1.3486898050010985</v>
      </c>
      <c r="BK541" s="390">
        <f t="shared" si="264"/>
        <v>36.239800129849542</v>
      </c>
    </row>
    <row r="542" spans="31:63" x14ac:dyDescent="0.3">
      <c r="AE542" s="367">
        <f t="shared" si="265"/>
        <v>3675000000</v>
      </c>
      <c r="AF542" s="158">
        <f t="shared" si="266"/>
        <v>4375</v>
      </c>
      <c r="AG542" s="41">
        <v>175</v>
      </c>
      <c r="AH542" s="41" t="s">
        <v>376</v>
      </c>
      <c r="AI542" s="362">
        <f t="shared" si="272"/>
        <v>30</v>
      </c>
      <c r="AJ542" s="370">
        <f t="shared" si="273"/>
        <v>27</v>
      </c>
      <c r="AK542" s="232">
        <f t="shared" si="274"/>
        <v>0.39750000000000002</v>
      </c>
      <c r="AL542" s="433">
        <f t="shared" si="275"/>
        <v>0.159</v>
      </c>
      <c r="AM542" s="224">
        <f t="shared" si="276"/>
        <v>1.5600000000000002E-3</v>
      </c>
      <c r="AN542" s="368">
        <f t="shared" si="277"/>
        <v>5.5650000000000005E-2</v>
      </c>
      <c r="AO542" s="369">
        <f t="shared" si="278"/>
        <v>2.3077257367928001</v>
      </c>
      <c r="AQ542" s="388">
        <f t="shared" si="263"/>
        <v>2.3649357367928001</v>
      </c>
      <c r="AR542" s="389">
        <f t="shared" si="281"/>
        <v>2.2960541133910679</v>
      </c>
      <c r="AS542" s="389">
        <f t="shared" si="281"/>
        <v>2.2291787508651146</v>
      </c>
      <c r="AT542" s="389">
        <f t="shared" si="284"/>
        <v>2.16425121443215</v>
      </c>
      <c r="AU542" s="389">
        <f t="shared" si="284"/>
        <v>2.1012147712933498</v>
      </c>
      <c r="AV542" s="389">
        <f t="shared" si="284"/>
        <v>2.0400143410615046</v>
      </c>
      <c r="AW542" s="389">
        <f t="shared" si="284"/>
        <v>1.9805964476325288</v>
      </c>
      <c r="AX542" s="389">
        <f t="shared" si="284"/>
        <v>1.9229091724587657</v>
      </c>
      <c r="AY542" s="389">
        <f t="shared" si="284"/>
        <v>1.8669021091832678</v>
      </c>
      <c r="AZ542" s="389">
        <f t="shared" si="284"/>
        <v>1.8125263195954056</v>
      </c>
      <c r="BA542" s="389">
        <f t="shared" si="284"/>
        <v>1.7597342908693259</v>
      </c>
      <c r="BB542" s="389">
        <f t="shared" si="284"/>
        <v>1.7084798940478891</v>
      </c>
      <c r="BC542" s="389">
        <f t="shared" si="284"/>
        <v>1.6587183437358151</v>
      </c>
      <c r="BD542" s="389">
        <f t="shared" si="285"/>
        <v>1.6104061589668108</v>
      </c>
      <c r="BE542" s="389">
        <f t="shared" si="285"/>
        <v>1.5635011252104958</v>
      </c>
      <c r="BF542" s="389">
        <f t="shared" si="285"/>
        <v>1.517962257485918</v>
      </c>
      <c r="BG542" s="389">
        <f t="shared" si="285"/>
        <v>1.4737497645494353</v>
      </c>
      <c r="BH542" s="389">
        <f t="shared" si="285"/>
        <v>1.4308250141256653</v>
      </c>
      <c r="BI542" s="389">
        <f t="shared" si="285"/>
        <v>1.3891504991511314</v>
      </c>
      <c r="BJ542" s="389">
        <f t="shared" si="285"/>
        <v>1.3486898050010985</v>
      </c>
      <c r="BK542" s="390">
        <f t="shared" si="264"/>
        <v>36.239800129849542</v>
      </c>
    </row>
    <row r="543" spans="31:63" ht="15" thickBot="1" x14ac:dyDescent="0.35">
      <c r="AE543" s="367">
        <f t="shared" si="265"/>
        <v>3696000000</v>
      </c>
      <c r="AF543" s="158">
        <f t="shared" si="266"/>
        <v>4400</v>
      </c>
      <c r="AG543" s="41">
        <v>176</v>
      </c>
      <c r="AH543" s="41" t="s">
        <v>376</v>
      </c>
      <c r="AI543" s="362">
        <f t="shared" si="272"/>
        <v>30</v>
      </c>
      <c r="AJ543" s="370">
        <f t="shared" si="273"/>
        <v>27</v>
      </c>
      <c r="AK543" s="232">
        <f t="shared" si="274"/>
        <v>0.39750000000000002</v>
      </c>
      <c r="AL543" s="433">
        <f t="shared" si="275"/>
        <v>0.159</v>
      </c>
      <c r="AM543" s="224">
        <f t="shared" si="276"/>
        <v>1.5600000000000002E-3</v>
      </c>
      <c r="AN543" s="368">
        <f t="shared" si="277"/>
        <v>5.5650000000000005E-2</v>
      </c>
      <c r="AO543" s="369">
        <f t="shared" si="278"/>
        <v>2.3077257367928001</v>
      </c>
      <c r="AQ543" s="391">
        <f t="shared" si="263"/>
        <v>2.3649357367928001</v>
      </c>
      <c r="AR543" s="392">
        <f t="shared" si="281"/>
        <v>2.2960541133910679</v>
      </c>
      <c r="AS543" s="392">
        <f t="shared" si="281"/>
        <v>2.2291787508651146</v>
      </c>
      <c r="AT543" s="392">
        <f t="shared" si="284"/>
        <v>2.16425121443215</v>
      </c>
      <c r="AU543" s="392">
        <f t="shared" si="284"/>
        <v>2.1012147712933498</v>
      </c>
      <c r="AV543" s="392">
        <f t="shared" si="284"/>
        <v>2.0400143410615046</v>
      </c>
      <c r="AW543" s="392">
        <f t="shared" si="284"/>
        <v>1.9805964476325288</v>
      </c>
      <c r="AX543" s="392">
        <f t="shared" si="284"/>
        <v>1.9229091724587657</v>
      </c>
      <c r="AY543" s="392">
        <f t="shared" si="284"/>
        <v>1.8669021091832678</v>
      </c>
      <c r="AZ543" s="392">
        <f t="shared" si="284"/>
        <v>1.8125263195954056</v>
      </c>
      <c r="BA543" s="392">
        <f t="shared" si="284"/>
        <v>1.7597342908693259</v>
      </c>
      <c r="BB543" s="392">
        <f t="shared" si="284"/>
        <v>1.7084798940478891</v>
      </c>
      <c r="BC543" s="392">
        <f t="shared" si="284"/>
        <v>1.6587183437358151</v>
      </c>
      <c r="BD543" s="392">
        <f t="shared" si="285"/>
        <v>1.6104061589668108</v>
      </c>
      <c r="BE543" s="392">
        <f t="shared" si="285"/>
        <v>1.5635011252104958</v>
      </c>
      <c r="BF543" s="392">
        <f t="shared" si="285"/>
        <v>1.517962257485918</v>
      </c>
      <c r="BG543" s="392">
        <f t="shared" si="285"/>
        <v>1.4737497645494353</v>
      </c>
      <c r="BH543" s="392">
        <f t="shared" si="285"/>
        <v>1.4308250141256653</v>
      </c>
      <c r="BI543" s="392">
        <f t="shared" si="285"/>
        <v>1.3891504991511314</v>
      </c>
      <c r="BJ543" s="392">
        <f t="shared" si="285"/>
        <v>1.3486898050010985</v>
      </c>
      <c r="BK543" s="393">
        <f t="shared" si="264"/>
        <v>36.239800129849542</v>
      </c>
    </row>
    <row r="544" spans="31:63" ht="15" thickBot="1" x14ac:dyDescent="0.35">
      <c r="AE544" s="375">
        <f t="shared" si="265"/>
        <v>3717000000</v>
      </c>
      <c r="AF544" s="157">
        <f t="shared" si="266"/>
        <v>4425</v>
      </c>
      <c r="AG544" s="229">
        <v>177</v>
      </c>
      <c r="AH544" s="229" t="s">
        <v>376</v>
      </c>
      <c r="AI544" s="364">
        <f t="shared" si="272"/>
        <v>30</v>
      </c>
      <c r="AJ544" s="371">
        <f t="shared" si="273"/>
        <v>27</v>
      </c>
      <c r="AK544" s="234">
        <f t="shared" si="274"/>
        <v>0.39750000000000002</v>
      </c>
      <c r="AL544" s="434">
        <f t="shared" si="275"/>
        <v>0.159</v>
      </c>
      <c r="AM544" s="230">
        <f t="shared" si="276"/>
        <v>1.5600000000000002E-3</v>
      </c>
      <c r="AN544" s="373">
        <f t="shared" si="277"/>
        <v>5.5650000000000005E-2</v>
      </c>
      <c r="AO544" s="374">
        <f t="shared" si="278"/>
        <v>2.3077257367928001</v>
      </c>
      <c r="AQ544" s="424">
        <f t="shared" si="263"/>
        <v>2.3649357367928001</v>
      </c>
      <c r="AR544" s="425">
        <f t="shared" si="281"/>
        <v>2.2960541133910679</v>
      </c>
      <c r="AS544" s="425">
        <f t="shared" si="281"/>
        <v>2.2291787508651146</v>
      </c>
      <c r="AT544" s="425">
        <f t="shared" si="284"/>
        <v>2.16425121443215</v>
      </c>
      <c r="AU544" s="425">
        <f t="shared" si="284"/>
        <v>2.1012147712933498</v>
      </c>
      <c r="AV544" s="425">
        <f t="shared" si="284"/>
        <v>2.0400143410615046</v>
      </c>
      <c r="AW544" s="425">
        <f t="shared" si="284"/>
        <v>1.9805964476325288</v>
      </c>
      <c r="AX544" s="425">
        <f t="shared" si="284"/>
        <v>1.9229091724587657</v>
      </c>
      <c r="AY544" s="425">
        <f t="shared" si="284"/>
        <v>1.8669021091832678</v>
      </c>
      <c r="AZ544" s="425">
        <f t="shared" si="284"/>
        <v>1.8125263195954056</v>
      </c>
      <c r="BA544" s="425">
        <f t="shared" si="284"/>
        <v>1.7597342908693259</v>
      </c>
      <c r="BB544" s="425">
        <f t="shared" si="284"/>
        <v>1.7084798940478891</v>
      </c>
      <c r="BC544" s="425">
        <f t="shared" si="284"/>
        <v>1.6587183437358151</v>
      </c>
      <c r="BD544" s="425">
        <f t="shared" si="285"/>
        <v>1.6104061589668108</v>
      </c>
      <c r="BE544" s="425">
        <f t="shared" si="285"/>
        <v>1.5635011252104958</v>
      </c>
      <c r="BF544" s="425">
        <f t="shared" si="285"/>
        <v>1.517962257485918</v>
      </c>
      <c r="BG544" s="425">
        <f t="shared" si="285"/>
        <v>1.4737497645494353</v>
      </c>
      <c r="BH544" s="425">
        <f t="shared" si="285"/>
        <v>1.4308250141256653</v>
      </c>
      <c r="BI544" s="425">
        <f t="shared" si="285"/>
        <v>1.3891504991511314</v>
      </c>
      <c r="BJ544" s="425">
        <f t="shared" si="285"/>
        <v>1.3486898050010985</v>
      </c>
      <c r="BK544" s="426">
        <f t="shared" si="264"/>
        <v>36.239800129849542</v>
      </c>
    </row>
    <row r="545" spans="31:31" x14ac:dyDescent="0.3">
      <c r="AE545" s="193"/>
    </row>
    <row r="546" spans="31:31" x14ac:dyDescent="0.3">
      <c r="AE546" s="193"/>
    </row>
    <row r="547" spans="31:31" x14ac:dyDescent="0.3">
      <c r="AE547" s="193"/>
    </row>
    <row r="548" spans="31:31" x14ac:dyDescent="0.3">
      <c r="AE548" s="193"/>
    </row>
    <row r="549" spans="31:31" x14ac:dyDescent="0.3">
      <c r="AE549" s="193"/>
    </row>
    <row r="550" spans="31:31" x14ac:dyDescent="0.3">
      <c r="AE550" s="193"/>
    </row>
    <row r="551" spans="31:31" x14ac:dyDescent="0.3">
      <c r="AE551" s="193"/>
    </row>
    <row r="552" spans="31:31" x14ac:dyDescent="0.3">
      <c r="AE552" s="193"/>
    </row>
    <row r="553" spans="31:31" x14ac:dyDescent="0.3">
      <c r="AE553" s="193"/>
    </row>
    <row r="554" spans="31:31" x14ac:dyDescent="0.3">
      <c r="AE554" s="193"/>
    </row>
    <row r="555" spans="31:31" x14ac:dyDescent="0.3">
      <c r="AE555" s="193"/>
    </row>
    <row r="556" spans="31:31" x14ac:dyDescent="0.3">
      <c r="AE556" s="193"/>
    </row>
    <row r="557" spans="31:31" x14ac:dyDescent="0.3">
      <c r="AE557" s="193"/>
    </row>
    <row r="558" spans="31:31" x14ac:dyDescent="0.3">
      <c r="AE558" s="193"/>
    </row>
    <row r="559" spans="31:31" x14ac:dyDescent="0.3">
      <c r="AE559" s="193"/>
    </row>
    <row r="560" spans="31:31" x14ac:dyDescent="0.3">
      <c r="AE560" s="193"/>
    </row>
    <row r="561" spans="31:31" x14ac:dyDescent="0.3">
      <c r="AE561" s="193"/>
    </row>
  </sheetData>
  <mergeCells count="8">
    <mergeCell ref="AE365:AO365"/>
    <mergeCell ref="AQ365:BJ365"/>
    <mergeCell ref="AE183:AO183"/>
    <mergeCell ref="AE1:AO1"/>
    <mergeCell ref="A33:D33"/>
    <mergeCell ref="A23:D23"/>
    <mergeCell ref="A1:D1"/>
    <mergeCell ref="A43:D43"/>
  </mergeCells>
  <conditionalFormatting sqref="AK4:AK180">
    <cfRule type="dataBar" priority="11">
      <dataBar>
        <cfvo type="min"/>
        <cfvo type="max"/>
        <color rgb="FF638EC6"/>
      </dataBar>
      <extLst>
        <ext xmlns:x14="http://schemas.microsoft.com/office/spreadsheetml/2009/9/main" uri="{B025F937-C7B1-47D3-B67F-A62EFF666E3E}">
          <x14:id>{7B983C81-1CD6-4160-BFA4-C666BA9997AF}</x14:id>
        </ext>
      </extLst>
    </cfRule>
  </conditionalFormatting>
  <conditionalFormatting sqref="AJ4:AJ180">
    <cfRule type="dataBar" priority="10">
      <dataBar>
        <cfvo type="min"/>
        <cfvo type="max"/>
        <color rgb="FF63C384"/>
      </dataBar>
      <extLst>
        <ext xmlns:x14="http://schemas.microsoft.com/office/spreadsheetml/2009/9/main" uri="{B025F937-C7B1-47D3-B67F-A62EFF666E3E}">
          <x14:id>{606E8B63-BEC7-49E0-8BFE-37DF27F31284}</x14:id>
        </ext>
      </extLst>
    </cfRule>
  </conditionalFormatting>
  <conditionalFormatting sqref="AL4:AL180">
    <cfRule type="dataBar" priority="9">
      <dataBar>
        <cfvo type="min"/>
        <cfvo type="max"/>
        <color rgb="FFFF555A"/>
      </dataBar>
      <extLst>
        <ext xmlns:x14="http://schemas.microsoft.com/office/spreadsheetml/2009/9/main" uri="{B025F937-C7B1-47D3-B67F-A62EFF666E3E}">
          <x14:id>{F3A2A8ED-E1A6-4729-A0D8-4C5DC7DC7D2F}</x14:id>
        </ext>
      </extLst>
    </cfRule>
  </conditionalFormatting>
  <conditionalFormatting sqref="AM4:AM180">
    <cfRule type="dataBar" priority="8">
      <dataBar>
        <cfvo type="min"/>
        <cfvo type="max"/>
        <color rgb="FF63C384"/>
      </dataBar>
      <extLst>
        <ext xmlns:x14="http://schemas.microsoft.com/office/spreadsheetml/2009/9/main" uri="{B025F937-C7B1-47D3-B67F-A62EFF666E3E}">
          <x14:id>{3D16848D-B749-4964-99F1-532842154181}</x14:id>
        </ext>
      </extLst>
    </cfRule>
  </conditionalFormatting>
  <conditionalFormatting sqref="AI3:AM3 AN3:AN180">
    <cfRule type="dataBar" priority="7">
      <dataBar>
        <cfvo type="min"/>
        <cfvo type="max"/>
        <color rgb="FF638EC6"/>
      </dataBar>
      <extLst>
        <ext xmlns:x14="http://schemas.microsoft.com/office/spreadsheetml/2009/9/main" uri="{B025F937-C7B1-47D3-B67F-A62EFF666E3E}">
          <x14:id>{F3347385-26B9-40E4-B38D-5441470ECD9B}</x14:id>
        </ext>
      </extLst>
    </cfRule>
  </conditionalFormatting>
  <conditionalFormatting sqref="AI4:AI180 AO3">
    <cfRule type="dataBar" priority="12">
      <dataBar>
        <cfvo type="min"/>
        <cfvo type="max"/>
        <color rgb="FFFF555A"/>
      </dataBar>
      <extLst>
        <ext xmlns:x14="http://schemas.microsoft.com/office/spreadsheetml/2009/9/main" uri="{B025F937-C7B1-47D3-B67F-A62EFF666E3E}">
          <x14:id>{FC5C2E92-67A4-4C3F-9C05-55D9C1B5B64B}</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7B983C81-1CD6-4160-BFA4-C666BA9997AF}">
            <x14:dataBar minLength="0" maxLength="100" border="1" negativeBarBorderColorSameAsPositive="0">
              <x14:cfvo type="autoMin"/>
              <x14:cfvo type="autoMax"/>
              <x14:borderColor rgb="FF638EC6"/>
              <x14:negativeFillColor rgb="FFFF0000"/>
              <x14:negativeBorderColor rgb="FFFF0000"/>
              <x14:axisColor rgb="FF000000"/>
            </x14:dataBar>
          </x14:cfRule>
          <xm:sqref>AK4:AK180</xm:sqref>
        </x14:conditionalFormatting>
        <x14:conditionalFormatting xmlns:xm="http://schemas.microsoft.com/office/excel/2006/main">
          <x14:cfRule type="dataBar" id="{606E8B63-BEC7-49E0-8BFE-37DF27F31284}">
            <x14:dataBar minLength="0" maxLength="100" border="1" negativeBarBorderColorSameAsPositive="0">
              <x14:cfvo type="autoMin"/>
              <x14:cfvo type="autoMax"/>
              <x14:borderColor rgb="FF63C384"/>
              <x14:negativeFillColor rgb="FFFF0000"/>
              <x14:negativeBorderColor rgb="FFFF0000"/>
              <x14:axisColor rgb="FF000000"/>
            </x14:dataBar>
          </x14:cfRule>
          <xm:sqref>AJ4:AJ180</xm:sqref>
        </x14:conditionalFormatting>
        <x14:conditionalFormatting xmlns:xm="http://schemas.microsoft.com/office/excel/2006/main">
          <x14:cfRule type="dataBar" id="{F3A2A8ED-E1A6-4729-A0D8-4C5DC7DC7D2F}">
            <x14:dataBar minLength="0" maxLength="100" border="1" negativeBarBorderColorSameAsPositive="0">
              <x14:cfvo type="autoMin"/>
              <x14:cfvo type="autoMax"/>
              <x14:borderColor rgb="FFFF555A"/>
              <x14:negativeFillColor rgb="FFFF0000"/>
              <x14:negativeBorderColor rgb="FFFF0000"/>
              <x14:axisColor rgb="FF000000"/>
            </x14:dataBar>
          </x14:cfRule>
          <xm:sqref>AL4:AL180</xm:sqref>
        </x14:conditionalFormatting>
        <x14:conditionalFormatting xmlns:xm="http://schemas.microsoft.com/office/excel/2006/main">
          <x14:cfRule type="dataBar" id="{3D16848D-B749-4964-99F1-532842154181}">
            <x14:dataBar minLength="0" maxLength="100" border="1" negativeBarBorderColorSameAsPositive="0">
              <x14:cfvo type="autoMin"/>
              <x14:cfvo type="autoMax"/>
              <x14:borderColor rgb="FF63C384"/>
              <x14:negativeFillColor rgb="FFFF0000"/>
              <x14:negativeBorderColor rgb="FFFF0000"/>
              <x14:axisColor rgb="FF000000"/>
            </x14:dataBar>
          </x14:cfRule>
          <xm:sqref>AM4:AM180</xm:sqref>
        </x14:conditionalFormatting>
        <x14:conditionalFormatting xmlns:xm="http://schemas.microsoft.com/office/excel/2006/main">
          <x14:cfRule type="dataBar" id="{F3347385-26B9-40E4-B38D-5441470ECD9B}">
            <x14:dataBar minLength="0" maxLength="100" border="1" negativeBarBorderColorSameAsPositive="0">
              <x14:cfvo type="autoMin"/>
              <x14:cfvo type="autoMax"/>
              <x14:borderColor rgb="FF638EC6"/>
              <x14:negativeFillColor rgb="FFFF0000"/>
              <x14:negativeBorderColor rgb="FFFF0000"/>
              <x14:axisColor rgb="FF000000"/>
            </x14:dataBar>
          </x14:cfRule>
          <xm:sqref>AI3:AM3 AN3:AN180</xm:sqref>
        </x14:conditionalFormatting>
        <x14:conditionalFormatting xmlns:xm="http://schemas.microsoft.com/office/excel/2006/main">
          <x14:cfRule type="dataBar" id="{FC5C2E92-67A4-4C3F-9C05-55D9C1B5B64B}">
            <x14:dataBar minLength="0" maxLength="100" border="1" negativeBarBorderColorSameAsPositive="0">
              <x14:cfvo type="autoMin"/>
              <x14:cfvo type="autoMax"/>
              <x14:borderColor rgb="FFFF555A"/>
              <x14:negativeFillColor rgb="FFFF0000"/>
              <x14:negativeBorderColor rgb="FFFF0000"/>
              <x14:axisColor rgb="FF000000"/>
            </x14:dataBar>
          </x14:cfRule>
          <xm:sqref>AI4:AI180 AO3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463BD-AC38-4CFB-B42E-18B750A3C08A}">
  <sheetPr codeName="Sheet12">
    <tabColor rgb="FFFFC000"/>
  </sheetPr>
  <dimension ref="A1:BO170"/>
  <sheetViews>
    <sheetView topLeftCell="N1" zoomScale="70" zoomScaleNormal="70" workbookViewId="0">
      <selection activeCell="AF55" sqref="AF4:AF55"/>
    </sheetView>
  </sheetViews>
  <sheetFormatPr defaultRowHeight="13.8" x14ac:dyDescent="0.25"/>
  <cols>
    <col min="1" max="1" width="37.21875" style="104" customWidth="1"/>
    <col min="2" max="2" width="15.5546875" style="2" bestFit="1" customWidth="1"/>
    <col min="3" max="3" width="11.33203125" style="2" bestFit="1" customWidth="1"/>
    <col min="4" max="4" width="16.44140625" style="2" bestFit="1" customWidth="1"/>
    <col min="5" max="30" width="8.88671875" style="2"/>
    <col min="31" max="31" width="7.5546875" style="2" customWidth="1"/>
    <col min="32" max="32" width="18.33203125" style="19" bestFit="1" customWidth="1"/>
    <col min="33" max="33" width="25.33203125" style="2" bestFit="1" customWidth="1"/>
    <col min="34" max="34" width="12.109375" style="2" bestFit="1" customWidth="1"/>
    <col min="35" max="35" width="7" style="2" bestFit="1" customWidth="1"/>
    <col min="36" max="36" width="25.5546875" style="2" bestFit="1" customWidth="1"/>
    <col min="37" max="37" width="18.88671875" style="2" bestFit="1" customWidth="1"/>
    <col min="38" max="38" width="27" style="2" bestFit="1" customWidth="1"/>
    <col min="39" max="39" width="31" style="2" bestFit="1" customWidth="1"/>
    <col min="40" max="40" width="34.88671875" style="2" bestFit="1" customWidth="1"/>
    <col min="41" max="41" width="38.44140625" style="2" bestFit="1" customWidth="1"/>
    <col min="42" max="42" width="25.33203125" style="19" bestFit="1" customWidth="1"/>
    <col min="43" max="43" width="7.5546875" style="2" customWidth="1"/>
    <col min="44" max="50" width="7" style="2" customWidth="1"/>
    <col min="51" max="55" width="7" style="103" customWidth="1"/>
    <col min="56" max="63" width="7" style="2" customWidth="1"/>
    <col min="64" max="64" width="11.109375" style="2" bestFit="1" customWidth="1"/>
    <col min="65" max="65" width="8.88671875" style="2"/>
    <col min="66" max="66" width="11.109375" style="2" bestFit="1" customWidth="1"/>
    <col min="67" max="75" width="8.88671875" style="2"/>
    <col min="76" max="76" width="11.109375" style="2" bestFit="1" customWidth="1"/>
    <col min="77" max="16384" width="8.88671875" style="2"/>
  </cols>
  <sheetData>
    <row r="1" spans="1:42" ht="15" customHeight="1" thickBot="1" x14ac:dyDescent="0.3">
      <c r="A1" s="506" t="s">
        <v>530</v>
      </c>
      <c r="B1" s="506"/>
      <c r="C1" s="506"/>
      <c r="D1" s="506"/>
      <c r="AF1" s="507" t="s">
        <v>521</v>
      </c>
      <c r="AG1" s="507"/>
      <c r="AH1" s="507"/>
      <c r="AI1" s="507"/>
      <c r="AJ1" s="507"/>
      <c r="AK1" s="507"/>
      <c r="AL1" s="507"/>
      <c r="AM1" s="507"/>
      <c r="AN1" s="507"/>
      <c r="AO1" s="507"/>
    </row>
    <row r="2" spans="1:42" x14ac:dyDescent="0.25">
      <c r="A2" s="214" t="s">
        <v>365</v>
      </c>
      <c r="B2" s="211" t="s">
        <v>9</v>
      </c>
      <c r="C2" s="211" t="s">
        <v>8</v>
      </c>
      <c r="D2" s="212" t="s">
        <v>366</v>
      </c>
      <c r="AF2" s="429" t="s">
        <v>354</v>
      </c>
      <c r="AG2" s="407" t="s">
        <v>513</v>
      </c>
      <c r="AH2" s="407" t="s">
        <v>367</v>
      </c>
      <c r="AI2" s="407" t="s">
        <v>328</v>
      </c>
      <c r="AJ2" s="407" t="s">
        <v>525</v>
      </c>
      <c r="AK2" s="407" t="s">
        <v>526</v>
      </c>
      <c r="AL2" s="407" t="s">
        <v>527</v>
      </c>
      <c r="AM2" s="407" t="s">
        <v>416</v>
      </c>
      <c r="AN2" s="407" t="s">
        <v>462</v>
      </c>
      <c r="AO2" s="407" t="s">
        <v>463</v>
      </c>
      <c r="AP2" s="408" t="s">
        <v>528</v>
      </c>
    </row>
    <row r="3" spans="1:42" x14ac:dyDescent="0.25">
      <c r="A3" s="213" t="s">
        <v>374</v>
      </c>
      <c r="B3" s="88">
        <v>200</v>
      </c>
      <c r="C3" s="88" t="s">
        <v>375</v>
      </c>
      <c r="D3" s="187" t="s">
        <v>142</v>
      </c>
      <c r="AF3" s="240">
        <f>AF62</f>
        <v>0</v>
      </c>
      <c r="AG3" s="215">
        <f>AG62</f>
        <v>0</v>
      </c>
      <c r="AH3" s="215">
        <f>AH62</f>
        <v>0</v>
      </c>
      <c r="AI3" s="215" t="str">
        <f>AI62</f>
        <v>GEO</v>
      </c>
      <c r="AJ3" s="25">
        <v>0</v>
      </c>
      <c r="AK3" s="215">
        <v>0</v>
      </c>
      <c r="AL3" s="21">
        <v>0</v>
      </c>
      <c r="AM3" s="21">
        <v>0</v>
      </c>
      <c r="AN3" s="21">
        <v>0</v>
      </c>
      <c r="AO3" s="21">
        <v>0</v>
      </c>
      <c r="AP3" s="294">
        <v>0</v>
      </c>
    </row>
    <row r="4" spans="1:42" x14ac:dyDescent="0.25">
      <c r="A4" s="213" t="s">
        <v>377</v>
      </c>
      <c r="B4" s="88">
        <v>100</v>
      </c>
      <c r="C4" s="88" t="s">
        <v>375</v>
      </c>
      <c r="D4" s="187" t="s">
        <v>142</v>
      </c>
      <c r="AF4" s="367">
        <f>($AF$6/3)*AG4</f>
        <v>21000000</v>
      </c>
      <c r="AG4" s="21">
        <f>AH4</f>
        <v>1</v>
      </c>
      <c r="AH4" s="21">
        <v>1</v>
      </c>
      <c r="AI4" s="21" t="s">
        <v>407</v>
      </c>
      <c r="AJ4" s="25">
        <f>SUM(AK4:AL4)</f>
        <v>1518.427193582557</v>
      </c>
      <c r="AK4" s="25">
        <f t="shared" ref="AK4:AK35" si="0">SUM($AJ$119:$AM$119,$BL$119)</f>
        <v>1518.427193582557</v>
      </c>
      <c r="AL4" s="216">
        <v>0</v>
      </c>
      <c r="AM4" s="215">
        <f>IFERROR(SUM(AN4:AO4),0)</f>
        <v>72.30605683726462</v>
      </c>
      <c r="AN4" s="215">
        <f t="shared" ref="AN4:AN55" si="1">IFERROR(AK4/AF4,0)*1000000</f>
        <v>72.30605683726462</v>
      </c>
      <c r="AO4" s="238">
        <f>IFERROR(AL4/AF4,0)*1000000</f>
        <v>0</v>
      </c>
      <c r="AP4" s="294">
        <f>IFERROR((AJ4-AJ3)/(AF4-AF3),0)*1000000</f>
        <v>72.30605683726462</v>
      </c>
    </row>
    <row r="5" spans="1:42" x14ac:dyDescent="0.25">
      <c r="A5" s="213" t="s">
        <v>362</v>
      </c>
      <c r="B5" s="88">
        <v>0.5</v>
      </c>
      <c r="C5" s="88" t="s">
        <v>375</v>
      </c>
      <c r="D5" s="187" t="s">
        <v>142</v>
      </c>
      <c r="AF5" s="367">
        <f>($AF$6/3)*AG5</f>
        <v>42000000</v>
      </c>
      <c r="AG5" s="21">
        <f t="shared" ref="AG5:AG55" si="2">AH5</f>
        <v>2</v>
      </c>
      <c r="AH5" s="21">
        <v>2</v>
      </c>
      <c r="AI5" s="21" t="s">
        <v>407</v>
      </c>
      <c r="AJ5" s="25">
        <f>SUM(AK5:AL5)</f>
        <v>1952.3627700619336</v>
      </c>
      <c r="AK5" s="25">
        <f t="shared" si="0"/>
        <v>1518.427193582557</v>
      </c>
      <c r="AL5" s="216">
        <f>AL4+SUM(AJ120:AK120,BL120)</f>
        <v>433.93557647937666</v>
      </c>
      <c r="AM5" s="215">
        <f t="shared" ref="AM5:AM55" si="3">IFERROR(SUM(AN5:AO5),0)</f>
        <v>46.484827858617464</v>
      </c>
      <c r="AN5" s="215">
        <f t="shared" si="1"/>
        <v>36.15302841863231</v>
      </c>
      <c r="AO5" s="238">
        <f t="shared" ref="AO5:AO55" si="4">IFERROR(AL5/AF5,0)*1000000</f>
        <v>10.331799439985158</v>
      </c>
      <c r="AP5" s="294">
        <f t="shared" ref="AP5:AP11" si="5">IFERROR((AJ5-AJ4)/(AF5-AF4),0)*1000000</f>
        <v>20.663598879970312</v>
      </c>
    </row>
    <row r="6" spans="1:42" x14ac:dyDescent="0.25">
      <c r="A6" s="213" t="s">
        <v>378</v>
      </c>
      <c r="B6" s="88">
        <v>0.02</v>
      </c>
      <c r="C6" s="88" t="s">
        <v>379</v>
      </c>
      <c r="D6" s="187" t="s">
        <v>142</v>
      </c>
      <c r="AF6" s="367">
        <v>63000000</v>
      </c>
      <c r="AG6" s="21">
        <f t="shared" si="2"/>
        <v>3</v>
      </c>
      <c r="AH6" s="21">
        <v>3</v>
      </c>
      <c r="AI6" s="21" t="s">
        <v>407</v>
      </c>
      <c r="AJ6" s="25">
        <f t="shared" ref="AJ6:AJ11" si="6">SUM(AK6:AL6)</f>
        <v>2386.2983465413104</v>
      </c>
      <c r="AK6" s="25">
        <f t="shared" si="0"/>
        <v>1518.427193582557</v>
      </c>
      <c r="AL6" s="216">
        <f t="shared" ref="AL6:AL55" si="7">AL5+SUM(AJ121:AK121,BL121)</f>
        <v>867.87115295875333</v>
      </c>
      <c r="AM6" s="215">
        <f t="shared" si="3"/>
        <v>37.877751532401753</v>
      </c>
      <c r="AN6" s="215">
        <f t="shared" si="1"/>
        <v>24.102018945754875</v>
      </c>
      <c r="AO6" s="238">
        <f t="shared" si="4"/>
        <v>13.775732586646878</v>
      </c>
      <c r="AP6" s="294">
        <f t="shared" si="5"/>
        <v>20.663598879970323</v>
      </c>
    </row>
    <row r="7" spans="1:42" x14ac:dyDescent="0.25">
      <c r="A7" s="213" t="s">
        <v>380</v>
      </c>
      <c r="B7" s="88">
        <v>0.11799999999999999</v>
      </c>
      <c r="C7" s="88" t="s">
        <v>381</v>
      </c>
      <c r="D7" s="187" t="s">
        <v>143</v>
      </c>
      <c r="AF7" s="367">
        <f t="shared" ref="AF7:AF38" si="8">AF6+$AF$4</f>
        <v>84000000</v>
      </c>
      <c r="AG7" s="21">
        <f t="shared" si="2"/>
        <v>4</v>
      </c>
      <c r="AH7" s="21">
        <v>4</v>
      </c>
      <c r="AI7" s="21" t="s">
        <v>407</v>
      </c>
      <c r="AJ7" s="25">
        <f t="shared" si="6"/>
        <v>2820.2339230206871</v>
      </c>
      <c r="AK7" s="25">
        <f t="shared" si="0"/>
        <v>1518.427193582557</v>
      </c>
      <c r="AL7" s="216">
        <f t="shared" si="7"/>
        <v>1301.8067294381299</v>
      </c>
      <c r="AM7" s="215">
        <f t="shared" si="3"/>
        <v>33.574213369293894</v>
      </c>
      <c r="AN7" s="215">
        <f t="shared" si="1"/>
        <v>18.076514209316155</v>
      </c>
      <c r="AO7" s="238">
        <f t="shared" si="4"/>
        <v>15.497699159977737</v>
      </c>
      <c r="AP7" s="294">
        <f t="shared" si="5"/>
        <v>20.663598879970323</v>
      </c>
    </row>
    <row r="8" spans="1:42" x14ac:dyDescent="0.25">
      <c r="A8" s="213" t="s">
        <v>382</v>
      </c>
      <c r="B8" s="88">
        <v>10</v>
      </c>
      <c r="C8" s="88" t="s">
        <v>383</v>
      </c>
      <c r="D8" s="187" t="s">
        <v>143</v>
      </c>
      <c r="AF8" s="367">
        <f t="shared" si="8"/>
        <v>105000000</v>
      </c>
      <c r="AG8" s="21">
        <f t="shared" si="2"/>
        <v>5</v>
      </c>
      <c r="AH8" s="21">
        <v>5</v>
      </c>
      <c r="AI8" s="21" t="s">
        <v>407</v>
      </c>
      <c r="AJ8" s="25">
        <f t="shared" si="6"/>
        <v>3254.1694995000635</v>
      </c>
      <c r="AK8" s="25">
        <f t="shared" si="0"/>
        <v>1518.427193582557</v>
      </c>
      <c r="AL8" s="216">
        <f t="shared" si="7"/>
        <v>1735.7423059175067</v>
      </c>
      <c r="AM8" s="215">
        <f t="shared" si="3"/>
        <v>30.992090471429179</v>
      </c>
      <c r="AN8" s="215">
        <f t="shared" si="1"/>
        <v>14.461211367452925</v>
      </c>
      <c r="AO8" s="238">
        <f t="shared" si="4"/>
        <v>16.530879103976254</v>
      </c>
      <c r="AP8" s="294">
        <f t="shared" si="5"/>
        <v>20.663598879970301</v>
      </c>
    </row>
    <row r="9" spans="1:42" x14ac:dyDescent="0.25">
      <c r="A9" s="213" t="s">
        <v>363</v>
      </c>
      <c r="B9" s="88">
        <v>0.19</v>
      </c>
      <c r="C9" s="88" t="s">
        <v>384</v>
      </c>
      <c r="D9" s="187" t="s">
        <v>143</v>
      </c>
      <c r="AF9" s="367">
        <f t="shared" si="8"/>
        <v>126000000</v>
      </c>
      <c r="AG9" s="21">
        <f t="shared" si="2"/>
        <v>6</v>
      </c>
      <c r="AH9" s="21">
        <v>6</v>
      </c>
      <c r="AI9" s="21" t="s">
        <v>407</v>
      </c>
      <c r="AJ9" s="25">
        <f t="shared" si="6"/>
        <v>3688.1050759794407</v>
      </c>
      <c r="AK9" s="25">
        <f t="shared" si="0"/>
        <v>1518.427193582557</v>
      </c>
      <c r="AL9" s="216">
        <f t="shared" si="7"/>
        <v>2169.6778823968834</v>
      </c>
      <c r="AM9" s="215">
        <f t="shared" si="3"/>
        <v>29.270675206186034</v>
      </c>
      <c r="AN9" s="215">
        <f t="shared" si="1"/>
        <v>12.051009472877437</v>
      </c>
      <c r="AO9" s="238">
        <f t="shared" si="4"/>
        <v>17.219665733308599</v>
      </c>
      <c r="AP9" s="294">
        <f t="shared" si="5"/>
        <v>20.663598879970344</v>
      </c>
    </row>
    <row r="10" spans="1:42" ht="14.4" thickBot="1" x14ac:dyDescent="0.3">
      <c r="A10" s="218" t="s">
        <v>141</v>
      </c>
      <c r="B10" s="219">
        <v>3</v>
      </c>
      <c r="C10" s="220" t="s">
        <v>385</v>
      </c>
      <c r="D10" s="221" t="s">
        <v>10</v>
      </c>
      <c r="AF10" s="367">
        <f t="shared" si="8"/>
        <v>147000000</v>
      </c>
      <c r="AG10" s="21">
        <f t="shared" si="2"/>
        <v>7</v>
      </c>
      <c r="AH10" s="21">
        <v>7</v>
      </c>
      <c r="AI10" s="21" t="s">
        <v>407</v>
      </c>
      <c r="AJ10" s="25">
        <f t="shared" si="6"/>
        <v>4122.040652458817</v>
      </c>
      <c r="AK10" s="25">
        <f t="shared" si="0"/>
        <v>1518.427193582557</v>
      </c>
      <c r="AL10" s="216">
        <f t="shared" si="7"/>
        <v>2603.6134588762602</v>
      </c>
      <c r="AM10" s="215">
        <f t="shared" si="3"/>
        <v>28.041092873869502</v>
      </c>
      <c r="AN10" s="215">
        <f t="shared" si="1"/>
        <v>10.329436691037802</v>
      </c>
      <c r="AO10" s="238">
        <f t="shared" si="4"/>
        <v>17.7116561828317</v>
      </c>
      <c r="AP10" s="294">
        <f t="shared" si="5"/>
        <v>20.663598879970301</v>
      </c>
    </row>
    <row r="11" spans="1:42" x14ac:dyDescent="0.25">
      <c r="AF11" s="367">
        <f t="shared" si="8"/>
        <v>168000000</v>
      </c>
      <c r="AG11" s="21">
        <f t="shared" si="2"/>
        <v>8</v>
      </c>
      <c r="AH11" s="21">
        <v>8</v>
      </c>
      <c r="AI11" s="21" t="s">
        <v>407</v>
      </c>
      <c r="AJ11" s="25">
        <f t="shared" si="6"/>
        <v>4555.9762289381943</v>
      </c>
      <c r="AK11" s="25">
        <f t="shared" si="0"/>
        <v>1518.427193582557</v>
      </c>
      <c r="AL11" s="216">
        <f t="shared" si="7"/>
        <v>3037.549035355637</v>
      </c>
      <c r="AM11" s="215">
        <f t="shared" si="3"/>
        <v>27.118906124632112</v>
      </c>
      <c r="AN11" s="215">
        <f t="shared" si="1"/>
        <v>9.0382571046580775</v>
      </c>
      <c r="AO11" s="238">
        <f t="shared" si="4"/>
        <v>18.080649019974032</v>
      </c>
      <c r="AP11" s="294">
        <f t="shared" si="5"/>
        <v>20.663598879970344</v>
      </c>
    </row>
    <row r="12" spans="1:42" x14ac:dyDescent="0.25">
      <c r="AF12" s="367">
        <f t="shared" si="8"/>
        <v>189000000</v>
      </c>
      <c r="AG12" s="21">
        <f t="shared" si="2"/>
        <v>9</v>
      </c>
      <c r="AH12" s="21">
        <v>9</v>
      </c>
      <c r="AI12" s="21" t="s">
        <v>407</v>
      </c>
      <c r="AJ12" s="25">
        <f>SUM(AK12:AL12)</f>
        <v>4989.9118054175706</v>
      </c>
      <c r="AK12" s="25">
        <f t="shared" si="0"/>
        <v>1518.427193582557</v>
      </c>
      <c r="AL12" s="216">
        <f t="shared" si="7"/>
        <v>3471.4846118350138</v>
      </c>
      <c r="AM12" s="215">
        <f t="shared" si="3"/>
        <v>26.401649764114133</v>
      </c>
      <c r="AN12" s="215">
        <f t="shared" si="1"/>
        <v>8.0340063152516255</v>
      </c>
      <c r="AO12" s="238">
        <f t="shared" si="4"/>
        <v>18.367643448862506</v>
      </c>
      <c r="AP12" s="294">
        <f>IFERROR((AJ12-AJ11)/(AF12-AF11),0)*1000000</f>
        <v>20.663598879970301</v>
      </c>
    </row>
    <row r="13" spans="1:42" x14ac:dyDescent="0.25">
      <c r="A13" s="104" t="s">
        <v>4</v>
      </c>
      <c r="AF13" s="367">
        <f t="shared" si="8"/>
        <v>210000000</v>
      </c>
      <c r="AG13" s="21">
        <f t="shared" si="2"/>
        <v>10</v>
      </c>
      <c r="AH13" s="21">
        <v>10</v>
      </c>
      <c r="AI13" s="21" t="s">
        <v>407</v>
      </c>
      <c r="AJ13" s="25">
        <f>SUM(AK13:AL13)</f>
        <v>5423.8473818969478</v>
      </c>
      <c r="AK13" s="25">
        <f t="shared" si="0"/>
        <v>1518.427193582557</v>
      </c>
      <c r="AL13" s="216">
        <f t="shared" si="7"/>
        <v>3905.4201883143905</v>
      </c>
      <c r="AM13" s="215">
        <f t="shared" si="3"/>
        <v>25.827844675699751</v>
      </c>
      <c r="AN13" s="215">
        <f t="shared" si="1"/>
        <v>7.2306056837264627</v>
      </c>
      <c r="AO13" s="238">
        <f t="shared" si="4"/>
        <v>18.597238991973288</v>
      </c>
      <c r="AP13" s="294">
        <f t="shared" ref="AP13:AP17" si="9">IFERROR((AJ13-AJ12)/(AF13-AF12),0)*1000000</f>
        <v>20.663598879970344</v>
      </c>
    </row>
    <row r="14" spans="1:42" x14ac:dyDescent="0.25">
      <c r="A14" s="2" t="s">
        <v>386</v>
      </c>
      <c r="AF14" s="367">
        <f t="shared" si="8"/>
        <v>231000000</v>
      </c>
      <c r="AG14" s="21">
        <f t="shared" si="2"/>
        <v>11</v>
      </c>
      <c r="AH14" s="21">
        <v>11</v>
      </c>
      <c r="AI14" s="21" t="s">
        <v>407</v>
      </c>
      <c r="AJ14" s="25">
        <f t="shared" ref="AJ14:AJ17" si="10">SUM(AK14:AL14)</f>
        <v>5857.7829583763241</v>
      </c>
      <c r="AK14" s="25">
        <f t="shared" si="0"/>
        <v>1518.427193582557</v>
      </c>
      <c r="AL14" s="216">
        <f t="shared" si="7"/>
        <v>4339.3557647937669</v>
      </c>
      <c r="AM14" s="215">
        <f t="shared" si="3"/>
        <v>25.358367785178892</v>
      </c>
      <c r="AN14" s="215">
        <f t="shared" si="1"/>
        <v>6.5732778942967842</v>
      </c>
      <c r="AO14" s="238">
        <f t="shared" si="4"/>
        <v>18.785089890882109</v>
      </c>
      <c r="AP14" s="294">
        <f t="shared" si="9"/>
        <v>20.663598879970301</v>
      </c>
    </row>
    <row r="15" spans="1:42" x14ac:dyDescent="0.25">
      <c r="A15" s="2" t="s">
        <v>387</v>
      </c>
      <c r="AF15" s="367">
        <f t="shared" si="8"/>
        <v>252000000</v>
      </c>
      <c r="AG15" s="21">
        <f t="shared" si="2"/>
        <v>12</v>
      </c>
      <c r="AH15" s="21">
        <v>12</v>
      </c>
      <c r="AI15" s="21" t="s">
        <v>407</v>
      </c>
      <c r="AJ15" s="25">
        <f t="shared" si="10"/>
        <v>6291.7185348557005</v>
      </c>
      <c r="AK15" s="25">
        <f t="shared" si="0"/>
        <v>1518.427193582557</v>
      </c>
      <c r="AL15" s="216">
        <f t="shared" si="7"/>
        <v>4773.2913412731432</v>
      </c>
      <c r="AM15" s="215">
        <f t="shared" si="3"/>
        <v>24.967137043078178</v>
      </c>
      <c r="AN15" s="215">
        <f t="shared" si="1"/>
        <v>6.0255047364387186</v>
      </c>
      <c r="AO15" s="238">
        <f t="shared" si="4"/>
        <v>18.941632306639459</v>
      </c>
      <c r="AP15" s="294">
        <f t="shared" si="9"/>
        <v>20.663598879970301</v>
      </c>
    </row>
    <row r="16" spans="1:42" x14ac:dyDescent="0.25">
      <c r="A16" s="2" t="s">
        <v>388</v>
      </c>
      <c r="AF16" s="367">
        <f t="shared" si="8"/>
        <v>273000000</v>
      </c>
      <c r="AG16" s="21">
        <f t="shared" si="2"/>
        <v>13</v>
      </c>
      <c r="AH16" s="21">
        <v>13</v>
      </c>
      <c r="AI16" s="21" t="s">
        <v>407</v>
      </c>
      <c r="AJ16" s="25">
        <f t="shared" si="10"/>
        <v>6725.6541113350768</v>
      </c>
      <c r="AK16" s="25">
        <f t="shared" si="0"/>
        <v>1518.427193582557</v>
      </c>
      <c r="AL16" s="216">
        <f t="shared" si="7"/>
        <v>5207.2269177525195</v>
      </c>
      <c r="AM16" s="215">
        <f t="shared" si="3"/>
        <v>24.636095645916029</v>
      </c>
      <c r="AN16" s="215">
        <f t="shared" si="1"/>
        <v>5.5620043720972792</v>
      </c>
      <c r="AO16" s="238">
        <f t="shared" si="4"/>
        <v>19.074091273818752</v>
      </c>
      <c r="AP16" s="294">
        <f t="shared" si="9"/>
        <v>20.663598879970301</v>
      </c>
    </row>
    <row r="17" spans="1:67" x14ac:dyDescent="0.25">
      <c r="A17" s="2" t="s">
        <v>389</v>
      </c>
      <c r="AF17" s="367">
        <f t="shared" si="8"/>
        <v>294000000</v>
      </c>
      <c r="AG17" s="21">
        <f t="shared" si="2"/>
        <v>14</v>
      </c>
      <c r="AH17" s="21">
        <v>14</v>
      </c>
      <c r="AI17" s="21" t="s">
        <v>407</v>
      </c>
      <c r="AJ17" s="25">
        <f t="shared" si="10"/>
        <v>7159.5896878144531</v>
      </c>
      <c r="AK17" s="25">
        <f t="shared" si="0"/>
        <v>1518.427193582557</v>
      </c>
      <c r="AL17" s="216">
        <f t="shared" si="7"/>
        <v>5641.1624942318958</v>
      </c>
      <c r="AM17" s="215">
        <f t="shared" si="3"/>
        <v>24.352345876919905</v>
      </c>
      <c r="AN17" s="215">
        <f t="shared" si="1"/>
        <v>5.1647183455189012</v>
      </c>
      <c r="AO17" s="238">
        <f t="shared" si="4"/>
        <v>19.187627531401006</v>
      </c>
      <c r="AP17" s="294">
        <f t="shared" si="9"/>
        <v>20.663598879970301</v>
      </c>
    </row>
    <row r="18" spans="1:67" x14ac:dyDescent="0.25">
      <c r="A18" s="2" t="s">
        <v>461</v>
      </c>
      <c r="AF18" s="367">
        <f t="shared" si="8"/>
        <v>315000000</v>
      </c>
      <c r="AG18" s="21">
        <f t="shared" si="2"/>
        <v>15</v>
      </c>
      <c r="AH18" s="21">
        <v>15</v>
      </c>
      <c r="AI18" s="21" t="s">
        <v>407</v>
      </c>
      <c r="AJ18" s="25">
        <f>SUM(AK18:AL18)</f>
        <v>7593.5252642938294</v>
      </c>
      <c r="AK18" s="25">
        <f t="shared" si="0"/>
        <v>1518.427193582557</v>
      </c>
      <c r="AL18" s="216">
        <f t="shared" si="7"/>
        <v>6075.0980707112722</v>
      </c>
      <c r="AM18" s="215">
        <f t="shared" si="3"/>
        <v>24.106429410456599</v>
      </c>
      <c r="AN18" s="215">
        <f t="shared" si="1"/>
        <v>4.8204037891509746</v>
      </c>
      <c r="AO18" s="238">
        <f t="shared" si="4"/>
        <v>19.286025621305626</v>
      </c>
      <c r="AP18" s="294">
        <f>IFERROR((AJ18-AJ17)/(AF18-AF17),0)*1000000</f>
        <v>20.663598879970301</v>
      </c>
    </row>
    <row r="19" spans="1:67" x14ac:dyDescent="0.25">
      <c r="A19" s="2" t="s">
        <v>390</v>
      </c>
      <c r="AF19" s="367">
        <f t="shared" si="8"/>
        <v>336000000</v>
      </c>
      <c r="AG19" s="21">
        <f t="shared" si="2"/>
        <v>16</v>
      </c>
      <c r="AH19" s="21">
        <v>16</v>
      </c>
      <c r="AI19" s="21" t="s">
        <v>407</v>
      </c>
      <c r="AJ19" s="25">
        <f>SUM(AK19:AL19)</f>
        <v>8027.4608407732057</v>
      </c>
      <c r="AK19" s="25">
        <f t="shared" si="0"/>
        <v>1518.427193582557</v>
      </c>
      <c r="AL19" s="216">
        <f t="shared" si="7"/>
        <v>6509.0336471906485</v>
      </c>
      <c r="AM19" s="215">
        <f t="shared" si="3"/>
        <v>23.891252502301207</v>
      </c>
      <c r="AN19" s="215">
        <f t="shared" si="1"/>
        <v>4.5191285523290388</v>
      </c>
      <c r="AO19" s="238">
        <f t="shared" si="4"/>
        <v>19.372123949972167</v>
      </c>
      <c r="AP19" s="294">
        <f t="shared" ref="AP19:AP23" si="11">IFERROR((AJ19-AJ18)/(AF19-AF18),0)*1000000</f>
        <v>20.663598879970301</v>
      </c>
    </row>
    <row r="20" spans="1:67" x14ac:dyDescent="0.25">
      <c r="A20" s="2" t="s">
        <v>391</v>
      </c>
      <c r="AF20" s="367">
        <f t="shared" si="8"/>
        <v>357000000</v>
      </c>
      <c r="AG20" s="21">
        <f t="shared" si="2"/>
        <v>17</v>
      </c>
      <c r="AH20" s="21">
        <v>17</v>
      </c>
      <c r="AI20" s="21" t="s">
        <v>407</v>
      </c>
      <c r="AJ20" s="25">
        <f t="shared" ref="AJ20:AJ23" si="12">SUM(AK20:AL20)</f>
        <v>8461.3964172525812</v>
      </c>
      <c r="AK20" s="25">
        <f t="shared" si="0"/>
        <v>1518.427193582557</v>
      </c>
      <c r="AL20" s="216">
        <f t="shared" si="7"/>
        <v>6942.9692236700248</v>
      </c>
      <c r="AM20" s="215">
        <f t="shared" si="3"/>
        <v>23.701390524517034</v>
      </c>
      <c r="AN20" s="215">
        <f t="shared" si="1"/>
        <v>4.253297461015566</v>
      </c>
      <c r="AO20" s="238">
        <f t="shared" si="4"/>
        <v>19.448093063501467</v>
      </c>
      <c r="AP20" s="294">
        <f t="shared" si="11"/>
        <v>20.663598879970259</v>
      </c>
    </row>
    <row r="21" spans="1:67" x14ac:dyDescent="0.25">
      <c r="A21" s="2" t="s">
        <v>466</v>
      </c>
      <c r="AF21" s="367">
        <f t="shared" si="8"/>
        <v>378000000</v>
      </c>
      <c r="AG21" s="21">
        <f t="shared" si="2"/>
        <v>18</v>
      </c>
      <c r="AH21" s="21">
        <v>18</v>
      </c>
      <c r="AI21" s="21" t="s">
        <v>407</v>
      </c>
      <c r="AJ21" s="25">
        <f t="shared" si="12"/>
        <v>8895.3319937319575</v>
      </c>
      <c r="AK21" s="25">
        <f t="shared" si="0"/>
        <v>1518.427193582557</v>
      </c>
      <c r="AL21" s="216">
        <f t="shared" si="7"/>
        <v>7376.9048001494011</v>
      </c>
      <c r="AM21" s="215">
        <f t="shared" si="3"/>
        <v>23.532624322042217</v>
      </c>
      <c r="AN21" s="215">
        <f t="shared" si="1"/>
        <v>4.0170031576258127</v>
      </c>
      <c r="AO21" s="238">
        <f t="shared" si="4"/>
        <v>19.515621164416405</v>
      </c>
      <c r="AP21" s="294">
        <f t="shared" si="11"/>
        <v>20.663598879970301</v>
      </c>
    </row>
    <row r="22" spans="1:67" x14ac:dyDescent="0.25">
      <c r="AF22" s="367">
        <f t="shared" si="8"/>
        <v>399000000</v>
      </c>
      <c r="AG22" s="21">
        <f t="shared" si="2"/>
        <v>19</v>
      </c>
      <c r="AH22" s="21">
        <v>19</v>
      </c>
      <c r="AI22" s="21" t="s">
        <v>407</v>
      </c>
      <c r="AJ22" s="25">
        <f t="shared" si="12"/>
        <v>9329.2675702113338</v>
      </c>
      <c r="AK22" s="25">
        <f t="shared" si="0"/>
        <v>1518.427193582557</v>
      </c>
      <c r="AL22" s="216">
        <f t="shared" si="7"/>
        <v>7810.8403766287774</v>
      </c>
      <c r="AM22" s="215">
        <f t="shared" si="3"/>
        <v>23.3816229829858</v>
      </c>
      <c r="AN22" s="215">
        <f t="shared" si="1"/>
        <v>3.8055819388034009</v>
      </c>
      <c r="AO22" s="238">
        <f t="shared" si="4"/>
        <v>19.5760410441824</v>
      </c>
      <c r="AP22" s="294">
        <f t="shared" si="11"/>
        <v>20.663598879970301</v>
      </c>
    </row>
    <row r="23" spans="1:67" ht="14.4" thickBot="1" x14ac:dyDescent="0.3">
      <c r="A23" s="506" t="s">
        <v>531</v>
      </c>
      <c r="B23" s="506"/>
      <c r="C23" s="506"/>
      <c r="D23" s="506"/>
      <c r="AF23" s="367">
        <f t="shared" si="8"/>
        <v>420000000</v>
      </c>
      <c r="AG23" s="21">
        <f t="shared" si="2"/>
        <v>20</v>
      </c>
      <c r="AH23" s="21">
        <v>20</v>
      </c>
      <c r="AI23" s="21" t="s">
        <v>407</v>
      </c>
      <c r="AJ23" s="25">
        <f t="shared" si="12"/>
        <v>9763.2031466907101</v>
      </c>
      <c r="AK23" s="25">
        <f t="shared" si="0"/>
        <v>1518.427193582557</v>
      </c>
      <c r="AL23" s="216">
        <f t="shared" si="7"/>
        <v>8244.7759531081538</v>
      </c>
      <c r="AM23" s="215">
        <f t="shared" si="3"/>
        <v>23.245721777835023</v>
      </c>
      <c r="AN23" s="215">
        <f t="shared" si="1"/>
        <v>3.6153028418632314</v>
      </c>
      <c r="AO23" s="238">
        <f t="shared" si="4"/>
        <v>19.630418935971793</v>
      </c>
      <c r="AP23" s="294">
        <f t="shared" si="11"/>
        <v>20.663598879970301</v>
      </c>
    </row>
    <row r="24" spans="1:67" ht="14.4" customHeight="1" x14ac:dyDescent="0.3">
      <c r="A24" s="349" t="s">
        <v>393</v>
      </c>
      <c r="B24" s="350" t="s">
        <v>394</v>
      </c>
      <c r="C24" s="350" t="s">
        <v>364</v>
      </c>
      <c r="D24" s="351" t="s">
        <v>395</v>
      </c>
      <c r="AF24" s="367">
        <f t="shared" si="8"/>
        <v>441000000</v>
      </c>
      <c r="AG24" s="21">
        <f t="shared" si="2"/>
        <v>21</v>
      </c>
      <c r="AH24" s="21">
        <v>21</v>
      </c>
      <c r="AI24" s="21" t="s">
        <v>407</v>
      </c>
      <c r="AJ24" s="25">
        <f t="shared" ref="AJ24:AJ55" si="13">SUM(AK24:AL24)</f>
        <v>10197.138723170086</v>
      </c>
      <c r="AK24" s="25">
        <f t="shared" si="0"/>
        <v>1518.427193582557</v>
      </c>
      <c r="AL24" s="216">
        <f t="shared" si="7"/>
        <v>8678.7115295875301</v>
      </c>
      <c r="AM24" s="215">
        <f t="shared" si="3"/>
        <v>23.122763544603373</v>
      </c>
      <c r="AN24" s="215">
        <f t="shared" si="1"/>
        <v>3.4431455636792676</v>
      </c>
      <c r="AO24" s="238">
        <f t="shared" si="4"/>
        <v>19.679617980924107</v>
      </c>
      <c r="AP24" s="294">
        <f t="shared" ref="AP24:AP55" si="14">IFERROR((AJ24-AJ23)/(AF24-AF23),0)*1000000</f>
        <v>20.663598879970301</v>
      </c>
      <c r="AQ24"/>
      <c r="AR24" s="247"/>
      <c r="AS24" s="376"/>
      <c r="AT24" s="376"/>
      <c r="AU24" s="376"/>
      <c r="AV24" s="376"/>
      <c r="AW24" s="376"/>
      <c r="AX24" s="376"/>
      <c r="AY24" s="376"/>
      <c r="AZ24" s="376"/>
      <c r="BA24" s="376"/>
      <c r="BB24" s="376"/>
      <c r="BC24"/>
      <c r="BD24"/>
      <c r="BE24"/>
      <c r="BF24"/>
      <c r="BG24"/>
      <c r="BH24"/>
      <c r="BI24"/>
      <c r="BJ24"/>
      <c r="BK24"/>
      <c r="BL24"/>
      <c r="BM24"/>
      <c r="BN24"/>
      <c r="BO24"/>
    </row>
    <row r="25" spans="1:67" ht="14.4" x14ac:dyDescent="0.3">
      <c r="A25" s="223" t="s">
        <v>396</v>
      </c>
      <c r="B25" s="41">
        <v>12</v>
      </c>
      <c r="C25" s="41">
        <v>3236</v>
      </c>
      <c r="D25" s="380">
        <f>B25/C25</f>
        <v>3.708281829419036E-3</v>
      </c>
      <c r="AF25" s="367">
        <f t="shared" si="8"/>
        <v>462000000</v>
      </c>
      <c r="AG25" s="21">
        <f t="shared" si="2"/>
        <v>22</v>
      </c>
      <c r="AH25" s="21">
        <v>22</v>
      </c>
      <c r="AI25" s="21" t="s">
        <v>407</v>
      </c>
      <c r="AJ25" s="25">
        <f t="shared" si="13"/>
        <v>10631.074299649463</v>
      </c>
      <c r="AK25" s="25">
        <f t="shared" si="0"/>
        <v>1518.427193582557</v>
      </c>
      <c r="AL25" s="216">
        <f t="shared" si="7"/>
        <v>9112.6471060669064</v>
      </c>
      <c r="AM25" s="215">
        <f t="shared" si="3"/>
        <v>23.0109833325746</v>
      </c>
      <c r="AN25" s="215">
        <f t="shared" si="1"/>
        <v>3.2866389471483921</v>
      </c>
      <c r="AO25" s="238">
        <f t="shared" si="4"/>
        <v>19.724344385426207</v>
      </c>
      <c r="AP25" s="294">
        <f t="shared" si="14"/>
        <v>20.663598879970301</v>
      </c>
      <c r="AQ25"/>
      <c r="AS25"/>
      <c r="AT25"/>
      <c r="AU25"/>
      <c r="AV25"/>
      <c r="AW25"/>
      <c r="AX25"/>
      <c r="AY25"/>
      <c r="AZ25"/>
      <c r="BA25"/>
      <c r="BB25"/>
      <c r="BC25"/>
      <c r="BD25"/>
      <c r="BE25"/>
      <c r="BF25"/>
      <c r="BG25"/>
      <c r="BH25"/>
      <c r="BI25"/>
      <c r="BJ25"/>
      <c r="BK25"/>
      <c r="BL25"/>
      <c r="BM25"/>
      <c r="BN25"/>
      <c r="BO25"/>
    </row>
    <row r="26" spans="1:67" ht="14.4" x14ac:dyDescent="0.3">
      <c r="A26" s="223" t="s">
        <v>397</v>
      </c>
      <c r="B26" s="41">
        <v>44</v>
      </c>
      <c r="C26" s="41">
        <v>630</v>
      </c>
      <c r="D26" s="380">
        <f>B26/C26</f>
        <v>6.9841269841269843E-2</v>
      </c>
      <c r="AF26" s="367">
        <f t="shared" si="8"/>
        <v>483000000</v>
      </c>
      <c r="AG26" s="21">
        <f t="shared" si="2"/>
        <v>23</v>
      </c>
      <c r="AH26" s="21">
        <v>23</v>
      </c>
      <c r="AI26" s="21" t="s">
        <v>407</v>
      </c>
      <c r="AJ26" s="25">
        <f t="shared" si="13"/>
        <v>11065.009876128839</v>
      </c>
      <c r="AK26" s="25">
        <f t="shared" si="0"/>
        <v>1518.427193582557</v>
      </c>
      <c r="AL26" s="216">
        <f t="shared" si="7"/>
        <v>9546.5826825462827</v>
      </c>
      <c r="AM26" s="215">
        <f t="shared" si="3"/>
        <v>22.908923138983106</v>
      </c>
      <c r="AN26" s="215">
        <f t="shared" si="1"/>
        <v>3.1437416016202011</v>
      </c>
      <c r="AO26" s="238">
        <f t="shared" si="4"/>
        <v>19.765181537362906</v>
      </c>
      <c r="AP26" s="294">
        <f t="shared" si="14"/>
        <v>20.663598879970301</v>
      </c>
      <c r="AQ26"/>
      <c r="AS26"/>
      <c r="AT26"/>
      <c r="AU26"/>
      <c r="AV26"/>
      <c r="AW26"/>
      <c r="AX26"/>
      <c r="AY26"/>
      <c r="AZ26"/>
      <c r="BA26"/>
      <c r="BB26"/>
      <c r="BC26"/>
      <c r="BD26"/>
      <c r="BE26"/>
      <c r="BF26"/>
      <c r="BG26"/>
      <c r="BH26"/>
      <c r="BI26"/>
      <c r="BJ26"/>
      <c r="BK26"/>
      <c r="BL26"/>
      <c r="BM26"/>
      <c r="BN26"/>
      <c r="BO26"/>
    </row>
    <row r="27" spans="1:67" ht="14.4" x14ac:dyDescent="0.3">
      <c r="A27" s="223" t="s">
        <v>406</v>
      </c>
      <c r="B27" s="41">
        <v>150</v>
      </c>
      <c r="C27" s="41">
        <v>4425</v>
      </c>
      <c r="D27" s="380">
        <f>B27/C27</f>
        <v>3.3898305084745763E-2</v>
      </c>
      <c r="AF27" s="367">
        <f t="shared" si="8"/>
        <v>504000000</v>
      </c>
      <c r="AG27" s="21">
        <f t="shared" si="2"/>
        <v>24</v>
      </c>
      <c r="AH27" s="21">
        <v>24</v>
      </c>
      <c r="AI27" s="21" t="s">
        <v>407</v>
      </c>
      <c r="AJ27" s="25">
        <f t="shared" si="13"/>
        <v>11498.945452608215</v>
      </c>
      <c r="AK27" s="25">
        <f t="shared" si="0"/>
        <v>1518.427193582557</v>
      </c>
      <c r="AL27" s="216">
        <f t="shared" si="7"/>
        <v>9980.5182590256591</v>
      </c>
      <c r="AM27" s="215">
        <f t="shared" si="3"/>
        <v>22.815367961524238</v>
      </c>
      <c r="AN27" s="215">
        <f t="shared" si="1"/>
        <v>3.0127523682193593</v>
      </c>
      <c r="AO27" s="238">
        <f t="shared" si="4"/>
        <v>19.802615593304878</v>
      </c>
      <c r="AP27" s="294">
        <f t="shared" si="14"/>
        <v>20.663598879970301</v>
      </c>
      <c r="AQ27"/>
      <c r="AR27" s="222"/>
      <c r="AS27"/>
      <c r="AT27"/>
      <c r="AU27"/>
      <c r="AV27"/>
      <c r="AW27"/>
      <c r="AX27"/>
      <c r="AY27"/>
      <c r="AZ27"/>
      <c r="BA27"/>
      <c r="BB27"/>
      <c r="BC27"/>
      <c r="BD27"/>
      <c r="BE27"/>
      <c r="BF27"/>
      <c r="BG27"/>
      <c r="BH27"/>
      <c r="BI27"/>
      <c r="BJ27"/>
      <c r="BK27"/>
      <c r="BL27"/>
      <c r="BM27"/>
      <c r="BN27"/>
      <c r="BO27"/>
    </row>
    <row r="28" spans="1:67" ht="15" thickBot="1" x14ac:dyDescent="0.35">
      <c r="A28" s="228" t="s">
        <v>407</v>
      </c>
      <c r="B28" s="229">
        <v>20</v>
      </c>
      <c r="C28" s="229">
        <v>44</v>
      </c>
      <c r="D28" s="381">
        <f>B28/C28</f>
        <v>0.45454545454545453</v>
      </c>
      <c r="AF28" s="367">
        <f t="shared" si="8"/>
        <v>525000000</v>
      </c>
      <c r="AG28" s="21">
        <f t="shared" si="2"/>
        <v>25</v>
      </c>
      <c r="AH28" s="21">
        <v>25</v>
      </c>
      <c r="AI28" s="21" t="s">
        <v>407</v>
      </c>
      <c r="AJ28" s="25">
        <f t="shared" si="13"/>
        <v>11932.881029087592</v>
      </c>
      <c r="AK28" s="25">
        <f t="shared" si="0"/>
        <v>1518.427193582557</v>
      </c>
      <c r="AL28" s="216">
        <f t="shared" si="7"/>
        <v>10414.453835505035</v>
      </c>
      <c r="AM28" s="215">
        <f t="shared" si="3"/>
        <v>22.729297198262078</v>
      </c>
      <c r="AN28" s="215">
        <f t="shared" si="1"/>
        <v>2.8922422734905848</v>
      </c>
      <c r="AO28" s="238">
        <f t="shared" si="4"/>
        <v>19.837054924771493</v>
      </c>
      <c r="AP28" s="294">
        <f t="shared" si="14"/>
        <v>20.663598879970301</v>
      </c>
      <c r="AQ28"/>
      <c r="AS28"/>
      <c r="AT28"/>
      <c r="AU28"/>
      <c r="AV28"/>
      <c r="AW28"/>
      <c r="AX28"/>
      <c r="AY28"/>
      <c r="AZ28"/>
      <c r="BA28"/>
      <c r="BB28"/>
      <c r="BC28"/>
      <c r="BD28"/>
      <c r="BE28"/>
      <c r="BF28"/>
      <c r="BG28"/>
      <c r="BH28"/>
      <c r="BI28"/>
      <c r="BJ28"/>
      <c r="BK28"/>
      <c r="BL28"/>
      <c r="BM28"/>
      <c r="BN28"/>
      <c r="BO28"/>
    </row>
    <row r="29" spans="1:67" ht="14.4" x14ac:dyDescent="0.3">
      <c r="A29" s="103"/>
      <c r="B29" s="103"/>
      <c r="C29" s="103"/>
      <c r="D29" s="103"/>
      <c r="AF29" s="367">
        <f t="shared" si="8"/>
        <v>546000000</v>
      </c>
      <c r="AG29" s="21">
        <f t="shared" si="2"/>
        <v>26</v>
      </c>
      <c r="AH29" s="21">
        <v>26</v>
      </c>
      <c r="AI29" s="21" t="s">
        <v>407</v>
      </c>
      <c r="AJ29" s="25">
        <f t="shared" si="13"/>
        <v>12366.816605566968</v>
      </c>
      <c r="AK29" s="25">
        <f t="shared" si="0"/>
        <v>1518.427193582557</v>
      </c>
      <c r="AL29" s="216">
        <f t="shared" si="7"/>
        <v>10848.389411984412</v>
      </c>
      <c r="AM29" s="215">
        <f t="shared" si="3"/>
        <v>22.649847262943165</v>
      </c>
      <c r="AN29" s="215">
        <f t="shared" si="1"/>
        <v>2.7810021860486396</v>
      </c>
      <c r="AO29" s="238">
        <f t="shared" si="4"/>
        <v>19.868845076894527</v>
      </c>
      <c r="AP29" s="294">
        <f t="shared" si="14"/>
        <v>20.663598879970301</v>
      </c>
      <c r="AQ29"/>
      <c r="AS29"/>
      <c r="AT29"/>
      <c r="AU29"/>
      <c r="AV29"/>
      <c r="AW29"/>
      <c r="AX29"/>
      <c r="AY29"/>
      <c r="AZ29"/>
      <c r="BA29"/>
      <c r="BB29"/>
      <c r="BC29"/>
      <c r="BD29"/>
      <c r="BE29"/>
      <c r="BF29"/>
      <c r="BG29"/>
      <c r="BH29"/>
      <c r="BI29"/>
      <c r="BJ29"/>
      <c r="BK29"/>
      <c r="BL29"/>
      <c r="BM29"/>
      <c r="BN29"/>
      <c r="BO29"/>
    </row>
    <row r="30" spans="1:67" ht="14.4" x14ac:dyDescent="0.3">
      <c r="A30" s="103"/>
      <c r="B30" s="103"/>
      <c r="C30" s="356" t="s">
        <v>408</v>
      </c>
      <c r="D30" s="231">
        <f>SUM(D25:D27)/3</f>
        <v>3.5815952251811549E-2</v>
      </c>
      <c r="AF30" s="367">
        <f t="shared" si="8"/>
        <v>567000000</v>
      </c>
      <c r="AG30" s="21">
        <f t="shared" si="2"/>
        <v>27</v>
      </c>
      <c r="AH30" s="21">
        <v>27</v>
      </c>
      <c r="AI30" s="21" t="s">
        <v>407</v>
      </c>
      <c r="AJ30" s="25">
        <f t="shared" si="13"/>
        <v>12800.752182046344</v>
      </c>
      <c r="AK30" s="25">
        <f t="shared" si="0"/>
        <v>1518.427193582557</v>
      </c>
      <c r="AL30" s="216">
        <f t="shared" si="7"/>
        <v>11282.324988463788</v>
      </c>
      <c r="AM30" s="215">
        <f t="shared" si="3"/>
        <v>22.576282508018245</v>
      </c>
      <c r="AN30" s="215">
        <f t="shared" si="1"/>
        <v>2.6780021050838747</v>
      </c>
      <c r="AO30" s="238">
        <f t="shared" si="4"/>
        <v>19.898280402934372</v>
      </c>
      <c r="AP30" s="294">
        <f t="shared" si="14"/>
        <v>20.663598879970301</v>
      </c>
      <c r="AQ30"/>
      <c r="AS30"/>
      <c r="AT30"/>
      <c r="AU30"/>
      <c r="AV30"/>
      <c r="AW30"/>
      <c r="AX30"/>
      <c r="AY30"/>
      <c r="AZ30"/>
      <c r="BA30"/>
      <c r="BB30"/>
      <c r="BC30"/>
      <c r="BD30"/>
      <c r="BE30"/>
      <c r="BF30"/>
      <c r="BG30"/>
      <c r="BH30"/>
      <c r="BI30"/>
      <c r="BJ30"/>
      <c r="BK30"/>
      <c r="BL30"/>
      <c r="BM30"/>
      <c r="BN30"/>
      <c r="BO30"/>
    </row>
    <row r="31" spans="1:67" ht="14.4" x14ac:dyDescent="0.3">
      <c r="A31" s="103"/>
      <c r="B31" s="103"/>
      <c r="C31" s="356" t="s">
        <v>409</v>
      </c>
      <c r="D31" s="231">
        <f>D28</f>
        <v>0.45454545454545453</v>
      </c>
      <c r="AF31" s="367">
        <f t="shared" si="8"/>
        <v>588000000</v>
      </c>
      <c r="AG31" s="21">
        <f t="shared" si="2"/>
        <v>28</v>
      </c>
      <c r="AH31" s="21">
        <v>28</v>
      </c>
      <c r="AI31" s="21" t="s">
        <v>407</v>
      </c>
      <c r="AJ31" s="25">
        <f t="shared" si="13"/>
        <v>13234.687758525721</v>
      </c>
      <c r="AK31" s="25">
        <f t="shared" si="0"/>
        <v>1518.427193582557</v>
      </c>
      <c r="AL31" s="216">
        <f t="shared" si="7"/>
        <v>11716.260564943164</v>
      </c>
      <c r="AM31" s="215">
        <f t="shared" si="3"/>
        <v>22.507972378445103</v>
      </c>
      <c r="AN31" s="215">
        <f t="shared" si="1"/>
        <v>2.5823591727594506</v>
      </c>
      <c r="AO31" s="238">
        <f t="shared" si="4"/>
        <v>19.925613205685654</v>
      </c>
      <c r="AP31" s="294">
        <f t="shared" si="14"/>
        <v>20.663598879970301</v>
      </c>
      <c r="AQ31"/>
      <c r="AS31"/>
      <c r="AT31"/>
      <c r="AU31"/>
      <c r="AV31"/>
      <c r="AW31"/>
      <c r="AX31"/>
      <c r="AY31"/>
      <c r="AZ31"/>
      <c r="BA31"/>
      <c r="BB31"/>
      <c r="BC31"/>
      <c r="BD31"/>
      <c r="BE31"/>
      <c r="BF31"/>
      <c r="BG31"/>
      <c r="BH31"/>
      <c r="BI31"/>
      <c r="BJ31"/>
      <c r="BK31"/>
      <c r="BL31"/>
      <c r="BM31"/>
      <c r="BN31"/>
      <c r="BO31"/>
    </row>
    <row r="32" spans="1:67" ht="14.4" x14ac:dyDescent="0.3">
      <c r="A32" s="103"/>
      <c r="B32" s="103"/>
      <c r="C32" s="103"/>
      <c r="D32" s="103"/>
      <c r="AF32" s="367">
        <f t="shared" si="8"/>
        <v>609000000</v>
      </c>
      <c r="AG32" s="21">
        <f t="shared" si="2"/>
        <v>29</v>
      </c>
      <c r="AH32" s="21">
        <v>29</v>
      </c>
      <c r="AI32" s="21" t="s">
        <v>407</v>
      </c>
      <c r="AJ32" s="25">
        <f t="shared" si="13"/>
        <v>13668.623335005097</v>
      </c>
      <c r="AK32" s="25">
        <f t="shared" si="0"/>
        <v>1518.427193582557</v>
      </c>
      <c r="AL32" s="216">
        <f t="shared" si="7"/>
        <v>12150.196141422541</v>
      </c>
      <c r="AM32" s="215">
        <f t="shared" si="3"/>
        <v>22.444373292290802</v>
      </c>
      <c r="AN32" s="215">
        <f t="shared" si="1"/>
        <v>2.493312304733263</v>
      </c>
      <c r="AO32" s="238">
        <f t="shared" si="4"/>
        <v>19.95106098755754</v>
      </c>
      <c r="AP32" s="294">
        <f t="shared" si="14"/>
        <v>20.663598879970301</v>
      </c>
      <c r="AQ32"/>
      <c r="AS32"/>
      <c r="AT32"/>
      <c r="AU32"/>
      <c r="AV32"/>
      <c r="AW32"/>
      <c r="AX32"/>
      <c r="AY32"/>
      <c r="AZ32"/>
      <c r="BA32"/>
      <c r="BB32"/>
      <c r="BC32"/>
      <c r="BD32"/>
      <c r="BE32"/>
      <c r="BF32"/>
      <c r="BG32"/>
      <c r="BH32"/>
      <c r="BI32"/>
      <c r="BJ32"/>
      <c r="BK32"/>
      <c r="BL32"/>
      <c r="BM32"/>
      <c r="BN32"/>
      <c r="BO32"/>
    </row>
    <row r="33" spans="1:67" ht="15" thickBot="1" x14ac:dyDescent="0.35">
      <c r="A33" s="506" t="s">
        <v>532</v>
      </c>
      <c r="B33" s="506"/>
      <c r="C33" s="506"/>
      <c r="D33" s="506"/>
      <c r="AF33" s="367">
        <f t="shared" si="8"/>
        <v>630000000</v>
      </c>
      <c r="AG33" s="21">
        <f t="shared" si="2"/>
        <v>30</v>
      </c>
      <c r="AH33" s="21">
        <v>30</v>
      </c>
      <c r="AI33" s="21" t="s">
        <v>407</v>
      </c>
      <c r="AJ33" s="25">
        <f t="shared" si="13"/>
        <v>14102.558911484473</v>
      </c>
      <c r="AK33" s="25">
        <f t="shared" si="0"/>
        <v>1518.427193582557</v>
      </c>
      <c r="AL33" s="216">
        <f t="shared" si="7"/>
        <v>12584.131717901917</v>
      </c>
      <c r="AM33" s="215">
        <f t="shared" si="3"/>
        <v>22.38501414521345</v>
      </c>
      <c r="AN33" s="215">
        <f t="shared" si="1"/>
        <v>2.4102018945754873</v>
      </c>
      <c r="AO33" s="238">
        <f t="shared" si="4"/>
        <v>19.974812250637964</v>
      </c>
      <c r="AP33" s="294">
        <f t="shared" si="14"/>
        <v>20.663598879970301</v>
      </c>
      <c r="AQ33"/>
      <c r="AS33"/>
      <c r="AT33"/>
      <c r="AU33"/>
      <c r="AV33"/>
      <c r="AW33"/>
      <c r="AX33"/>
      <c r="AY33"/>
      <c r="AZ33"/>
      <c r="BA33"/>
      <c r="BB33"/>
      <c r="BC33"/>
      <c r="BD33"/>
      <c r="BE33"/>
      <c r="BF33"/>
      <c r="BG33"/>
      <c r="BH33"/>
      <c r="BI33"/>
      <c r="BJ33"/>
      <c r="BK33"/>
      <c r="BL33"/>
      <c r="BM33"/>
      <c r="BN33"/>
      <c r="BO33"/>
    </row>
    <row r="34" spans="1:67" ht="14.4" x14ac:dyDescent="0.3">
      <c r="A34" s="349" t="s">
        <v>393</v>
      </c>
      <c r="B34" s="350" t="s">
        <v>410</v>
      </c>
      <c r="C34" s="350" t="s">
        <v>364</v>
      </c>
      <c r="D34" s="351" t="s">
        <v>411</v>
      </c>
      <c r="AF34" s="367">
        <f t="shared" si="8"/>
        <v>651000000</v>
      </c>
      <c r="AG34" s="21">
        <f t="shared" si="2"/>
        <v>31</v>
      </c>
      <c r="AH34" s="21">
        <v>31</v>
      </c>
      <c r="AI34" s="21" t="s">
        <v>407</v>
      </c>
      <c r="AJ34" s="25">
        <f t="shared" si="13"/>
        <v>14536.49448796385</v>
      </c>
      <c r="AK34" s="25">
        <f t="shared" si="0"/>
        <v>1518.427193582557</v>
      </c>
      <c r="AL34" s="216">
        <f t="shared" si="7"/>
        <v>13018.067294381293</v>
      </c>
      <c r="AM34" s="215">
        <f t="shared" si="3"/>
        <v>22.329484620528188</v>
      </c>
      <c r="AN34" s="215">
        <f t="shared" si="1"/>
        <v>2.3324534463633748</v>
      </c>
      <c r="AO34" s="238">
        <f t="shared" si="4"/>
        <v>19.997031174164814</v>
      </c>
      <c r="AP34" s="294">
        <f t="shared" si="14"/>
        <v>20.663598879970301</v>
      </c>
      <c r="AQ34"/>
      <c r="AS34"/>
      <c r="AT34"/>
      <c r="AU34"/>
      <c r="AV34"/>
      <c r="AW34"/>
      <c r="AX34"/>
      <c r="AY34"/>
      <c r="AZ34"/>
      <c r="BA34"/>
      <c r="BB34"/>
      <c r="BC34"/>
      <c r="BD34"/>
      <c r="BE34"/>
      <c r="BF34"/>
      <c r="BG34"/>
      <c r="BH34"/>
      <c r="BI34"/>
      <c r="BJ34"/>
      <c r="BK34"/>
      <c r="BL34"/>
      <c r="BM34"/>
      <c r="BN34"/>
      <c r="BO34"/>
    </row>
    <row r="35" spans="1:67" ht="14.4" x14ac:dyDescent="0.3">
      <c r="A35" s="223" t="s">
        <v>396</v>
      </c>
      <c r="B35" s="41">
        <f>4.65*1000</f>
        <v>4650</v>
      </c>
      <c r="C35" s="41">
        <v>3236</v>
      </c>
      <c r="D35" s="369">
        <f>B35/C35</f>
        <v>1.4369592088998764</v>
      </c>
      <c r="AE35" s="233"/>
      <c r="AF35" s="367">
        <f t="shared" si="8"/>
        <v>672000000</v>
      </c>
      <c r="AG35" s="21">
        <f t="shared" si="2"/>
        <v>32</v>
      </c>
      <c r="AH35" s="21">
        <v>32</v>
      </c>
      <c r="AI35" s="21" t="s">
        <v>407</v>
      </c>
      <c r="AJ35" s="25">
        <f t="shared" si="13"/>
        <v>14970.430064443226</v>
      </c>
      <c r="AK35" s="25">
        <f t="shared" si="0"/>
        <v>1518.427193582557</v>
      </c>
      <c r="AL35" s="216">
        <f t="shared" si="7"/>
        <v>13452.00287086067</v>
      </c>
      <c r="AM35" s="215">
        <f t="shared" si="3"/>
        <v>22.277425691135754</v>
      </c>
      <c r="AN35" s="215">
        <f t="shared" si="1"/>
        <v>2.2595642761645194</v>
      </c>
      <c r="AO35" s="238">
        <f t="shared" si="4"/>
        <v>20.017861414971236</v>
      </c>
      <c r="AP35" s="294">
        <f t="shared" si="14"/>
        <v>20.663598879970301</v>
      </c>
      <c r="AQ35"/>
      <c r="AS35"/>
      <c r="AT35"/>
      <c r="AU35"/>
      <c r="AV35"/>
      <c r="AW35"/>
      <c r="AX35"/>
      <c r="AY35"/>
      <c r="AZ35"/>
      <c r="BA35"/>
      <c r="BB35"/>
      <c r="BC35"/>
      <c r="BD35"/>
      <c r="BE35"/>
      <c r="BF35"/>
      <c r="BG35"/>
      <c r="BH35"/>
      <c r="BI35"/>
      <c r="BJ35"/>
      <c r="BK35"/>
      <c r="BL35"/>
      <c r="BM35"/>
      <c r="BN35"/>
      <c r="BO35"/>
    </row>
    <row r="36" spans="1:67" ht="14.4" x14ac:dyDescent="0.3">
      <c r="A36" s="223" t="s">
        <v>397</v>
      </c>
      <c r="B36" s="41">
        <f>5.9*1000</f>
        <v>5900</v>
      </c>
      <c r="C36" s="41">
        <v>630</v>
      </c>
      <c r="D36" s="369">
        <f>B36/C36</f>
        <v>9.3650793650793656</v>
      </c>
      <c r="AE36" s="233"/>
      <c r="AF36" s="367">
        <f t="shared" si="8"/>
        <v>693000000</v>
      </c>
      <c r="AG36" s="21">
        <f t="shared" si="2"/>
        <v>33</v>
      </c>
      <c r="AH36" s="21">
        <v>33</v>
      </c>
      <c r="AI36" s="21" t="s">
        <v>407</v>
      </c>
      <c r="AJ36" s="25">
        <f t="shared" si="13"/>
        <v>15404.365640922602</v>
      </c>
      <c r="AK36" s="25">
        <f t="shared" ref="AK36:AK55" si="15">SUM($AJ$119:$AM$119,$BL$119)</f>
        <v>1518.427193582557</v>
      </c>
      <c r="AL36" s="216">
        <f t="shared" si="7"/>
        <v>13885.938447340046</v>
      </c>
      <c r="AM36" s="215">
        <f t="shared" si="3"/>
        <v>22.228521848373166</v>
      </c>
      <c r="AN36" s="215">
        <f t="shared" si="1"/>
        <v>2.1910926314322614</v>
      </c>
      <c r="AO36" s="238">
        <f t="shared" si="4"/>
        <v>20.037429216940904</v>
      </c>
      <c r="AP36" s="294">
        <f t="shared" si="14"/>
        <v>20.663598879970301</v>
      </c>
      <c r="AQ36"/>
      <c r="AS36"/>
      <c r="AT36"/>
      <c r="AU36"/>
      <c r="AV36"/>
      <c r="AW36"/>
      <c r="AX36"/>
      <c r="AY36"/>
      <c r="AZ36"/>
      <c r="BA36"/>
      <c r="BB36"/>
      <c r="BC36"/>
      <c r="BD36"/>
      <c r="BE36"/>
      <c r="BF36"/>
      <c r="BG36"/>
      <c r="BH36"/>
      <c r="BI36"/>
      <c r="BJ36"/>
      <c r="BK36"/>
      <c r="BL36"/>
      <c r="BM36"/>
      <c r="BN36"/>
      <c r="BO36"/>
    </row>
    <row r="37" spans="1:67" ht="14.4" x14ac:dyDescent="0.3">
      <c r="A37" s="223" t="s">
        <v>406</v>
      </c>
      <c r="B37" s="41">
        <f>6.95*1000</f>
        <v>6950</v>
      </c>
      <c r="C37" s="41">
        <v>4425</v>
      </c>
      <c r="D37" s="369">
        <f>B37/C37</f>
        <v>1.5706214689265536</v>
      </c>
      <c r="AE37" s="233"/>
      <c r="AF37" s="367">
        <f t="shared" si="8"/>
        <v>714000000</v>
      </c>
      <c r="AG37" s="21">
        <f t="shared" si="2"/>
        <v>34</v>
      </c>
      <c r="AH37" s="21">
        <v>34</v>
      </c>
      <c r="AI37" s="21" t="s">
        <v>407</v>
      </c>
      <c r="AJ37" s="25">
        <f t="shared" si="13"/>
        <v>15838.301217401979</v>
      </c>
      <c r="AK37" s="25">
        <f t="shared" si="15"/>
        <v>1518.427193582557</v>
      </c>
      <c r="AL37" s="216">
        <f t="shared" si="7"/>
        <v>14319.874023819422</v>
      </c>
      <c r="AM37" s="215">
        <f t="shared" si="3"/>
        <v>22.182494702243666</v>
      </c>
      <c r="AN37" s="215">
        <f t="shared" si="1"/>
        <v>2.126648730507783</v>
      </c>
      <c r="AO37" s="238">
        <f t="shared" si="4"/>
        <v>20.055845971735884</v>
      </c>
      <c r="AP37" s="294">
        <f t="shared" si="14"/>
        <v>20.663598879970301</v>
      </c>
      <c r="AQ37"/>
      <c r="AS37"/>
      <c r="AT37"/>
      <c r="AU37"/>
      <c r="AV37"/>
      <c r="AW37"/>
      <c r="AX37"/>
      <c r="AY37"/>
      <c r="AZ37"/>
      <c r="BA37"/>
      <c r="BB37"/>
      <c r="BC37"/>
      <c r="BD37"/>
      <c r="BE37"/>
      <c r="BF37"/>
      <c r="BG37"/>
      <c r="BH37"/>
      <c r="BI37"/>
      <c r="BJ37"/>
      <c r="BK37"/>
      <c r="BL37"/>
      <c r="BM37"/>
      <c r="BN37"/>
      <c r="BO37"/>
    </row>
    <row r="38" spans="1:67" ht="15" thickBot="1" x14ac:dyDescent="0.35">
      <c r="A38" s="228" t="s">
        <v>407</v>
      </c>
      <c r="B38" s="229">
        <f>4.8*1000</f>
        <v>4800</v>
      </c>
      <c r="C38" s="229">
        <v>44</v>
      </c>
      <c r="D38" s="374">
        <f>B38/C38</f>
        <v>109.09090909090909</v>
      </c>
      <c r="AE38" s="233"/>
      <c r="AF38" s="367">
        <f t="shared" si="8"/>
        <v>735000000</v>
      </c>
      <c r="AG38" s="21">
        <f t="shared" si="2"/>
        <v>35</v>
      </c>
      <c r="AH38" s="21">
        <v>35</v>
      </c>
      <c r="AI38" s="21" t="s">
        <v>407</v>
      </c>
      <c r="AJ38" s="25">
        <f t="shared" si="13"/>
        <v>16272.236793881355</v>
      </c>
      <c r="AK38" s="25">
        <f t="shared" si="15"/>
        <v>1518.427193582557</v>
      </c>
      <c r="AL38" s="216">
        <f t="shared" si="7"/>
        <v>14753.809600298799</v>
      </c>
      <c r="AM38" s="215">
        <f t="shared" si="3"/>
        <v>22.139097678750144</v>
      </c>
      <c r="AN38" s="215">
        <f t="shared" si="1"/>
        <v>2.0658873382075607</v>
      </c>
      <c r="AO38" s="238">
        <f t="shared" si="4"/>
        <v>20.073210340542584</v>
      </c>
      <c r="AP38" s="294">
        <f t="shared" si="14"/>
        <v>20.663598879970301</v>
      </c>
      <c r="AQ38"/>
      <c r="AS38"/>
      <c r="AT38"/>
      <c r="AU38"/>
      <c r="AV38"/>
      <c r="AW38"/>
      <c r="AX38"/>
      <c r="AY38"/>
      <c r="AZ38"/>
      <c r="BA38"/>
      <c r="BB38"/>
      <c r="BC38"/>
      <c r="BD38"/>
      <c r="BE38"/>
      <c r="BF38"/>
      <c r="BG38"/>
      <c r="BH38"/>
      <c r="BI38"/>
      <c r="BJ38"/>
      <c r="BK38"/>
      <c r="BL38"/>
      <c r="BM38"/>
      <c r="BN38"/>
      <c r="BO38"/>
    </row>
    <row r="39" spans="1:67" ht="14.4" x14ac:dyDescent="0.3">
      <c r="A39" s="103"/>
      <c r="B39" s="103"/>
      <c r="C39" s="103"/>
      <c r="D39" s="103"/>
      <c r="AF39" s="367">
        <f t="shared" ref="AF39:AF55" si="16">AF38+$AF$4</f>
        <v>756000000</v>
      </c>
      <c r="AG39" s="21">
        <f t="shared" si="2"/>
        <v>36</v>
      </c>
      <c r="AH39" s="21">
        <v>36</v>
      </c>
      <c r="AI39" s="21" t="s">
        <v>407</v>
      </c>
      <c r="AJ39" s="25">
        <f t="shared" si="13"/>
        <v>16706.172370360731</v>
      </c>
      <c r="AK39" s="25">
        <f t="shared" si="15"/>
        <v>1518.427193582557</v>
      </c>
      <c r="AL39" s="216">
        <f t="shared" si="7"/>
        <v>15187.745176778175</v>
      </c>
      <c r="AM39" s="215">
        <f t="shared" si="3"/>
        <v>22.098111601006259</v>
      </c>
      <c r="AN39" s="215">
        <f t="shared" si="1"/>
        <v>2.0085015788129064</v>
      </c>
      <c r="AO39" s="238">
        <f t="shared" si="4"/>
        <v>20.089610022193352</v>
      </c>
      <c r="AP39" s="294">
        <f t="shared" si="14"/>
        <v>20.663598879970301</v>
      </c>
      <c r="AQ39"/>
      <c r="AS39"/>
      <c r="AT39"/>
      <c r="AU39"/>
      <c r="AV39"/>
      <c r="AW39"/>
      <c r="AX39"/>
      <c r="AY39"/>
      <c r="AZ39"/>
      <c r="BA39"/>
      <c r="BB39"/>
      <c r="BC39"/>
      <c r="BD39"/>
      <c r="BE39"/>
      <c r="BF39"/>
      <c r="BG39"/>
      <c r="BH39"/>
      <c r="BI39"/>
      <c r="BJ39"/>
      <c r="BK39"/>
      <c r="BL39"/>
      <c r="BM39"/>
      <c r="BN39"/>
      <c r="BO39"/>
    </row>
    <row r="40" spans="1:67" ht="14.4" x14ac:dyDescent="0.3">
      <c r="A40" s="103"/>
      <c r="B40" s="103"/>
      <c r="C40" s="356" t="s">
        <v>408</v>
      </c>
      <c r="D40" s="231">
        <f>SUM(D35:D37)/3</f>
        <v>4.1242200143019323</v>
      </c>
      <c r="AE40" s="222"/>
      <c r="AF40" s="367">
        <f t="shared" si="16"/>
        <v>777000000</v>
      </c>
      <c r="AG40" s="21">
        <f t="shared" si="2"/>
        <v>37</v>
      </c>
      <c r="AH40" s="21">
        <v>37</v>
      </c>
      <c r="AI40" s="21" t="s">
        <v>407</v>
      </c>
      <c r="AJ40" s="25">
        <f t="shared" si="13"/>
        <v>17140.107946840108</v>
      </c>
      <c r="AK40" s="25">
        <f t="shared" si="15"/>
        <v>1518.427193582557</v>
      </c>
      <c r="AL40" s="216">
        <f t="shared" si="7"/>
        <v>15621.680753257551</v>
      </c>
      <c r="AM40" s="215">
        <f t="shared" si="3"/>
        <v>22.059340986924209</v>
      </c>
      <c r="AN40" s="215">
        <f t="shared" si="1"/>
        <v>1.9542177523585031</v>
      </c>
      <c r="AO40" s="238">
        <f t="shared" si="4"/>
        <v>20.105123234565706</v>
      </c>
      <c r="AP40" s="294">
        <f t="shared" si="14"/>
        <v>20.663598879970301</v>
      </c>
      <c r="AQ40"/>
      <c r="AS40"/>
      <c r="AT40"/>
      <c r="AU40"/>
      <c r="AV40"/>
      <c r="AW40"/>
      <c r="AX40"/>
      <c r="AY40"/>
      <c r="AZ40"/>
      <c r="BA40"/>
      <c r="BB40"/>
      <c r="BC40"/>
      <c r="BD40"/>
      <c r="BE40"/>
      <c r="BF40"/>
      <c r="BG40"/>
      <c r="BH40"/>
      <c r="BI40"/>
      <c r="BJ40"/>
      <c r="BK40"/>
      <c r="BL40"/>
      <c r="BM40"/>
      <c r="BN40"/>
      <c r="BO40"/>
    </row>
    <row r="41" spans="1:67" ht="14.4" x14ac:dyDescent="0.3">
      <c r="A41" s="103"/>
      <c r="B41" s="103"/>
      <c r="C41" s="356" t="s">
        <v>409</v>
      </c>
      <c r="D41" s="231">
        <f>D38</f>
        <v>109.09090909090909</v>
      </c>
      <c r="AF41" s="367">
        <f t="shared" si="16"/>
        <v>798000000</v>
      </c>
      <c r="AG41" s="21">
        <f t="shared" si="2"/>
        <v>38</v>
      </c>
      <c r="AH41" s="21">
        <v>38</v>
      </c>
      <c r="AI41" s="21" t="s">
        <v>407</v>
      </c>
      <c r="AJ41" s="25">
        <f t="shared" si="13"/>
        <v>17574.043523319484</v>
      </c>
      <c r="AK41" s="25">
        <f t="shared" si="15"/>
        <v>1518.427193582557</v>
      </c>
      <c r="AL41" s="216">
        <f t="shared" si="7"/>
        <v>16055.616329736928</v>
      </c>
      <c r="AM41" s="215">
        <f t="shared" si="3"/>
        <v>22.022610931478052</v>
      </c>
      <c r="AN41" s="215">
        <f t="shared" si="1"/>
        <v>1.9027909694017004</v>
      </c>
      <c r="AO41" s="238">
        <f t="shared" si="4"/>
        <v>20.119819962076352</v>
      </c>
      <c r="AP41" s="294">
        <f t="shared" si="14"/>
        <v>20.663598879970301</v>
      </c>
      <c r="AQ41"/>
      <c r="AS41"/>
      <c r="AT41"/>
      <c r="AU41"/>
      <c r="AV41"/>
      <c r="AW41"/>
      <c r="AX41"/>
      <c r="AY41"/>
      <c r="AZ41"/>
      <c r="BA41"/>
      <c r="BB41"/>
      <c r="BC41"/>
      <c r="BD41"/>
      <c r="BE41"/>
      <c r="BF41"/>
      <c r="BG41"/>
      <c r="BH41"/>
      <c r="BI41"/>
      <c r="BJ41"/>
      <c r="BK41"/>
      <c r="BL41"/>
      <c r="BM41"/>
      <c r="BN41"/>
      <c r="BO41"/>
    </row>
    <row r="42" spans="1:67" ht="14.4" x14ac:dyDescent="0.3">
      <c r="A42" s="103"/>
      <c r="B42" s="103"/>
      <c r="C42" s="103"/>
      <c r="D42" s="103"/>
      <c r="AF42" s="367">
        <f t="shared" si="16"/>
        <v>819000000</v>
      </c>
      <c r="AG42" s="21">
        <f t="shared" si="2"/>
        <v>39</v>
      </c>
      <c r="AH42" s="21">
        <v>39</v>
      </c>
      <c r="AI42" s="21" t="s">
        <v>407</v>
      </c>
      <c r="AJ42" s="25">
        <f t="shared" si="13"/>
        <v>18007.97909979886</v>
      </c>
      <c r="AK42" s="25">
        <f t="shared" si="15"/>
        <v>1518.427193582557</v>
      </c>
      <c r="AL42" s="216">
        <f t="shared" si="7"/>
        <v>16489.551906216304</v>
      </c>
      <c r="AM42" s="215">
        <f t="shared" si="3"/>
        <v>21.987764468618877</v>
      </c>
      <c r="AN42" s="215">
        <f t="shared" si="1"/>
        <v>1.8540014573657595</v>
      </c>
      <c r="AO42" s="238">
        <f t="shared" si="4"/>
        <v>20.133763011253119</v>
      </c>
      <c r="AP42" s="294">
        <f t="shared" si="14"/>
        <v>20.663598879970301</v>
      </c>
      <c r="AQ42"/>
      <c r="AS42"/>
      <c r="AT42"/>
      <c r="AU42"/>
      <c r="AV42"/>
      <c r="AW42"/>
      <c r="AX42"/>
      <c r="AY42"/>
      <c r="AZ42"/>
      <c r="BA42"/>
      <c r="BB42"/>
      <c r="BC42"/>
      <c r="BD42"/>
      <c r="BE42"/>
      <c r="BF42"/>
      <c r="BG42"/>
      <c r="BH42"/>
      <c r="BI42"/>
      <c r="BJ42"/>
      <c r="BK42"/>
      <c r="BL42"/>
      <c r="BM42"/>
      <c r="BN42"/>
      <c r="BO42"/>
    </row>
    <row r="43" spans="1:67" ht="15" thickBot="1" x14ac:dyDescent="0.35">
      <c r="A43" s="506" t="s">
        <v>533</v>
      </c>
      <c r="B43" s="506"/>
      <c r="C43" s="506"/>
      <c r="D43" s="506"/>
      <c r="AF43" s="367">
        <f t="shared" si="16"/>
        <v>840000000</v>
      </c>
      <c r="AG43" s="21">
        <f t="shared" si="2"/>
        <v>40</v>
      </c>
      <c r="AH43" s="21">
        <v>40</v>
      </c>
      <c r="AI43" s="21" t="s">
        <v>407</v>
      </c>
      <c r="AJ43" s="25">
        <f t="shared" si="13"/>
        <v>18441.914676278237</v>
      </c>
      <c r="AK43" s="25">
        <f t="shared" si="15"/>
        <v>1518.427193582557</v>
      </c>
      <c r="AL43" s="216">
        <f t="shared" si="7"/>
        <v>16923.48748269568</v>
      </c>
      <c r="AM43" s="215">
        <f t="shared" si="3"/>
        <v>21.954660328902666</v>
      </c>
      <c r="AN43" s="215">
        <f t="shared" si="1"/>
        <v>1.8076514209316157</v>
      </c>
      <c r="AO43" s="238">
        <f t="shared" si="4"/>
        <v>20.147008907971049</v>
      </c>
      <c r="AP43" s="294">
        <f t="shared" si="14"/>
        <v>20.663598879970301</v>
      </c>
      <c r="AQ43"/>
      <c r="AS43"/>
      <c r="AT43"/>
      <c r="AU43"/>
      <c r="AV43"/>
      <c r="AW43"/>
      <c r="AX43"/>
      <c r="AY43"/>
      <c r="AZ43"/>
      <c r="BA43"/>
      <c r="BB43"/>
      <c r="BC43"/>
      <c r="BD43"/>
      <c r="BE43"/>
      <c r="BF43"/>
      <c r="BG43"/>
      <c r="BH43"/>
      <c r="BI43"/>
      <c r="BJ43"/>
      <c r="BK43"/>
      <c r="BL43"/>
      <c r="BM43"/>
      <c r="BN43"/>
      <c r="BO43"/>
    </row>
    <row r="44" spans="1:67" ht="14.4" x14ac:dyDescent="0.3">
      <c r="A44" s="349" t="s">
        <v>393</v>
      </c>
      <c r="B44" s="350" t="s">
        <v>363</v>
      </c>
      <c r="C44" s="350" t="s">
        <v>364</v>
      </c>
      <c r="D44" s="351" t="s">
        <v>412</v>
      </c>
      <c r="AF44" s="367">
        <f t="shared" si="16"/>
        <v>861000000</v>
      </c>
      <c r="AG44" s="21">
        <f t="shared" si="2"/>
        <v>41</v>
      </c>
      <c r="AH44" s="21">
        <v>41</v>
      </c>
      <c r="AI44" s="21" t="s">
        <v>407</v>
      </c>
      <c r="AJ44" s="25">
        <f t="shared" si="13"/>
        <v>18875.850252757613</v>
      </c>
      <c r="AK44" s="25">
        <f t="shared" si="15"/>
        <v>1518.427193582557</v>
      </c>
      <c r="AL44" s="216">
        <f t="shared" si="7"/>
        <v>17357.423059175057</v>
      </c>
      <c r="AM44" s="215">
        <f t="shared" si="3"/>
        <v>21.923171025270168</v>
      </c>
      <c r="AN44" s="215">
        <f t="shared" si="1"/>
        <v>1.7635623618845031</v>
      </c>
      <c r="AO44" s="238">
        <f t="shared" si="4"/>
        <v>20.159608663385665</v>
      </c>
      <c r="AP44" s="294">
        <f t="shared" si="14"/>
        <v>20.663598879970301</v>
      </c>
      <c r="AQ44"/>
      <c r="AS44"/>
      <c r="AT44"/>
      <c r="AU44"/>
      <c r="AV44"/>
      <c r="AW44"/>
      <c r="AX44"/>
      <c r="AY44"/>
      <c r="AZ44"/>
      <c r="BA44"/>
      <c r="BB44"/>
      <c r="BC44"/>
      <c r="BD44"/>
      <c r="BE44"/>
      <c r="BF44"/>
      <c r="BG44"/>
      <c r="BH44"/>
      <c r="BI44"/>
      <c r="BJ44"/>
      <c r="BK44"/>
      <c r="BL44"/>
      <c r="BM44"/>
      <c r="BN44"/>
      <c r="BO44"/>
    </row>
    <row r="45" spans="1:67" ht="14.4" x14ac:dyDescent="0.3">
      <c r="A45" s="223" t="s">
        <v>396</v>
      </c>
      <c r="B45" s="41">
        <v>1200</v>
      </c>
      <c r="C45" s="41">
        <v>3236</v>
      </c>
      <c r="D45" s="369">
        <f>B45/C45</f>
        <v>0.37082818294190356</v>
      </c>
      <c r="AF45" s="367">
        <f t="shared" si="16"/>
        <v>882000000</v>
      </c>
      <c r="AG45" s="21">
        <f t="shared" si="2"/>
        <v>42</v>
      </c>
      <c r="AH45" s="21">
        <v>42</v>
      </c>
      <c r="AI45" s="21" t="s">
        <v>407</v>
      </c>
      <c r="AJ45" s="25">
        <f t="shared" si="13"/>
        <v>19309.785829236989</v>
      </c>
      <c r="AK45" s="25">
        <f t="shared" si="15"/>
        <v>1518.427193582557</v>
      </c>
      <c r="AL45" s="216">
        <f t="shared" si="7"/>
        <v>17791.358635654433</v>
      </c>
      <c r="AM45" s="215">
        <f t="shared" si="3"/>
        <v>21.893181212286837</v>
      </c>
      <c r="AN45" s="215">
        <f t="shared" si="1"/>
        <v>1.7215727818396338</v>
      </c>
      <c r="AO45" s="238">
        <f t="shared" si="4"/>
        <v>20.171608430447204</v>
      </c>
      <c r="AP45" s="294">
        <f t="shared" si="14"/>
        <v>20.663598879970301</v>
      </c>
      <c r="AQ45"/>
      <c r="AS45"/>
      <c r="AT45"/>
      <c r="AU45"/>
      <c r="AV45"/>
      <c r="AW45"/>
      <c r="AX45"/>
      <c r="AY45"/>
      <c r="AZ45"/>
      <c r="BA45"/>
      <c r="BB45"/>
      <c r="BC45"/>
      <c r="BD45"/>
      <c r="BE45"/>
      <c r="BF45"/>
      <c r="BG45"/>
      <c r="BH45"/>
      <c r="BI45"/>
      <c r="BJ45"/>
      <c r="BK45"/>
      <c r="BL45"/>
      <c r="BM45"/>
      <c r="BN45"/>
      <c r="BO45"/>
    </row>
    <row r="46" spans="1:67" ht="14.4" x14ac:dyDescent="0.3">
      <c r="A46" s="223" t="s">
        <v>397</v>
      </c>
      <c r="B46" s="41">
        <v>528</v>
      </c>
      <c r="C46" s="41">
        <v>630</v>
      </c>
      <c r="D46" s="369">
        <f>B46/C46</f>
        <v>0.83809523809523812</v>
      </c>
      <c r="AF46" s="367">
        <f t="shared" si="16"/>
        <v>903000000</v>
      </c>
      <c r="AG46" s="21">
        <f t="shared" si="2"/>
        <v>43</v>
      </c>
      <c r="AH46" s="21">
        <v>43</v>
      </c>
      <c r="AI46" s="21" t="s">
        <v>407</v>
      </c>
      <c r="AJ46" s="25">
        <f t="shared" si="13"/>
        <v>19743.721405716366</v>
      </c>
      <c r="AK46" s="25">
        <f t="shared" si="15"/>
        <v>1518.427193582557</v>
      </c>
      <c r="AL46" s="216">
        <f t="shared" si="7"/>
        <v>18225.294212133809</v>
      </c>
      <c r="AM46" s="215">
        <f t="shared" si="3"/>
        <v>21.86458627432599</v>
      </c>
      <c r="AN46" s="215">
        <f t="shared" si="1"/>
        <v>1.681536205517782</v>
      </c>
      <c r="AO46" s="238">
        <f t="shared" si="4"/>
        <v>20.183050068808207</v>
      </c>
      <c r="AP46" s="294">
        <f t="shared" si="14"/>
        <v>20.663598879970301</v>
      </c>
      <c r="AQ46"/>
      <c r="AS46"/>
      <c r="AT46"/>
      <c r="AU46"/>
      <c r="AV46"/>
      <c r="AW46"/>
      <c r="AX46"/>
      <c r="AY46"/>
      <c r="AZ46"/>
      <c r="BA46"/>
      <c r="BB46"/>
      <c r="BC46"/>
      <c r="BD46"/>
      <c r="BE46"/>
      <c r="BF46"/>
      <c r="BG46"/>
      <c r="BH46"/>
      <c r="BI46"/>
      <c r="BJ46"/>
      <c r="BK46"/>
      <c r="BL46"/>
      <c r="BM46"/>
      <c r="BN46"/>
      <c r="BO46"/>
    </row>
    <row r="47" spans="1:67" ht="14.4" x14ac:dyDescent="0.3">
      <c r="A47" s="223" t="s">
        <v>464</v>
      </c>
      <c r="B47" s="41">
        <v>11000</v>
      </c>
      <c r="C47" s="41">
        <v>4425</v>
      </c>
      <c r="D47" s="369">
        <f>((B47)*0.1)/C47</f>
        <v>0.24858757062146894</v>
      </c>
      <c r="AF47" s="367">
        <f t="shared" si="16"/>
        <v>924000000</v>
      </c>
      <c r="AG47" s="21">
        <f t="shared" si="2"/>
        <v>44</v>
      </c>
      <c r="AH47" s="21">
        <v>44</v>
      </c>
      <c r="AI47" s="21" t="s">
        <v>407</v>
      </c>
      <c r="AJ47" s="25">
        <f t="shared" si="13"/>
        <v>20177.656982195742</v>
      </c>
      <c r="AK47" s="25">
        <f t="shared" si="15"/>
        <v>1518.427193582557</v>
      </c>
      <c r="AL47" s="216">
        <f t="shared" si="7"/>
        <v>18659.229788613186</v>
      </c>
      <c r="AM47" s="215">
        <f t="shared" si="3"/>
        <v>21.837291106272449</v>
      </c>
      <c r="AN47" s="215">
        <f t="shared" si="1"/>
        <v>1.6433194735741961</v>
      </c>
      <c r="AO47" s="238">
        <f t="shared" si="4"/>
        <v>20.193971632698254</v>
      </c>
      <c r="AP47" s="294">
        <f t="shared" si="14"/>
        <v>20.663598879970301</v>
      </c>
      <c r="AQ47"/>
      <c r="AS47"/>
      <c r="AT47"/>
      <c r="AU47"/>
      <c r="AV47"/>
      <c r="AW47"/>
      <c r="AX47"/>
      <c r="AY47"/>
      <c r="AZ47"/>
      <c r="BA47"/>
      <c r="BB47"/>
      <c r="BC47"/>
      <c r="BD47"/>
      <c r="BE47"/>
      <c r="BF47"/>
      <c r="BG47"/>
      <c r="BH47"/>
      <c r="BI47"/>
      <c r="BJ47"/>
      <c r="BK47"/>
      <c r="BL47"/>
      <c r="BM47"/>
      <c r="BN47"/>
      <c r="BO47"/>
    </row>
    <row r="48" spans="1:67" ht="15" thickBot="1" x14ac:dyDescent="0.35">
      <c r="A48" s="228" t="s">
        <v>407</v>
      </c>
      <c r="B48" s="229">
        <v>2000</v>
      </c>
      <c r="C48" s="229">
        <v>44</v>
      </c>
      <c r="D48" s="374">
        <f>B48/C48</f>
        <v>45.454545454545453</v>
      </c>
      <c r="AF48" s="367">
        <f t="shared" si="16"/>
        <v>945000000</v>
      </c>
      <c r="AG48" s="21">
        <f t="shared" si="2"/>
        <v>45</v>
      </c>
      <c r="AH48" s="21">
        <v>45</v>
      </c>
      <c r="AI48" s="21" t="s">
        <v>407</v>
      </c>
      <c r="AJ48" s="25">
        <f t="shared" si="13"/>
        <v>20611.592558675118</v>
      </c>
      <c r="AK48" s="25">
        <f t="shared" si="15"/>
        <v>1518.427193582557</v>
      </c>
      <c r="AL48" s="216">
        <f t="shared" si="7"/>
        <v>19093.165365092562</v>
      </c>
      <c r="AM48" s="215">
        <f t="shared" si="3"/>
        <v>21.811209056799068</v>
      </c>
      <c r="AN48" s="215">
        <f t="shared" si="1"/>
        <v>1.6068012630503248</v>
      </c>
      <c r="AO48" s="238">
        <f t="shared" si="4"/>
        <v>20.204407793748743</v>
      </c>
      <c r="AP48" s="294">
        <f t="shared" si="14"/>
        <v>20.663598879970301</v>
      </c>
      <c r="AQ48"/>
      <c r="AS48"/>
      <c r="AT48"/>
      <c r="AU48"/>
      <c r="AV48"/>
      <c r="AW48"/>
      <c r="AX48"/>
      <c r="AY48"/>
      <c r="AZ48"/>
      <c r="BA48"/>
      <c r="BB48"/>
      <c r="BC48"/>
      <c r="BD48"/>
      <c r="BE48"/>
      <c r="BF48"/>
      <c r="BG48"/>
      <c r="BH48"/>
      <c r="BI48"/>
      <c r="BJ48"/>
      <c r="BK48"/>
      <c r="BL48"/>
      <c r="BM48"/>
      <c r="BN48"/>
      <c r="BO48"/>
    </row>
    <row r="49" spans="1:67" ht="15" customHeight="1" x14ac:dyDescent="0.3">
      <c r="A49" s="103" t="s">
        <v>465</v>
      </c>
      <c r="B49" s="103"/>
      <c r="C49" s="103"/>
      <c r="D49" s="103"/>
      <c r="AF49" s="367">
        <f t="shared" si="16"/>
        <v>966000000</v>
      </c>
      <c r="AG49" s="21">
        <f t="shared" si="2"/>
        <v>46</v>
      </c>
      <c r="AH49" s="21">
        <v>46</v>
      </c>
      <c r="AI49" s="21" t="s">
        <v>407</v>
      </c>
      <c r="AJ49" s="25">
        <f t="shared" si="13"/>
        <v>21045.528135154495</v>
      </c>
      <c r="AK49" s="25">
        <f t="shared" si="15"/>
        <v>1518.427193582557</v>
      </c>
      <c r="AL49" s="216">
        <f t="shared" si="7"/>
        <v>19527.100941571938</v>
      </c>
      <c r="AM49" s="215">
        <f t="shared" si="3"/>
        <v>21.786261009476704</v>
      </c>
      <c r="AN49" s="215">
        <f t="shared" si="1"/>
        <v>1.5718708008101006</v>
      </c>
      <c r="AO49" s="238">
        <f t="shared" si="4"/>
        <v>20.214390208666604</v>
      </c>
      <c r="AP49" s="294">
        <f t="shared" si="14"/>
        <v>20.663598879970301</v>
      </c>
      <c r="AQ49"/>
      <c r="AS49"/>
      <c r="AT49"/>
      <c r="AU49"/>
      <c r="AV49"/>
      <c r="AW49"/>
      <c r="AX49"/>
      <c r="AY49"/>
      <c r="AZ49"/>
      <c r="BA49"/>
      <c r="BB49"/>
      <c r="BC49"/>
      <c r="BD49"/>
      <c r="BE49"/>
      <c r="BF49"/>
      <c r="BG49"/>
      <c r="BH49"/>
      <c r="BI49"/>
      <c r="BJ49"/>
      <c r="BK49"/>
      <c r="BL49"/>
      <c r="BM49"/>
      <c r="BN49"/>
      <c r="BO49"/>
    </row>
    <row r="50" spans="1:67" ht="14.4" x14ac:dyDescent="0.3">
      <c r="A50" s="103"/>
      <c r="B50" s="103"/>
      <c r="C50" s="356" t="s">
        <v>408</v>
      </c>
      <c r="D50" s="231">
        <f>SUM(D45:D47)/3</f>
        <v>0.48583699721953683</v>
      </c>
      <c r="AF50" s="367">
        <f t="shared" si="16"/>
        <v>987000000</v>
      </c>
      <c r="AG50" s="21">
        <f t="shared" si="2"/>
        <v>47</v>
      </c>
      <c r="AH50" s="21">
        <v>47</v>
      </c>
      <c r="AI50" s="21" t="s">
        <v>407</v>
      </c>
      <c r="AJ50" s="25">
        <f t="shared" si="13"/>
        <v>21479.463711633871</v>
      </c>
      <c r="AK50" s="25">
        <f t="shared" si="15"/>
        <v>1518.427193582557</v>
      </c>
      <c r="AL50" s="216">
        <f t="shared" si="7"/>
        <v>19961.036518051314</v>
      </c>
      <c r="AM50" s="215">
        <f t="shared" si="3"/>
        <v>21.762374581189331</v>
      </c>
      <c r="AN50" s="215">
        <f t="shared" si="1"/>
        <v>1.5384267412183961</v>
      </c>
      <c r="AO50" s="238">
        <f t="shared" si="4"/>
        <v>20.223947839970936</v>
      </c>
      <c r="AP50" s="294">
        <f t="shared" si="14"/>
        <v>20.663598879970301</v>
      </c>
      <c r="AQ50"/>
      <c r="AS50"/>
      <c r="AT50"/>
      <c r="AU50"/>
      <c r="AV50"/>
      <c r="AW50"/>
      <c r="AX50"/>
      <c r="AY50"/>
      <c r="AZ50"/>
      <c r="BA50"/>
      <c r="BB50"/>
      <c r="BC50"/>
      <c r="BD50"/>
      <c r="BE50"/>
      <c r="BF50"/>
      <c r="BG50"/>
      <c r="BH50"/>
      <c r="BI50"/>
      <c r="BJ50"/>
      <c r="BK50"/>
      <c r="BL50"/>
      <c r="BM50"/>
      <c r="BN50"/>
      <c r="BO50"/>
    </row>
    <row r="51" spans="1:67" ht="14.4" x14ac:dyDescent="0.3">
      <c r="A51" s="103"/>
      <c r="B51" s="103"/>
      <c r="C51" s="356" t="s">
        <v>409</v>
      </c>
      <c r="D51" s="231">
        <f>D48</f>
        <v>45.454545454545453</v>
      </c>
      <c r="AF51" s="367">
        <f t="shared" si="16"/>
        <v>1008000000</v>
      </c>
      <c r="AG51" s="21">
        <f t="shared" si="2"/>
        <v>48</v>
      </c>
      <c r="AH51" s="21">
        <v>48</v>
      </c>
      <c r="AI51" s="21" t="s">
        <v>407</v>
      </c>
      <c r="AJ51" s="25">
        <f t="shared" si="13"/>
        <v>21913.399288113247</v>
      </c>
      <c r="AK51" s="25">
        <f t="shared" si="15"/>
        <v>1518.427193582557</v>
      </c>
      <c r="AL51" s="216">
        <f t="shared" si="7"/>
        <v>20394.972094530691</v>
      </c>
      <c r="AM51" s="215">
        <f t="shared" si="3"/>
        <v>21.73948342074727</v>
      </c>
      <c r="AN51" s="215">
        <f t="shared" si="1"/>
        <v>1.5063761841096797</v>
      </c>
      <c r="AO51" s="238">
        <f t="shared" si="4"/>
        <v>20.23310723663759</v>
      </c>
      <c r="AP51" s="294">
        <f t="shared" si="14"/>
        <v>20.663598879970301</v>
      </c>
      <c r="AQ51"/>
      <c r="AS51"/>
      <c r="AT51"/>
      <c r="AU51"/>
      <c r="AV51"/>
      <c r="AW51"/>
      <c r="AX51"/>
      <c r="AY51"/>
      <c r="AZ51"/>
      <c r="BA51"/>
      <c r="BB51"/>
      <c r="BC51"/>
      <c r="BD51"/>
      <c r="BE51"/>
      <c r="BF51"/>
      <c r="BG51"/>
      <c r="BH51"/>
      <c r="BI51"/>
      <c r="BJ51"/>
      <c r="BK51"/>
      <c r="BL51"/>
      <c r="BM51"/>
      <c r="BN51"/>
      <c r="BO51"/>
    </row>
    <row r="52" spans="1:67" ht="14.4" x14ac:dyDescent="0.3">
      <c r="AE52" s="22"/>
      <c r="AF52" s="367">
        <f t="shared" si="16"/>
        <v>1029000000</v>
      </c>
      <c r="AG52" s="21">
        <f t="shared" si="2"/>
        <v>49</v>
      </c>
      <c r="AH52" s="21">
        <v>49</v>
      </c>
      <c r="AI52" s="21" t="s">
        <v>407</v>
      </c>
      <c r="AJ52" s="25">
        <f t="shared" si="13"/>
        <v>22347.334864592623</v>
      </c>
      <c r="AK52" s="25">
        <f t="shared" si="15"/>
        <v>1518.427193582557</v>
      </c>
      <c r="AL52" s="216">
        <f t="shared" si="7"/>
        <v>20828.907671010067</v>
      </c>
      <c r="AM52" s="215">
        <f t="shared" si="3"/>
        <v>21.717526593384473</v>
      </c>
      <c r="AN52" s="215">
        <f t="shared" si="1"/>
        <v>1.4756338130054005</v>
      </c>
      <c r="AO52" s="238">
        <f t="shared" si="4"/>
        <v>20.241892780379072</v>
      </c>
      <c r="AP52" s="294">
        <f t="shared" si="14"/>
        <v>20.663598879970301</v>
      </c>
      <c r="AQ52"/>
      <c r="AR52" s="22"/>
      <c r="AS52"/>
      <c r="AT52"/>
      <c r="AU52"/>
      <c r="AV52"/>
      <c r="AW52"/>
      <c r="AX52"/>
      <c r="AY52"/>
      <c r="AZ52"/>
      <c r="BA52"/>
      <c r="BB52"/>
      <c r="BC52"/>
      <c r="BD52"/>
      <c r="BE52"/>
      <c r="BF52"/>
      <c r="BG52"/>
      <c r="BH52"/>
      <c r="BI52"/>
      <c r="BJ52"/>
      <c r="BK52"/>
      <c r="BL52"/>
      <c r="BM52"/>
      <c r="BN52"/>
      <c r="BO52"/>
    </row>
    <row r="53" spans="1:67" ht="14.4" x14ac:dyDescent="0.3">
      <c r="A53" s="104" t="s">
        <v>418</v>
      </c>
      <c r="AF53" s="367">
        <f t="shared" si="16"/>
        <v>1050000000</v>
      </c>
      <c r="AG53" s="21">
        <f t="shared" si="2"/>
        <v>50</v>
      </c>
      <c r="AH53" s="21">
        <v>50</v>
      </c>
      <c r="AI53" s="21" t="s">
        <v>407</v>
      </c>
      <c r="AJ53" s="25">
        <f t="shared" si="13"/>
        <v>22781.270441072</v>
      </c>
      <c r="AK53" s="25">
        <f t="shared" si="15"/>
        <v>1518.427193582557</v>
      </c>
      <c r="AL53" s="216">
        <f t="shared" si="7"/>
        <v>21262.843247489443</v>
      </c>
      <c r="AM53" s="215">
        <f t="shared" si="3"/>
        <v>21.696448039116195</v>
      </c>
      <c r="AN53" s="215">
        <f t="shared" si="1"/>
        <v>1.4461211367452924</v>
      </c>
      <c r="AO53" s="238">
        <f t="shared" si="4"/>
        <v>20.250326902370901</v>
      </c>
      <c r="AP53" s="294">
        <f t="shared" si="14"/>
        <v>20.663598879970301</v>
      </c>
      <c r="AQ53"/>
      <c r="AR53" s="22"/>
      <c r="AS53"/>
      <c r="AT53"/>
      <c r="AU53"/>
      <c r="AV53"/>
      <c r="AW53"/>
      <c r="AX53"/>
      <c r="AY53"/>
      <c r="AZ53"/>
      <c r="BA53"/>
      <c r="BB53"/>
      <c r="BC53"/>
      <c r="BD53"/>
      <c r="BE53"/>
      <c r="BF53"/>
      <c r="BG53"/>
      <c r="BH53"/>
      <c r="BI53"/>
      <c r="BJ53"/>
      <c r="BK53"/>
      <c r="BL53"/>
      <c r="BM53"/>
      <c r="BN53"/>
      <c r="BO53"/>
    </row>
    <row r="54" spans="1:67" ht="14.4" x14ac:dyDescent="0.3">
      <c r="A54" s="104" t="s">
        <v>419</v>
      </c>
      <c r="AF54" s="367">
        <f t="shared" si="16"/>
        <v>1071000000</v>
      </c>
      <c r="AG54" s="21">
        <f t="shared" si="2"/>
        <v>51</v>
      </c>
      <c r="AH54" s="21">
        <v>51</v>
      </c>
      <c r="AI54" s="21" t="s">
        <v>407</v>
      </c>
      <c r="AJ54" s="25">
        <f t="shared" si="13"/>
        <v>23215.206017551376</v>
      </c>
      <c r="AK54" s="25">
        <f t="shared" si="15"/>
        <v>1518.427193582557</v>
      </c>
      <c r="AL54" s="216">
        <f t="shared" si="7"/>
        <v>21696.77882396882</v>
      </c>
      <c r="AM54" s="215">
        <f t="shared" si="3"/>
        <v>21.676196094819215</v>
      </c>
      <c r="AN54" s="215">
        <f t="shared" si="1"/>
        <v>1.4177658203385219</v>
      </c>
      <c r="AO54" s="238">
        <f t="shared" si="4"/>
        <v>20.258430274480691</v>
      </c>
      <c r="AP54" s="294">
        <f t="shared" si="14"/>
        <v>20.663598879970301</v>
      </c>
      <c r="AQ54"/>
      <c r="AR54" s="22"/>
    </row>
    <row r="55" spans="1:67" ht="15" thickBot="1" x14ac:dyDescent="0.35">
      <c r="A55" s="104" t="s">
        <v>420</v>
      </c>
      <c r="AF55" s="375">
        <f t="shared" si="16"/>
        <v>1092000000</v>
      </c>
      <c r="AG55" s="243">
        <f t="shared" si="2"/>
        <v>52</v>
      </c>
      <c r="AH55" s="243">
        <v>52</v>
      </c>
      <c r="AI55" s="243" t="s">
        <v>407</v>
      </c>
      <c r="AJ55" s="244">
        <f t="shared" si="13"/>
        <v>23649.141594030752</v>
      </c>
      <c r="AK55" s="244">
        <f t="shared" si="15"/>
        <v>1518.427193582557</v>
      </c>
      <c r="AL55" s="216">
        <f t="shared" si="7"/>
        <v>22130.714400448196</v>
      </c>
      <c r="AM55" s="215">
        <f t="shared" si="3"/>
        <v>21.656723071456732</v>
      </c>
      <c r="AN55" s="215">
        <f t="shared" si="1"/>
        <v>1.3905010930243198</v>
      </c>
      <c r="AO55" s="238">
        <f t="shared" si="4"/>
        <v>20.266221978432412</v>
      </c>
      <c r="AP55" s="295">
        <f t="shared" si="14"/>
        <v>20.663598879970301</v>
      </c>
      <c r="AQ55"/>
      <c r="AR55" s="22"/>
    </row>
    <row r="56" spans="1:67" ht="14.4" x14ac:dyDescent="0.3">
      <c r="A56" s="104" t="s">
        <v>421</v>
      </c>
      <c r="AF56" s="193"/>
      <c r="AG56"/>
      <c r="AH56"/>
      <c r="AI56"/>
      <c r="AJ56"/>
      <c r="AK56"/>
      <c r="AL56"/>
      <c r="AM56"/>
      <c r="AN56"/>
      <c r="AO56"/>
      <c r="AP56"/>
      <c r="AQ56"/>
      <c r="AR56" s="22"/>
    </row>
    <row r="57" spans="1:67" ht="14.4" x14ac:dyDescent="0.3">
      <c r="AF57" s="193"/>
      <c r="AG57"/>
      <c r="AH57"/>
      <c r="AI57"/>
      <c r="AJ57"/>
      <c r="AK57"/>
      <c r="AL57"/>
      <c r="AM57"/>
      <c r="AN57"/>
      <c r="AO57"/>
      <c r="AP57"/>
      <c r="AQ57"/>
      <c r="AR57" s="22"/>
      <c r="AX57" s="145"/>
      <c r="AY57" s="145"/>
      <c r="AZ57" s="145"/>
      <c r="BA57" s="145"/>
      <c r="BB57" s="19"/>
      <c r="BC57" s="2"/>
    </row>
    <row r="58" spans="1:67" ht="14.4" x14ac:dyDescent="0.3">
      <c r="AF58" s="193"/>
      <c r="AG58"/>
      <c r="AH58"/>
      <c r="AI58"/>
      <c r="AJ58"/>
      <c r="AK58"/>
      <c r="AL58"/>
      <c r="AM58"/>
      <c r="AN58"/>
      <c r="AO58"/>
      <c r="AP58"/>
      <c r="AQ58"/>
      <c r="AR58" s="22"/>
      <c r="AX58" s="22"/>
      <c r="AY58" s="241"/>
      <c r="AZ58" s="22"/>
      <c r="BA58" s="222"/>
      <c r="BB58" s="19"/>
      <c r="BC58" s="2"/>
    </row>
    <row r="59" spans="1:67" ht="14.4" x14ac:dyDescent="0.3">
      <c r="AF59" s="193"/>
      <c r="AG59"/>
      <c r="AH59"/>
      <c r="AI59"/>
      <c r="AJ59"/>
      <c r="AK59"/>
      <c r="AL59"/>
      <c r="AM59"/>
      <c r="AN59"/>
      <c r="AO59"/>
      <c r="AP59"/>
      <c r="AQ59"/>
      <c r="AR59" s="22"/>
      <c r="AX59" s="22"/>
      <c r="AY59" s="241"/>
      <c r="AZ59" s="22"/>
      <c r="BA59" s="222"/>
      <c r="BB59" s="19"/>
      <c r="BC59" s="2"/>
    </row>
    <row r="60" spans="1:67" ht="15" thickBot="1" x14ac:dyDescent="0.35">
      <c r="AF60" s="502" t="s">
        <v>522</v>
      </c>
      <c r="AG60" s="502"/>
      <c r="AH60" s="502"/>
      <c r="AI60" s="502"/>
      <c r="AJ60" s="502"/>
      <c r="AK60" s="502"/>
      <c r="AL60" s="502"/>
      <c r="AM60" s="502"/>
      <c r="AN60" s="502"/>
      <c r="AO60" s="502"/>
      <c r="AP60" s="502"/>
      <c r="AQ60"/>
    </row>
    <row r="61" spans="1:67" ht="14.4" x14ac:dyDescent="0.3">
      <c r="AF61" s="431" t="s">
        <v>354</v>
      </c>
      <c r="AG61" s="236" t="s">
        <v>513</v>
      </c>
      <c r="AH61" s="236" t="s">
        <v>367</v>
      </c>
      <c r="AI61" s="236" t="s">
        <v>328</v>
      </c>
      <c r="AJ61" s="236" t="s">
        <v>368</v>
      </c>
      <c r="AK61" s="236" t="s">
        <v>369</v>
      </c>
      <c r="AL61" s="236" t="s">
        <v>370</v>
      </c>
      <c r="AM61" s="409" t="s">
        <v>371</v>
      </c>
      <c r="AN61" s="236" t="s">
        <v>372</v>
      </c>
      <c r="AO61" s="284" t="s">
        <v>511</v>
      </c>
      <c r="AP61" s="237" t="s">
        <v>512</v>
      </c>
      <c r="AQ61"/>
    </row>
    <row r="62" spans="1:67" ht="14.4" x14ac:dyDescent="0.3">
      <c r="AF62" s="240">
        <v>0</v>
      </c>
      <c r="AG62" s="21">
        <v>0</v>
      </c>
      <c r="AH62" s="21">
        <v>0</v>
      </c>
      <c r="AI62" s="21" t="s">
        <v>407</v>
      </c>
      <c r="AJ62" s="21">
        <v>0</v>
      </c>
      <c r="AK62" s="21">
        <v>0</v>
      </c>
      <c r="AL62" s="21">
        <v>0</v>
      </c>
      <c r="AM62" s="21">
        <v>0</v>
      </c>
      <c r="AN62" s="21">
        <v>0</v>
      </c>
      <c r="AO62" s="215">
        <v>0</v>
      </c>
      <c r="AP62" s="286">
        <v>0</v>
      </c>
      <c r="AQ62"/>
    </row>
    <row r="63" spans="1:67" ht="14.4" x14ac:dyDescent="0.3">
      <c r="AF63" s="240">
        <f>AF4</f>
        <v>21000000</v>
      </c>
      <c r="AG63" s="21">
        <v>1</v>
      </c>
      <c r="AH63" s="21">
        <v>1</v>
      </c>
      <c r="AI63" s="21" t="s">
        <v>407</v>
      </c>
      <c r="AJ63" s="21">
        <f>AG63-AJ62</f>
        <v>1</v>
      </c>
      <c r="AK63" s="21">
        <f t="shared" ref="AK63:AK70" si="17">AJ63</f>
        <v>1</v>
      </c>
      <c r="AL63" s="21">
        <v>6</v>
      </c>
      <c r="AM63" s="20">
        <f>AL63*10</f>
        <v>60</v>
      </c>
      <c r="AN63" s="20">
        <f>1</f>
        <v>1</v>
      </c>
      <c r="AO63" s="215">
        <f t="shared" ref="AO63:AO114" si="18">$B$8</f>
        <v>10</v>
      </c>
      <c r="AP63" s="239">
        <v>400</v>
      </c>
      <c r="AQ63"/>
    </row>
    <row r="64" spans="1:67" ht="14.4" x14ac:dyDescent="0.3">
      <c r="AF64" s="240">
        <f t="shared" ref="AF64:AF114" si="19">AF5</f>
        <v>42000000</v>
      </c>
      <c r="AG64" s="21">
        <v>2</v>
      </c>
      <c r="AH64" s="21">
        <v>2</v>
      </c>
      <c r="AI64" s="21" t="s">
        <v>407</v>
      </c>
      <c r="AJ64" s="21">
        <f>AG64-AJ63</f>
        <v>1</v>
      </c>
      <c r="AK64" s="21">
        <f t="shared" si="17"/>
        <v>1</v>
      </c>
      <c r="AL64" s="217">
        <v>0.2</v>
      </c>
      <c r="AM64" s="20">
        <f t="shared" ref="AM64:AM70" si="20">AL64*10</f>
        <v>2</v>
      </c>
      <c r="AN64" s="20">
        <v>0</v>
      </c>
      <c r="AO64" s="215">
        <f t="shared" si="18"/>
        <v>10</v>
      </c>
      <c r="AP64" s="239">
        <f t="shared" ref="AP64:AP70" si="21">(AG64-AG63)*$D$51</f>
        <v>45.454545454545453</v>
      </c>
      <c r="AQ64"/>
    </row>
    <row r="65" spans="1:43" ht="14.4" x14ac:dyDescent="0.3">
      <c r="AF65" s="240">
        <f t="shared" si="19"/>
        <v>63000000</v>
      </c>
      <c r="AG65" s="21">
        <v>3</v>
      </c>
      <c r="AH65" s="21">
        <v>3</v>
      </c>
      <c r="AI65" s="21" t="s">
        <v>407</v>
      </c>
      <c r="AJ65" s="21">
        <v>1</v>
      </c>
      <c r="AK65" s="21">
        <f t="shared" si="17"/>
        <v>1</v>
      </c>
      <c r="AL65" s="217">
        <v>0.2</v>
      </c>
      <c r="AM65" s="20">
        <f t="shared" si="20"/>
        <v>2</v>
      </c>
      <c r="AN65" s="20">
        <v>0</v>
      </c>
      <c r="AO65" s="215">
        <f t="shared" si="18"/>
        <v>10</v>
      </c>
      <c r="AP65" s="239">
        <f t="shared" si="21"/>
        <v>45.454545454545453</v>
      </c>
      <c r="AQ65"/>
    </row>
    <row r="66" spans="1:43" ht="14.4" x14ac:dyDescent="0.3">
      <c r="A66" s="2"/>
      <c r="AF66" s="240">
        <f t="shared" si="19"/>
        <v>84000000</v>
      </c>
      <c r="AG66" s="21">
        <v>4</v>
      </c>
      <c r="AH66" s="21">
        <v>4</v>
      </c>
      <c r="AI66" s="21" t="s">
        <v>407</v>
      </c>
      <c r="AJ66" s="21">
        <v>1</v>
      </c>
      <c r="AK66" s="21">
        <f t="shared" si="17"/>
        <v>1</v>
      </c>
      <c r="AL66" s="217">
        <v>0.2</v>
      </c>
      <c r="AM66" s="20">
        <f t="shared" si="20"/>
        <v>2</v>
      </c>
      <c r="AN66" s="20">
        <v>0</v>
      </c>
      <c r="AO66" s="215">
        <f t="shared" si="18"/>
        <v>10</v>
      </c>
      <c r="AP66" s="239">
        <f t="shared" si="21"/>
        <v>45.454545454545453</v>
      </c>
      <c r="AQ66"/>
    </row>
    <row r="67" spans="1:43" ht="14.4" x14ac:dyDescent="0.3">
      <c r="A67" s="2"/>
      <c r="AF67" s="240">
        <f t="shared" si="19"/>
        <v>105000000</v>
      </c>
      <c r="AG67" s="21">
        <v>5</v>
      </c>
      <c r="AH67" s="21">
        <v>5</v>
      </c>
      <c r="AI67" s="21" t="s">
        <v>407</v>
      </c>
      <c r="AJ67" s="21">
        <v>1</v>
      </c>
      <c r="AK67" s="21">
        <f t="shared" si="17"/>
        <v>1</v>
      </c>
      <c r="AL67" s="217">
        <v>0.2</v>
      </c>
      <c r="AM67" s="20">
        <f t="shared" si="20"/>
        <v>2</v>
      </c>
      <c r="AN67" s="20">
        <v>0</v>
      </c>
      <c r="AO67" s="215">
        <f t="shared" si="18"/>
        <v>10</v>
      </c>
      <c r="AP67" s="239">
        <f t="shared" si="21"/>
        <v>45.454545454545453</v>
      </c>
      <c r="AQ67"/>
    </row>
    <row r="68" spans="1:43" ht="14.4" x14ac:dyDescent="0.3">
      <c r="A68" s="2"/>
      <c r="AF68" s="240">
        <f t="shared" si="19"/>
        <v>126000000</v>
      </c>
      <c r="AG68" s="21">
        <v>6</v>
      </c>
      <c r="AH68" s="21">
        <v>6</v>
      </c>
      <c r="AI68" s="21" t="s">
        <v>407</v>
      </c>
      <c r="AJ68" s="21">
        <v>1</v>
      </c>
      <c r="AK68" s="21">
        <f t="shared" si="17"/>
        <v>1</v>
      </c>
      <c r="AL68" s="217">
        <v>0.2</v>
      </c>
      <c r="AM68" s="20">
        <f t="shared" si="20"/>
        <v>2</v>
      </c>
      <c r="AN68" s="20">
        <v>0</v>
      </c>
      <c r="AO68" s="215">
        <f t="shared" si="18"/>
        <v>10</v>
      </c>
      <c r="AP68" s="239">
        <f t="shared" si="21"/>
        <v>45.454545454545453</v>
      </c>
      <c r="AQ68"/>
    </row>
    <row r="69" spans="1:43" ht="14.4" x14ac:dyDescent="0.3">
      <c r="A69" s="2"/>
      <c r="AF69" s="240">
        <f t="shared" si="19"/>
        <v>147000000</v>
      </c>
      <c r="AG69" s="21">
        <v>7</v>
      </c>
      <c r="AH69" s="21">
        <v>7</v>
      </c>
      <c r="AI69" s="21" t="s">
        <v>407</v>
      </c>
      <c r="AJ69" s="21">
        <v>1</v>
      </c>
      <c r="AK69" s="21">
        <f t="shared" si="17"/>
        <v>1</v>
      </c>
      <c r="AL69" s="217">
        <v>0.2</v>
      </c>
      <c r="AM69" s="20">
        <f t="shared" si="20"/>
        <v>2</v>
      </c>
      <c r="AN69" s="20">
        <v>0</v>
      </c>
      <c r="AO69" s="215">
        <f t="shared" si="18"/>
        <v>10</v>
      </c>
      <c r="AP69" s="239">
        <f t="shared" si="21"/>
        <v>45.454545454545453</v>
      </c>
      <c r="AQ69"/>
    </row>
    <row r="70" spans="1:43" ht="14.4" x14ac:dyDescent="0.3">
      <c r="AF70" s="240">
        <f t="shared" si="19"/>
        <v>168000000</v>
      </c>
      <c r="AG70" s="21">
        <v>8</v>
      </c>
      <c r="AH70" s="21">
        <v>8</v>
      </c>
      <c r="AI70" s="21" t="s">
        <v>407</v>
      </c>
      <c r="AJ70" s="21">
        <v>1</v>
      </c>
      <c r="AK70" s="21">
        <f t="shared" si="17"/>
        <v>1</v>
      </c>
      <c r="AL70" s="217">
        <v>0.2</v>
      </c>
      <c r="AM70" s="20">
        <f t="shared" si="20"/>
        <v>2</v>
      </c>
      <c r="AN70" s="20">
        <v>0</v>
      </c>
      <c r="AO70" s="215">
        <f t="shared" si="18"/>
        <v>10</v>
      </c>
      <c r="AP70" s="239">
        <f t="shared" si="21"/>
        <v>45.454545454545453</v>
      </c>
      <c r="AQ70"/>
    </row>
    <row r="71" spans="1:43" ht="14.4" x14ac:dyDescent="0.3">
      <c r="AF71" s="240">
        <f t="shared" si="19"/>
        <v>189000000</v>
      </c>
      <c r="AG71" s="21">
        <v>9</v>
      </c>
      <c r="AH71" s="21">
        <v>9</v>
      </c>
      <c r="AI71" s="21" t="s">
        <v>407</v>
      </c>
      <c r="AJ71" s="21">
        <v>1</v>
      </c>
      <c r="AK71" s="21">
        <f t="shared" ref="AK71:AK82" si="22">AJ71</f>
        <v>1</v>
      </c>
      <c r="AL71" s="217">
        <v>0.2</v>
      </c>
      <c r="AM71" s="20">
        <f t="shared" ref="AM71:AM114" si="23">AL71*10</f>
        <v>2</v>
      </c>
      <c r="AN71" s="20">
        <v>0</v>
      </c>
      <c r="AO71" s="215">
        <f t="shared" si="18"/>
        <v>10</v>
      </c>
      <c r="AP71" s="239">
        <f t="shared" ref="AP71:AP82" si="24">(AG71-AG70)*$D$51</f>
        <v>45.454545454545453</v>
      </c>
      <c r="AQ71"/>
    </row>
    <row r="72" spans="1:43" ht="14.4" x14ac:dyDescent="0.3">
      <c r="AF72" s="240">
        <f t="shared" si="19"/>
        <v>210000000</v>
      </c>
      <c r="AG72" s="21">
        <v>10</v>
      </c>
      <c r="AH72" s="21">
        <v>10</v>
      </c>
      <c r="AI72" s="21" t="s">
        <v>407</v>
      </c>
      <c r="AJ72" s="21">
        <v>1</v>
      </c>
      <c r="AK72" s="21">
        <f t="shared" si="22"/>
        <v>1</v>
      </c>
      <c r="AL72" s="217">
        <v>0.2</v>
      </c>
      <c r="AM72" s="20">
        <f t="shared" si="23"/>
        <v>2</v>
      </c>
      <c r="AN72" s="20">
        <v>0</v>
      </c>
      <c r="AO72" s="215">
        <f t="shared" si="18"/>
        <v>10</v>
      </c>
      <c r="AP72" s="239">
        <f t="shared" si="24"/>
        <v>45.454545454545453</v>
      </c>
      <c r="AQ72"/>
    </row>
    <row r="73" spans="1:43" ht="14.4" x14ac:dyDescent="0.3">
      <c r="AF73" s="240">
        <f t="shared" si="19"/>
        <v>231000000</v>
      </c>
      <c r="AG73" s="21">
        <v>11</v>
      </c>
      <c r="AH73" s="21">
        <v>11</v>
      </c>
      <c r="AI73" s="21" t="s">
        <v>407</v>
      </c>
      <c r="AJ73" s="21">
        <v>1</v>
      </c>
      <c r="AK73" s="21">
        <f t="shared" si="22"/>
        <v>1</v>
      </c>
      <c r="AL73" s="217">
        <v>0.2</v>
      </c>
      <c r="AM73" s="20">
        <f t="shared" si="23"/>
        <v>2</v>
      </c>
      <c r="AN73" s="20">
        <v>0</v>
      </c>
      <c r="AO73" s="215">
        <f t="shared" si="18"/>
        <v>10</v>
      </c>
      <c r="AP73" s="239">
        <f t="shared" si="24"/>
        <v>45.454545454545453</v>
      </c>
      <c r="AQ73"/>
    </row>
    <row r="74" spans="1:43" ht="14.4" x14ac:dyDescent="0.3">
      <c r="AF74" s="240">
        <f t="shared" si="19"/>
        <v>252000000</v>
      </c>
      <c r="AG74" s="21">
        <v>12</v>
      </c>
      <c r="AH74" s="21">
        <v>12</v>
      </c>
      <c r="AI74" s="21" t="s">
        <v>407</v>
      </c>
      <c r="AJ74" s="21">
        <v>1</v>
      </c>
      <c r="AK74" s="21">
        <f t="shared" si="22"/>
        <v>1</v>
      </c>
      <c r="AL74" s="217">
        <v>0.2</v>
      </c>
      <c r="AM74" s="20">
        <f t="shared" si="23"/>
        <v>2</v>
      </c>
      <c r="AN74" s="20">
        <v>0</v>
      </c>
      <c r="AO74" s="215">
        <f t="shared" si="18"/>
        <v>10</v>
      </c>
      <c r="AP74" s="239">
        <f t="shared" si="24"/>
        <v>45.454545454545453</v>
      </c>
      <c r="AQ74"/>
    </row>
    <row r="75" spans="1:43" ht="14.4" x14ac:dyDescent="0.3">
      <c r="AF75" s="240">
        <f t="shared" si="19"/>
        <v>273000000</v>
      </c>
      <c r="AG75" s="21">
        <v>13</v>
      </c>
      <c r="AH75" s="21">
        <v>13</v>
      </c>
      <c r="AI75" s="21" t="s">
        <v>407</v>
      </c>
      <c r="AJ75" s="21">
        <v>1</v>
      </c>
      <c r="AK75" s="21">
        <f t="shared" si="22"/>
        <v>1</v>
      </c>
      <c r="AL75" s="217">
        <v>0.2</v>
      </c>
      <c r="AM75" s="20">
        <f t="shared" si="23"/>
        <v>2</v>
      </c>
      <c r="AN75" s="20">
        <v>0</v>
      </c>
      <c r="AO75" s="215">
        <f t="shared" si="18"/>
        <v>10</v>
      </c>
      <c r="AP75" s="239">
        <f t="shared" si="24"/>
        <v>45.454545454545453</v>
      </c>
      <c r="AQ75"/>
    </row>
    <row r="76" spans="1:43" ht="14.4" x14ac:dyDescent="0.3">
      <c r="AF76" s="240">
        <f t="shared" si="19"/>
        <v>294000000</v>
      </c>
      <c r="AG76" s="21">
        <v>14</v>
      </c>
      <c r="AH76" s="21">
        <v>14</v>
      </c>
      <c r="AI76" s="21" t="s">
        <v>407</v>
      </c>
      <c r="AJ76" s="21">
        <v>1</v>
      </c>
      <c r="AK76" s="21">
        <f t="shared" si="22"/>
        <v>1</v>
      </c>
      <c r="AL76" s="217">
        <v>0.2</v>
      </c>
      <c r="AM76" s="20">
        <f t="shared" si="23"/>
        <v>2</v>
      </c>
      <c r="AN76" s="20">
        <v>0</v>
      </c>
      <c r="AO76" s="215">
        <f t="shared" si="18"/>
        <v>10</v>
      </c>
      <c r="AP76" s="239">
        <f t="shared" si="24"/>
        <v>45.454545454545453</v>
      </c>
      <c r="AQ76"/>
    </row>
    <row r="77" spans="1:43" ht="14.4" x14ac:dyDescent="0.3">
      <c r="AF77" s="240">
        <f t="shared" si="19"/>
        <v>315000000</v>
      </c>
      <c r="AG77" s="21">
        <v>15</v>
      </c>
      <c r="AH77" s="21">
        <v>15</v>
      </c>
      <c r="AI77" s="21" t="s">
        <v>407</v>
      </c>
      <c r="AJ77" s="21">
        <v>1</v>
      </c>
      <c r="AK77" s="21">
        <f t="shared" si="22"/>
        <v>1</v>
      </c>
      <c r="AL77" s="217">
        <v>0.2</v>
      </c>
      <c r="AM77" s="20">
        <f t="shared" si="23"/>
        <v>2</v>
      </c>
      <c r="AN77" s="20">
        <v>0</v>
      </c>
      <c r="AO77" s="215">
        <f t="shared" si="18"/>
        <v>10</v>
      </c>
      <c r="AP77" s="239">
        <f t="shared" si="24"/>
        <v>45.454545454545453</v>
      </c>
      <c r="AQ77"/>
    </row>
    <row r="78" spans="1:43" ht="14.4" x14ac:dyDescent="0.3">
      <c r="AF78" s="240">
        <f t="shared" si="19"/>
        <v>336000000</v>
      </c>
      <c r="AG78" s="21">
        <v>16</v>
      </c>
      <c r="AH78" s="21">
        <v>16</v>
      </c>
      <c r="AI78" s="21" t="s">
        <v>407</v>
      </c>
      <c r="AJ78" s="21">
        <v>1</v>
      </c>
      <c r="AK78" s="21">
        <f t="shared" si="22"/>
        <v>1</v>
      </c>
      <c r="AL78" s="217">
        <v>0.2</v>
      </c>
      <c r="AM78" s="20">
        <f t="shared" si="23"/>
        <v>2</v>
      </c>
      <c r="AN78" s="20">
        <v>0</v>
      </c>
      <c r="AO78" s="215">
        <f t="shared" si="18"/>
        <v>10</v>
      </c>
      <c r="AP78" s="239">
        <f t="shared" si="24"/>
        <v>45.454545454545453</v>
      </c>
      <c r="AQ78"/>
    </row>
    <row r="79" spans="1:43" ht="14.4" x14ac:dyDescent="0.3">
      <c r="AF79" s="240">
        <f t="shared" si="19"/>
        <v>357000000</v>
      </c>
      <c r="AG79" s="21">
        <v>17</v>
      </c>
      <c r="AH79" s="21">
        <v>17</v>
      </c>
      <c r="AI79" s="21" t="s">
        <v>407</v>
      </c>
      <c r="AJ79" s="21">
        <v>1</v>
      </c>
      <c r="AK79" s="21">
        <f t="shared" si="22"/>
        <v>1</v>
      </c>
      <c r="AL79" s="217">
        <v>0.2</v>
      </c>
      <c r="AM79" s="20">
        <f t="shared" si="23"/>
        <v>2</v>
      </c>
      <c r="AN79" s="20">
        <v>0</v>
      </c>
      <c r="AO79" s="215">
        <f t="shared" si="18"/>
        <v>10</v>
      </c>
      <c r="AP79" s="239">
        <f t="shared" si="24"/>
        <v>45.454545454545453</v>
      </c>
      <c r="AQ79"/>
    </row>
    <row r="80" spans="1:43" ht="14.4" x14ac:dyDescent="0.3">
      <c r="AF80" s="240">
        <f t="shared" si="19"/>
        <v>378000000</v>
      </c>
      <c r="AG80" s="21">
        <v>18</v>
      </c>
      <c r="AH80" s="21">
        <v>18</v>
      </c>
      <c r="AI80" s="21" t="s">
        <v>407</v>
      </c>
      <c r="AJ80" s="21">
        <v>1</v>
      </c>
      <c r="AK80" s="21">
        <f t="shared" si="22"/>
        <v>1</v>
      </c>
      <c r="AL80" s="217">
        <v>0.2</v>
      </c>
      <c r="AM80" s="20">
        <f t="shared" si="23"/>
        <v>2</v>
      </c>
      <c r="AN80" s="20">
        <v>0</v>
      </c>
      <c r="AO80" s="215">
        <f t="shared" si="18"/>
        <v>10</v>
      </c>
      <c r="AP80" s="239">
        <f t="shared" si="24"/>
        <v>45.454545454545453</v>
      </c>
      <c r="AQ80"/>
    </row>
    <row r="81" spans="32:43" ht="14.4" customHeight="1" x14ac:dyDescent="0.3">
      <c r="AF81" s="240">
        <f t="shared" si="19"/>
        <v>399000000</v>
      </c>
      <c r="AG81" s="21">
        <v>19</v>
      </c>
      <c r="AH81" s="21">
        <v>19</v>
      </c>
      <c r="AI81" s="21" t="s">
        <v>407</v>
      </c>
      <c r="AJ81" s="21">
        <v>1</v>
      </c>
      <c r="AK81" s="21">
        <f t="shared" si="22"/>
        <v>1</v>
      </c>
      <c r="AL81" s="217">
        <v>0.2</v>
      </c>
      <c r="AM81" s="20">
        <f t="shared" si="23"/>
        <v>2</v>
      </c>
      <c r="AN81" s="20">
        <v>0</v>
      </c>
      <c r="AO81" s="215">
        <f t="shared" si="18"/>
        <v>10</v>
      </c>
      <c r="AP81" s="239">
        <f t="shared" si="24"/>
        <v>45.454545454545453</v>
      </c>
      <c r="AQ81"/>
    </row>
    <row r="82" spans="32:43" ht="14.4" x14ac:dyDescent="0.3">
      <c r="AF82" s="240">
        <f t="shared" si="19"/>
        <v>420000000</v>
      </c>
      <c r="AG82" s="21">
        <v>20</v>
      </c>
      <c r="AH82" s="21">
        <v>20</v>
      </c>
      <c r="AI82" s="21" t="s">
        <v>407</v>
      </c>
      <c r="AJ82" s="21">
        <v>1</v>
      </c>
      <c r="AK82" s="21">
        <f t="shared" si="22"/>
        <v>1</v>
      </c>
      <c r="AL82" s="217">
        <v>0.2</v>
      </c>
      <c r="AM82" s="20">
        <f t="shared" si="23"/>
        <v>2</v>
      </c>
      <c r="AN82" s="20">
        <v>0</v>
      </c>
      <c r="AO82" s="215">
        <f t="shared" si="18"/>
        <v>10</v>
      </c>
      <c r="AP82" s="239">
        <f t="shared" si="24"/>
        <v>45.454545454545453</v>
      </c>
      <c r="AQ82"/>
    </row>
    <row r="83" spans="32:43" x14ac:dyDescent="0.25">
      <c r="AF83" s="240">
        <f t="shared" si="19"/>
        <v>441000000</v>
      </c>
      <c r="AG83" s="21">
        <v>21</v>
      </c>
      <c r="AH83" s="21">
        <v>21</v>
      </c>
      <c r="AI83" s="21" t="s">
        <v>407</v>
      </c>
      <c r="AJ83" s="21">
        <v>1</v>
      </c>
      <c r="AK83" s="21">
        <f t="shared" ref="AK83:AK114" si="25">AJ83</f>
        <v>1</v>
      </c>
      <c r="AL83" s="217">
        <v>0.2</v>
      </c>
      <c r="AM83" s="20">
        <f t="shared" si="23"/>
        <v>2</v>
      </c>
      <c r="AN83" s="20">
        <v>0</v>
      </c>
      <c r="AO83" s="215">
        <f t="shared" si="18"/>
        <v>10</v>
      </c>
      <c r="AP83" s="239">
        <f t="shared" ref="AP83:AP114" si="26">(AG83-AG82)*$D$51</f>
        <v>45.454545454545453</v>
      </c>
    </row>
    <row r="84" spans="32:43" ht="15" customHeight="1" x14ac:dyDescent="0.25">
      <c r="AF84" s="240">
        <f t="shared" si="19"/>
        <v>462000000</v>
      </c>
      <c r="AG84" s="21">
        <v>22</v>
      </c>
      <c r="AH84" s="21">
        <v>22</v>
      </c>
      <c r="AI84" s="21" t="s">
        <v>407</v>
      </c>
      <c r="AJ84" s="21">
        <v>1</v>
      </c>
      <c r="AK84" s="21">
        <f t="shared" si="25"/>
        <v>1</v>
      </c>
      <c r="AL84" s="217">
        <v>0.2</v>
      </c>
      <c r="AM84" s="20">
        <f t="shared" si="23"/>
        <v>2</v>
      </c>
      <c r="AN84" s="20">
        <v>0</v>
      </c>
      <c r="AO84" s="215">
        <f t="shared" si="18"/>
        <v>10</v>
      </c>
      <c r="AP84" s="239">
        <f t="shared" si="26"/>
        <v>45.454545454545453</v>
      </c>
    </row>
    <row r="85" spans="32:43" x14ac:dyDescent="0.25">
      <c r="AF85" s="240">
        <f t="shared" si="19"/>
        <v>483000000</v>
      </c>
      <c r="AG85" s="21">
        <v>23</v>
      </c>
      <c r="AH85" s="21">
        <v>23</v>
      </c>
      <c r="AI85" s="21" t="s">
        <v>407</v>
      </c>
      <c r="AJ85" s="21">
        <v>1</v>
      </c>
      <c r="AK85" s="21">
        <f t="shared" si="25"/>
        <v>1</v>
      </c>
      <c r="AL85" s="217">
        <v>0.2</v>
      </c>
      <c r="AM85" s="20">
        <f t="shared" si="23"/>
        <v>2</v>
      </c>
      <c r="AN85" s="20">
        <v>0</v>
      </c>
      <c r="AO85" s="215">
        <f t="shared" si="18"/>
        <v>10</v>
      </c>
      <c r="AP85" s="239">
        <f t="shared" si="26"/>
        <v>45.454545454545453</v>
      </c>
    </row>
    <row r="86" spans="32:43" x14ac:dyDescent="0.25">
      <c r="AF86" s="240">
        <f t="shared" si="19"/>
        <v>504000000</v>
      </c>
      <c r="AG86" s="21">
        <v>24</v>
      </c>
      <c r="AH86" s="21">
        <v>24</v>
      </c>
      <c r="AI86" s="21" t="s">
        <v>407</v>
      </c>
      <c r="AJ86" s="21">
        <v>1</v>
      </c>
      <c r="AK86" s="21">
        <f t="shared" si="25"/>
        <v>1</v>
      </c>
      <c r="AL86" s="217">
        <v>0.2</v>
      </c>
      <c r="AM86" s="20">
        <f t="shared" si="23"/>
        <v>2</v>
      </c>
      <c r="AN86" s="20">
        <v>0</v>
      </c>
      <c r="AO86" s="215">
        <f t="shared" si="18"/>
        <v>10</v>
      </c>
      <c r="AP86" s="239">
        <f t="shared" si="26"/>
        <v>45.454545454545453</v>
      </c>
    </row>
    <row r="87" spans="32:43" x14ac:dyDescent="0.25">
      <c r="AF87" s="240">
        <f t="shared" si="19"/>
        <v>525000000</v>
      </c>
      <c r="AG87" s="21">
        <v>25</v>
      </c>
      <c r="AH87" s="21">
        <v>25</v>
      </c>
      <c r="AI87" s="21" t="s">
        <v>407</v>
      </c>
      <c r="AJ87" s="21">
        <v>1</v>
      </c>
      <c r="AK87" s="21">
        <f t="shared" si="25"/>
        <v>1</v>
      </c>
      <c r="AL87" s="217">
        <v>0.2</v>
      </c>
      <c r="AM87" s="20">
        <f t="shared" si="23"/>
        <v>2</v>
      </c>
      <c r="AN87" s="20">
        <v>0</v>
      </c>
      <c r="AO87" s="215">
        <f t="shared" si="18"/>
        <v>10</v>
      </c>
      <c r="AP87" s="239">
        <f t="shared" si="26"/>
        <v>45.454545454545453</v>
      </c>
    </row>
    <row r="88" spans="32:43" x14ac:dyDescent="0.25">
      <c r="AF88" s="240">
        <f t="shared" si="19"/>
        <v>546000000</v>
      </c>
      <c r="AG88" s="21">
        <v>26</v>
      </c>
      <c r="AH88" s="21">
        <v>26</v>
      </c>
      <c r="AI88" s="21" t="s">
        <v>407</v>
      </c>
      <c r="AJ88" s="21">
        <v>1</v>
      </c>
      <c r="AK88" s="21">
        <f t="shared" si="25"/>
        <v>1</v>
      </c>
      <c r="AL88" s="217">
        <v>0.2</v>
      </c>
      <c r="AM88" s="20">
        <f t="shared" si="23"/>
        <v>2</v>
      </c>
      <c r="AN88" s="20">
        <v>0</v>
      </c>
      <c r="AO88" s="215">
        <f t="shared" si="18"/>
        <v>10</v>
      </c>
      <c r="AP88" s="239">
        <f t="shared" si="26"/>
        <v>45.454545454545453</v>
      </c>
    </row>
    <row r="89" spans="32:43" x14ac:dyDescent="0.25">
      <c r="AF89" s="240">
        <f t="shared" si="19"/>
        <v>567000000</v>
      </c>
      <c r="AG89" s="21">
        <v>27</v>
      </c>
      <c r="AH89" s="21">
        <v>27</v>
      </c>
      <c r="AI89" s="21" t="s">
        <v>407</v>
      </c>
      <c r="AJ89" s="21">
        <v>1</v>
      </c>
      <c r="AK89" s="21">
        <f t="shared" si="25"/>
        <v>1</v>
      </c>
      <c r="AL89" s="217">
        <v>0.2</v>
      </c>
      <c r="AM89" s="20">
        <f t="shared" si="23"/>
        <v>2</v>
      </c>
      <c r="AN89" s="20">
        <v>0</v>
      </c>
      <c r="AO89" s="215">
        <f t="shared" si="18"/>
        <v>10</v>
      </c>
      <c r="AP89" s="239">
        <f t="shared" si="26"/>
        <v>45.454545454545453</v>
      </c>
    </row>
    <row r="90" spans="32:43" x14ac:dyDescent="0.25">
      <c r="AF90" s="240">
        <f t="shared" si="19"/>
        <v>588000000</v>
      </c>
      <c r="AG90" s="21">
        <v>28</v>
      </c>
      <c r="AH90" s="21">
        <v>28</v>
      </c>
      <c r="AI90" s="21" t="s">
        <v>407</v>
      </c>
      <c r="AJ90" s="21">
        <v>1</v>
      </c>
      <c r="AK90" s="21">
        <f t="shared" si="25"/>
        <v>1</v>
      </c>
      <c r="AL90" s="217">
        <v>0.2</v>
      </c>
      <c r="AM90" s="20">
        <f t="shared" si="23"/>
        <v>2</v>
      </c>
      <c r="AN90" s="20">
        <v>0</v>
      </c>
      <c r="AO90" s="215">
        <f t="shared" si="18"/>
        <v>10</v>
      </c>
      <c r="AP90" s="239">
        <f t="shared" si="26"/>
        <v>45.454545454545453</v>
      </c>
    </row>
    <row r="91" spans="32:43" x14ac:dyDescent="0.25">
      <c r="AF91" s="240">
        <f t="shared" si="19"/>
        <v>609000000</v>
      </c>
      <c r="AG91" s="21">
        <v>29</v>
      </c>
      <c r="AH91" s="21">
        <v>29</v>
      </c>
      <c r="AI91" s="21" t="s">
        <v>407</v>
      </c>
      <c r="AJ91" s="21">
        <v>1</v>
      </c>
      <c r="AK91" s="21">
        <f t="shared" si="25"/>
        <v>1</v>
      </c>
      <c r="AL91" s="217">
        <v>0.2</v>
      </c>
      <c r="AM91" s="20">
        <f t="shared" si="23"/>
        <v>2</v>
      </c>
      <c r="AN91" s="20">
        <v>0</v>
      </c>
      <c r="AO91" s="215">
        <f t="shared" si="18"/>
        <v>10</v>
      </c>
      <c r="AP91" s="239">
        <f t="shared" si="26"/>
        <v>45.454545454545453</v>
      </c>
    </row>
    <row r="92" spans="32:43" x14ac:dyDescent="0.25">
      <c r="AF92" s="240">
        <f t="shared" si="19"/>
        <v>630000000</v>
      </c>
      <c r="AG92" s="21">
        <v>30</v>
      </c>
      <c r="AH92" s="21">
        <v>30</v>
      </c>
      <c r="AI92" s="21" t="s">
        <v>407</v>
      </c>
      <c r="AJ92" s="21">
        <v>1</v>
      </c>
      <c r="AK92" s="21">
        <f t="shared" si="25"/>
        <v>1</v>
      </c>
      <c r="AL92" s="217">
        <v>0.2</v>
      </c>
      <c r="AM92" s="20">
        <f t="shared" si="23"/>
        <v>2</v>
      </c>
      <c r="AN92" s="20">
        <v>0</v>
      </c>
      <c r="AO92" s="215">
        <f t="shared" si="18"/>
        <v>10</v>
      </c>
      <c r="AP92" s="239">
        <f t="shared" si="26"/>
        <v>45.454545454545453</v>
      </c>
    </row>
    <row r="93" spans="32:43" x14ac:dyDescent="0.25">
      <c r="AF93" s="240">
        <f t="shared" si="19"/>
        <v>651000000</v>
      </c>
      <c r="AG93" s="21">
        <v>31</v>
      </c>
      <c r="AH93" s="21">
        <v>31</v>
      </c>
      <c r="AI93" s="21" t="s">
        <v>407</v>
      </c>
      <c r="AJ93" s="21">
        <v>1</v>
      </c>
      <c r="AK93" s="21">
        <f t="shared" si="25"/>
        <v>1</v>
      </c>
      <c r="AL93" s="217">
        <v>0.2</v>
      </c>
      <c r="AM93" s="20">
        <f t="shared" si="23"/>
        <v>2</v>
      </c>
      <c r="AN93" s="20">
        <v>0</v>
      </c>
      <c r="AO93" s="215">
        <f t="shared" si="18"/>
        <v>10</v>
      </c>
      <c r="AP93" s="239">
        <f t="shared" si="26"/>
        <v>45.454545454545453</v>
      </c>
    </row>
    <row r="94" spans="32:43" x14ac:dyDescent="0.25">
      <c r="AF94" s="240">
        <f t="shared" si="19"/>
        <v>672000000</v>
      </c>
      <c r="AG94" s="21">
        <v>32</v>
      </c>
      <c r="AH94" s="21">
        <v>32</v>
      </c>
      <c r="AI94" s="21" t="s">
        <v>407</v>
      </c>
      <c r="AJ94" s="21">
        <v>1</v>
      </c>
      <c r="AK94" s="21">
        <f t="shared" si="25"/>
        <v>1</v>
      </c>
      <c r="AL94" s="217">
        <v>0.2</v>
      </c>
      <c r="AM94" s="20">
        <f t="shared" si="23"/>
        <v>2</v>
      </c>
      <c r="AN94" s="20">
        <v>0</v>
      </c>
      <c r="AO94" s="215">
        <f t="shared" si="18"/>
        <v>10</v>
      </c>
      <c r="AP94" s="239">
        <f t="shared" si="26"/>
        <v>45.454545454545453</v>
      </c>
    </row>
    <row r="95" spans="32:43" x14ac:dyDescent="0.25">
      <c r="AF95" s="240">
        <f t="shared" si="19"/>
        <v>693000000</v>
      </c>
      <c r="AG95" s="21">
        <v>33</v>
      </c>
      <c r="AH95" s="21">
        <v>33</v>
      </c>
      <c r="AI95" s="21" t="s">
        <v>407</v>
      </c>
      <c r="AJ95" s="21">
        <v>1</v>
      </c>
      <c r="AK95" s="21">
        <f t="shared" si="25"/>
        <v>1</v>
      </c>
      <c r="AL95" s="217">
        <v>0.2</v>
      </c>
      <c r="AM95" s="20">
        <f t="shared" si="23"/>
        <v>2</v>
      </c>
      <c r="AN95" s="20">
        <v>0</v>
      </c>
      <c r="AO95" s="215">
        <f t="shared" si="18"/>
        <v>10</v>
      </c>
      <c r="AP95" s="239">
        <f t="shared" si="26"/>
        <v>45.454545454545453</v>
      </c>
    </row>
    <row r="96" spans="32:43" x14ac:dyDescent="0.25">
      <c r="AF96" s="240">
        <f t="shared" si="19"/>
        <v>714000000</v>
      </c>
      <c r="AG96" s="21">
        <v>34</v>
      </c>
      <c r="AH96" s="21">
        <v>34</v>
      </c>
      <c r="AI96" s="21" t="s">
        <v>407</v>
      </c>
      <c r="AJ96" s="21">
        <v>1</v>
      </c>
      <c r="AK96" s="21">
        <f t="shared" si="25"/>
        <v>1</v>
      </c>
      <c r="AL96" s="217">
        <v>0.2</v>
      </c>
      <c r="AM96" s="20">
        <f t="shared" si="23"/>
        <v>2</v>
      </c>
      <c r="AN96" s="20">
        <v>0</v>
      </c>
      <c r="AO96" s="215">
        <f t="shared" si="18"/>
        <v>10</v>
      </c>
      <c r="AP96" s="239">
        <f t="shared" si="26"/>
        <v>45.454545454545453</v>
      </c>
    </row>
    <row r="97" spans="32:42" x14ac:dyDescent="0.25">
      <c r="AF97" s="240">
        <f t="shared" si="19"/>
        <v>735000000</v>
      </c>
      <c r="AG97" s="21">
        <v>35</v>
      </c>
      <c r="AH97" s="21">
        <v>35</v>
      </c>
      <c r="AI97" s="21" t="s">
        <v>407</v>
      </c>
      <c r="AJ97" s="21">
        <v>1</v>
      </c>
      <c r="AK97" s="21">
        <f t="shared" si="25"/>
        <v>1</v>
      </c>
      <c r="AL97" s="217">
        <v>0.2</v>
      </c>
      <c r="AM97" s="20">
        <f t="shared" si="23"/>
        <v>2</v>
      </c>
      <c r="AN97" s="20">
        <v>0</v>
      </c>
      <c r="AO97" s="215">
        <f t="shared" si="18"/>
        <v>10</v>
      </c>
      <c r="AP97" s="239">
        <f t="shared" si="26"/>
        <v>45.454545454545453</v>
      </c>
    </row>
    <row r="98" spans="32:42" x14ac:dyDescent="0.25">
      <c r="AF98" s="240">
        <f t="shared" si="19"/>
        <v>756000000</v>
      </c>
      <c r="AG98" s="21">
        <v>36</v>
      </c>
      <c r="AH98" s="21">
        <v>36</v>
      </c>
      <c r="AI98" s="21" t="s">
        <v>407</v>
      </c>
      <c r="AJ98" s="21">
        <v>1</v>
      </c>
      <c r="AK98" s="21">
        <f t="shared" si="25"/>
        <v>1</v>
      </c>
      <c r="AL98" s="217">
        <v>0.2</v>
      </c>
      <c r="AM98" s="20">
        <f t="shared" si="23"/>
        <v>2</v>
      </c>
      <c r="AN98" s="20">
        <v>0</v>
      </c>
      <c r="AO98" s="215">
        <f t="shared" si="18"/>
        <v>10</v>
      </c>
      <c r="AP98" s="239">
        <f t="shared" si="26"/>
        <v>45.454545454545453</v>
      </c>
    </row>
    <row r="99" spans="32:42" x14ac:dyDescent="0.25">
      <c r="AF99" s="240">
        <f t="shared" si="19"/>
        <v>777000000</v>
      </c>
      <c r="AG99" s="21">
        <v>37</v>
      </c>
      <c r="AH99" s="21">
        <v>37</v>
      </c>
      <c r="AI99" s="21" t="s">
        <v>407</v>
      </c>
      <c r="AJ99" s="21">
        <v>1</v>
      </c>
      <c r="AK99" s="21">
        <f t="shared" si="25"/>
        <v>1</v>
      </c>
      <c r="AL99" s="217">
        <v>0.2</v>
      </c>
      <c r="AM99" s="20">
        <f t="shared" si="23"/>
        <v>2</v>
      </c>
      <c r="AN99" s="20">
        <v>0</v>
      </c>
      <c r="AO99" s="215">
        <f t="shared" si="18"/>
        <v>10</v>
      </c>
      <c r="AP99" s="239">
        <f t="shared" si="26"/>
        <v>45.454545454545453</v>
      </c>
    </row>
    <row r="100" spans="32:42" x14ac:dyDescent="0.25">
      <c r="AF100" s="240">
        <f t="shared" si="19"/>
        <v>798000000</v>
      </c>
      <c r="AG100" s="21">
        <v>38</v>
      </c>
      <c r="AH100" s="21">
        <v>38</v>
      </c>
      <c r="AI100" s="21" t="s">
        <v>407</v>
      </c>
      <c r="AJ100" s="21">
        <v>1</v>
      </c>
      <c r="AK100" s="21">
        <f t="shared" si="25"/>
        <v>1</v>
      </c>
      <c r="AL100" s="217">
        <v>0.2</v>
      </c>
      <c r="AM100" s="20">
        <f t="shared" si="23"/>
        <v>2</v>
      </c>
      <c r="AN100" s="20">
        <v>0</v>
      </c>
      <c r="AO100" s="215">
        <f t="shared" si="18"/>
        <v>10</v>
      </c>
      <c r="AP100" s="239">
        <f t="shared" si="26"/>
        <v>45.454545454545453</v>
      </c>
    </row>
    <row r="101" spans="32:42" x14ac:dyDescent="0.25">
      <c r="AF101" s="240">
        <f t="shared" si="19"/>
        <v>819000000</v>
      </c>
      <c r="AG101" s="21">
        <v>39</v>
      </c>
      <c r="AH101" s="21">
        <v>39</v>
      </c>
      <c r="AI101" s="21" t="s">
        <v>407</v>
      </c>
      <c r="AJ101" s="21">
        <v>1</v>
      </c>
      <c r="AK101" s="21">
        <f t="shared" si="25"/>
        <v>1</v>
      </c>
      <c r="AL101" s="217">
        <v>0.2</v>
      </c>
      <c r="AM101" s="20">
        <f t="shared" si="23"/>
        <v>2</v>
      </c>
      <c r="AN101" s="20">
        <v>0</v>
      </c>
      <c r="AO101" s="215">
        <f t="shared" si="18"/>
        <v>10</v>
      </c>
      <c r="AP101" s="239">
        <f t="shared" si="26"/>
        <v>45.454545454545453</v>
      </c>
    </row>
    <row r="102" spans="32:42" x14ac:dyDescent="0.25">
      <c r="AF102" s="240">
        <f t="shared" si="19"/>
        <v>840000000</v>
      </c>
      <c r="AG102" s="21">
        <v>40</v>
      </c>
      <c r="AH102" s="21">
        <v>40</v>
      </c>
      <c r="AI102" s="21" t="s">
        <v>407</v>
      </c>
      <c r="AJ102" s="21">
        <v>1</v>
      </c>
      <c r="AK102" s="21">
        <f t="shared" si="25"/>
        <v>1</v>
      </c>
      <c r="AL102" s="217">
        <v>0.2</v>
      </c>
      <c r="AM102" s="20">
        <f t="shared" si="23"/>
        <v>2</v>
      </c>
      <c r="AN102" s="20">
        <v>0</v>
      </c>
      <c r="AO102" s="215">
        <f t="shared" si="18"/>
        <v>10</v>
      </c>
      <c r="AP102" s="239">
        <f t="shared" si="26"/>
        <v>45.454545454545453</v>
      </c>
    </row>
    <row r="103" spans="32:42" x14ac:dyDescent="0.25">
      <c r="AF103" s="240">
        <f t="shared" si="19"/>
        <v>861000000</v>
      </c>
      <c r="AG103" s="21">
        <v>41</v>
      </c>
      <c r="AH103" s="21">
        <v>41</v>
      </c>
      <c r="AI103" s="21" t="s">
        <v>407</v>
      </c>
      <c r="AJ103" s="21">
        <v>1</v>
      </c>
      <c r="AK103" s="21">
        <f t="shared" si="25"/>
        <v>1</v>
      </c>
      <c r="AL103" s="217">
        <v>0.2</v>
      </c>
      <c r="AM103" s="20">
        <f t="shared" si="23"/>
        <v>2</v>
      </c>
      <c r="AN103" s="20">
        <v>0</v>
      </c>
      <c r="AO103" s="215">
        <f t="shared" si="18"/>
        <v>10</v>
      </c>
      <c r="AP103" s="239">
        <f t="shared" si="26"/>
        <v>45.454545454545453</v>
      </c>
    </row>
    <row r="104" spans="32:42" x14ac:dyDescent="0.25">
      <c r="AF104" s="240">
        <f t="shared" si="19"/>
        <v>882000000</v>
      </c>
      <c r="AG104" s="21">
        <v>42</v>
      </c>
      <c r="AH104" s="21">
        <v>42</v>
      </c>
      <c r="AI104" s="21" t="s">
        <v>407</v>
      </c>
      <c r="AJ104" s="21">
        <v>1</v>
      </c>
      <c r="AK104" s="21">
        <f t="shared" si="25"/>
        <v>1</v>
      </c>
      <c r="AL104" s="217">
        <v>0.2</v>
      </c>
      <c r="AM104" s="20">
        <f t="shared" si="23"/>
        <v>2</v>
      </c>
      <c r="AN104" s="20">
        <v>0</v>
      </c>
      <c r="AO104" s="215">
        <f t="shared" si="18"/>
        <v>10</v>
      </c>
      <c r="AP104" s="239">
        <f t="shared" si="26"/>
        <v>45.454545454545453</v>
      </c>
    </row>
    <row r="105" spans="32:42" x14ac:dyDescent="0.25">
      <c r="AF105" s="240">
        <f t="shared" si="19"/>
        <v>903000000</v>
      </c>
      <c r="AG105" s="21">
        <v>43</v>
      </c>
      <c r="AH105" s="21">
        <v>43</v>
      </c>
      <c r="AI105" s="21" t="s">
        <v>407</v>
      </c>
      <c r="AJ105" s="21">
        <v>1</v>
      </c>
      <c r="AK105" s="21">
        <f t="shared" si="25"/>
        <v>1</v>
      </c>
      <c r="AL105" s="217">
        <v>0.2</v>
      </c>
      <c r="AM105" s="20">
        <f t="shared" si="23"/>
        <v>2</v>
      </c>
      <c r="AN105" s="20">
        <v>0</v>
      </c>
      <c r="AO105" s="215">
        <f t="shared" si="18"/>
        <v>10</v>
      </c>
      <c r="AP105" s="239">
        <f t="shared" si="26"/>
        <v>45.454545454545453</v>
      </c>
    </row>
    <row r="106" spans="32:42" x14ac:dyDescent="0.25">
      <c r="AF106" s="240">
        <f t="shared" si="19"/>
        <v>924000000</v>
      </c>
      <c r="AG106" s="21">
        <v>44</v>
      </c>
      <c r="AH106" s="21">
        <v>44</v>
      </c>
      <c r="AI106" s="21" t="s">
        <v>407</v>
      </c>
      <c r="AJ106" s="21">
        <v>1</v>
      </c>
      <c r="AK106" s="21">
        <f t="shared" si="25"/>
        <v>1</v>
      </c>
      <c r="AL106" s="217">
        <v>0.2</v>
      </c>
      <c r="AM106" s="20">
        <f t="shared" si="23"/>
        <v>2</v>
      </c>
      <c r="AN106" s="20">
        <v>0</v>
      </c>
      <c r="AO106" s="215">
        <f t="shared" si="18"/>
        <v>10</v>
      </c>
      <c r="AP106" s="239">
        <f t="shared" si="26"/>
        <v>45.454545454545453</v>
      </c>
    </row>
    <row r="107" spans="32:42" x14ac:dyDescent="0.25">
      <c r="AF107" s="240">
        <f t="shared" si="19"/>
        <v>945000000</v>
      </c>
      <c r="AG107" s="21">
        <v>45</v>
      </c>
      <c r="AH107" s="21">
        <v>45</v>
      </c>
      <c r="AI107" s="21" t="s">
        <v>407</v>
      </c>
      <c r="AJ107" s="21">
        <v>1</v>
      </c>
      <c r="AK107" s="21">
        <f t="shared" si="25"/>
        <v>1</v>
      </c>
      <c r="AL107" s="217">
        <v>0.2</v>
      </c>
      <c r="AM107" s="20">
        <f t="shared" si="23"/>
        <v>2</v>
      </c>
      <c r="AN107" s="20">
        <v>0</v>
      </c>
      <c r="AO107" s="215">
        <f t="shared" si="18"/>
        <v>10</v>
      </c>
      <c r="AP107" s="239">
        <f t="shared" si="26"/>
        <v>45.454545454545453</v>
      </c>
    </row>
    <row r="108" spans="32:42" x14ac:dyDescent="0.25">
      <c r="AF108" s="240">
        <f t="shared" si="19"/>
        <v>966000000</v>
      </c>
      <c r="AG108" s="21">
        <v>46</v>
      </c>
      <c r="AH108" s="21">
        <v>46</v>
      </c>
      <c r="AI108" s="21" t="s">
        <v>407</v>
      </c>
      <c r="AJ108" s="21">
        <v>1</v>
      </c>
      <c r="AK108" s="21">
        <f t="shared" si="25"/>
        <v>1</v>
      </c>
      <c r="AL108" s="217">
        <v>0.2</v>
      </c>
      <c r="AM108" s="20">
        <f t="shared" si="23"/>
        <v>2</v>
      </c>
      <c r="AN108" s="20">
        <v>0</v>
      </c>
      <c r="AO108" s="215">
        <f t="shared" si="18"/>
        <v>10</v>
      </c>
      <c r="AP108" s="239">
        <f t="shared" si="26"/>
        <v>45.454545454545453</v>
      </c>
    </row>
    <row r="109" spans="32:42" x14ac:dyDescent="0.25">
      <c r="AF109" s="240">
        <f t="shared" si="19"/>
        <v>987000000</v>
      </c>
      <c r="AG109" s="21">
        <v>47</v>
      </c>
      <c r="AH109" s="21">
        <v>47</v>
      </c>
      <c r="AI109" s="21" t="s">
        <v>407</v>
      </c>
      <c r="AJ109" s="21">
        <v>1</v>
      </c>
      <c r="AK109" s="21">
        <f t="shared" si="25"/>
        <v>1</v>
      </c>
      <c r="AL109" s="217">
        <v>0.2</v>
      </c>
      <c r="AM109" s="20">
        <f t="shared" si="23"/>
        <v>2</v>
      </c>
      <c r="AN109" s="20">
        <v>0</v>
      </c>
      <c r="AO109" s="215">
        <f t="shared" si="18"/>
        <v>10</v>
      </c>
      <c r="AP109" s="239">
        <f t="shared" si="26"/>
        <v>45.454545454545453</v>
      </c>
    </row>
    <row r="110" spans="32:42" x14ac:dyDescent="0.25">
      <c r="AF110" s="240">
        <f t="shared" si="19"/>
        <v>1008000000</v>
      </c>
      <c r="AG110" s="21">
        <v>48</v>
      </c>
      <c r="AH110" s="21">
        <v>48</v>
      </c>
      <c r="AI110" s="21" t="s">
        <v>407</v>
      </c>
      <c r="AJ110" s="21">
        <v>1</v>
      </c>
      <c r="AK110" s="21">
        <f t="shared" si="25"/>
        <v>1</v>
      </c>
      <c r="AL110" s="217">
        <v>0.2</v>
      </c>
      <c r="AM110" s="20">
        <f t="shared" si="23"/>
        <v>2</v>
      </c>
      <c r="AN110" s="20">
        <v>0</v>
      </c>
      <c r="AO110" s="215">
        <f t="shared" si="18"/>
        <v>10</v>
      </c>
      <c r="AP110" s="239">
        <f t="shared" si="26"/>
        <v>45.454545454545453</v>
      </c>
    </row>
    <row r="111" spans="32:42" x14ac:dyDescent="0.25">
      <c r="AF111" s="240">
        <f t="shared" si="19"/>
        <v>1029000000</v>
      </c>
      <c r="AG111" s="21">
        <v>49</v>
      </c>
      <c r="AH111" s="21">
        <v>49</v>
      </c>
      <c r="AI111" s="21" t="s">
        <v>407</v>
      </c>
      <c r="AJ111" s="21">
        <v>1</v>
      </c>
      <c r="AK111" s="21">
        <f t="shared" si="25"/>
        <v>1</v>
      </c>
      <c r="AL111" s="217">
        <v>0.2</v>
      </c>
      <c r="AM111" s="20">
        <f t="shared" si="23"/>
        <v>2</v>
      </c>
      <c r="AN111" s="20">
        <v>0</v>
      </c>
      <c r="AO111" s="215">
        <f t="shared" si="18"/>
        <v>10</v>
      </c>
      <c r="AP111" s="239">
        <f t="shared" si="26"/>
        <v>45.454545454545453</v>
      </c>
    </row>
    <row r="112" spans="32:42" x14ac:dyDescent="0.25">
      <c r="AF112" s="240">
        <f t="shared" si="19"/>
        <v>1050000000</v>
      </c>
      <c r="AG112" s="21">
        <v>50</v>
      </c>
      <c r="AH112" s="21">
        <v>50</v>
      </c>
      <c r="AI112" s="21" t="s">
        <v>407</v>
      </c>
      <c r="AJ112" s="21">
        <v>1</v>
      </c>
      <c r="AK112" s="21">
        <f t="shared" si="25"/>
        <v>1</v>
      </c>
      <c r="AL112" s="217">
        <v>0.2</v>
      </c>
      <c r="AM112" s="20">
        <f t="shared" si="23"/>
        <v>2</v>
      </c>
      <c r="AN112" s="20">
        <v>0</v>
      </c>
      <c r="AO112" s="215">
        <f t="shared" si="18"/>
        <v>10</v>
      </c>
      <c r="AP112" s="239">
        <f t="shared" si="26"/>
        <v>45.454545454545453</v>
      </c>
    </row>
    <row r="113" spans="32:64" x14ac:dyDescent="0.25">
      <c r="AF113" s="240">
        <f t="shared" si="19"/>
        <v>1071000000</v>
      </c>
      <c r="AG113" s="21">
        <v>51</v>
      </c>
      <c r="AH113" s="21">
        <v>51</v>
      </c>
      <c r="AI113" s="21" t="s">
        <v>407</v>
      </c>
      <c r="AJ113" s="21">
        <v>1</v>
      </c>
      <c r="AK113" s="21">
        <f t="shared" si="25"/>
        <v>1</v>
      </c>
      <c r="AL113" s="217">
        <v>0.2</v>
      </c>
      <c r="AM113" s="20">
        <f t="shared" si="23"/>
        <v>2</v>
      </c>
      <c r="AN113" s="20">
        <v>0</v>
      </c>
      <c r="AO113" s="215">
        <f t="shared" si="18"/>
        <v>10</v>
      </c>
      <c r="AP113" s="239">
        <f t="shared" si="26"/>
        <v>45.454545454545453</v>
      </c>
    </row>
    <row r="114" spans="32:64" ht="14.4" thickBot="1" x14ac:dyDescent="0.3">
      <c r="AF114" s="250">
        <f t="shared" si="19"/>
        <v>1092000000</v>
      </c>
      <c r="AG114" s="243">
        <v>52</v>
      </c>
      <c r="AH114" s="243">
        <v>52</v>
      </c>
      <c r="AI114" s="243" t="s">
        <v>407</v>
      </c>
      <c r="AJ114" s="243">
        <v>1</v>
      </c>
      <c r="AK114" s="243">
        <f t="shared" si="25"/>
        <v>1</v>
      </c>
      <c r="AL114" s="289">
        <v>0.2</v>
      </c>
      <c r="AM114" s="290">
        <f t="shared" si="23"/>
        <v>2</v>
      </c>
      <c r="AN114" s="290">
        <v>0</v>
      </c>
      <c r="AO114" s="242">
        <f t="shared" si="18"/>
        <v>10</v>
      </c>
      <c r="AP114" s="246">
        <f t="shared" si="26"/>
        <v>45.454545454545453</v>
      </c>
    </row>
    <row r="115" spans="32:64" x14ac:dyDescent="0.25">
      <c r="AF115" s="247"/>
      <c r="AG115" s="45"/>
      <c r="AH115" s="45"/>
      <c r="AI115" s="45"/>
      <c r="AJ115" s="45"/>
      <c r="AK115" s="45"/>
      <c r="AL115" s="430"/>
      <c r="AM115" s="249"/>
      <c r="AN115" s="249"/>
      <c r="AO115" s="247"/>
      <c r="AP115" s="249"/>
    </row>
    <row r="116" spans="32:64" ht="15" thickBot="1" x14ac:dyDescent="0.35">
      <c r="AF116" s="507" t="s">
        <v>523</v>
      </c>
      <c r="AG116" s="507"/>
      <c r="AH116" s="507"/>
      <c r="AI116" s="507"/>
      <c r="AJ116" s="507"/>
      <c r="AK116" s="507"/>
      <c r="AL116" s="507"/>
      <c r="AM116" s="507"/>
      <c r="AN116" s="507"/>
      <c r="AO116" s="507"/>
      <c r="AP116" s="507"/>
      <c r="AQ116" s="379"/>
      <c r="AR116" s="507" t="s">
        <v>524</v>
      </c>
      <c r="AS116" s="507"/>
      <c r="AT116" s="507"/>
      <c r="AU116" s="507"/>
      <c r="AV116" s="507"/>
      <c r="AW116" s="507"/>
      <c r="AX116" s="507"/>
      <c r="AY116" s="507"/>
      <c r="AZ116" s="507"/>
      <c r="BA116" s="507"/>
      <c r="BB116" s="507"/>
      <c r="BC116" s="507"/>
      <c r="BD116" s="507"/>
      <c r="BE116" s="507"/>
      <c r="BF116" s="507"/>
      <c r="BG116" s="507"/>
      <c r="BH116" s="507"/>
      <c r="BI116" s="507"/>
      <c r="BJ116" s="507"/>
      <c r="BK116" s="507"/>
      <c r="BL116" s="145"/>
    </row>
    <row r="117" spans="32:64" x14ac:dyDescent="0.25">
      <c r="AF117" s="431" t="s">
        <v>354</v>
      </c>
      <c r="AG117" s="236" t="s">
        <v>513</v>
      </c>
      <c r="AH117" s="236" t="s">
        <v>367</v>
      </c>
      <c r="AI117" s="236" t="s">
        <v>328</v>
      </c>
      <c r="AJ117" s="236" t="s">
        <v>398</v>
      </c>
      <c r="AK117" s="236" t="s">
        <v>399</v>
      </c>
      <c r="AL117" s="236" t="s">
        <v>400</v>
      </c>
      <c r="AM117" s="409" t="s">
        <v>401</v>
      </c>
      <c r="AN117" s="236" t="s">
        <v>402</v>
      </c>
      <c r="AO117" s="284" t="s">
        <v>403</v>
      </c>
      <c r="AP117" s="237" t="s">
        <v>404</v>
      </c>
      <c r="AR117" s="235">
        <v>2024</v>
      </c>
      <c r="AS117" s="236">
        <v>2025</v>
      </c>
      <c r="AT117" s="236">
        <v>2026</v>
      </c>
      <c r="AU117" s="236">
        <v>2027</v>
      </c>
      <c r="AV117" s="236">
        <v>2028</v>
      </c>
      <c r="AW117" s="236">
        <v>2029</v>
      </c>
      <c r="AX117" s="236">
        <v>2030</v>
      </c>
      <c r="AY117" s="236">
        <v>2031</v>
      </c>
      <c r="AZ117" s="236">
        <v>2032</v>
      </c>
      <c r="BA117" s="236">
        <v>2033</v>
      </c>
      <c r="BB117" s="236">
        <v>2034</v>
      </c>
      <c r="BC117" s="236">
        <v>2035</v>
      </c>
      <c r="BD117" s="236">
        <v>2036</v>
      </c>
      <c r="BE117" s="236">
        <v>2037</v>
      </c>
      <c r="BF117" s="236">
        <v>2038</v>
      </c>
      <c r="BG117" s="236">
        <v>2039</v>
      </c>
      <c r="BH117" s="236">
        <v>2040</v>
      </c>
      <c r="BI117" s="236">
        <v>2041</v>
      </c>
      <c r="BJ117" s="236">
        <v>2042</v>
      </c>
      <c r="BK117" s="236">
        <v>2043</v>
      </c>
      <c r="BL117" s="237" t="s">
        <v>405</v>
      </c>
    </row>
    <row r="118" spans="32:64" x14ac:dyDescent="0.25">
      <c r="AF118" s="240">
        <f>AF62</f>
        <v>0</v>
      </c>
      <c r="AG118" s="21">
        <f>AG62</f>
        <v>0</v>
      </c>
      <c r="AH118" s="21">
        <v>0</v>
      </c>
      <c r="AI118" s="21" t="s">
        <v>407</v>
      </c>
      <c r="AJ118" s="21">
        <f t="shared" ref="AJ118:AJ138" si="27">AJ62*$B$3</f>
        <v>0</v>
      </c>
      <c r="AK118" s="21">
        <f t="shared" ref="AK118:AK138" si="28">AK62*$B$4</f>
        <v>0</v>
      </c>
      <c r="AL118" s="21">
        <v>0</v>
      </c>
      <c r="AM118" s="21">
        <v>0</v>
      </c>
      <c r="AN118" s="21">
        <v>0</v>
      </c>
      <c r="AO118" s="21">
        <v>0</v>
      </c>
      <c r="AP118" s="286">
        <v>0</v>
      </c>
      <c r="AR118" s="285">
        <f t="shared" ref="AR118:AR170" si="29">(AN118+AO118+AP118)</f>
        <v>0</v>
      </c>
      <c r="AS118" s="216">
        <f t="shared" ref="AS118:BK118" si="30">$AR$118/POWER(1+($B$10/100),AS117-2024)</f>
        <v>0</v>
      </c>
      <c r="AT118" s="216">
        <f t="shared" si="30"/>
        <v>0</v>
      </c>
      <c r="AU118" s="216">
        <f t="shared" si="30"/>
        <v>0</v>
      </c>
      <c r="AV118" s="216">
        <f t="shared" si="30"/>
        <v>0</v>
      </c>
      <c r="AW118" s="216">
        <f t="shared" si="30"/>
        <v>0</v>
      </c>
      <c r="AX118" s="216">
        <f t="shared" si="30"/>
        <v>0</v>
      </c>
      <c r="AY118" s="216">
        <f t="shared" si="30"/>
        <v>0</v>
      </c>
      <c r="AZ118" s="216">
        <f t="shared" si="30"/>
        <v>0</v>
      </c>
      <c r="BA118" s="216">
        <f t="shared" si="30"/>
        <v>0</v>
      </c>
      <c r="BB118" s="216">
        <f t="shared" si="30"/>
        <v>0</v>
      </c>
      <c r="BC118" s="216">
        <f t="shared" si="30"/>
        <v>0</v>
      </c>
      <c r="BD118" s="216">
        <f t="shared" si="30"/>
        <v>0</v>
      </c>
      <c r="BE118" s="216">
        <f t="shared" si="30"/>
        <v>0</v>
      </c>
      <c r="BF118" s="216">
        <f t="shared" si="30"/>
        <v>0</v>
      </c>
      <c r="BG118" s="216">
        <f t="shared" si="30"/>
        <v>0</v>
      </c>
      <c r="BH118" s="216">
        <f t="shared" si="30"/>
        <v>0</v>
      </c>
      <c r="BI118" s="216">
        <f t="shared" si="30"/>
        <v>0</v>
      </c>
      <c r="BJ118" s="216">
        <f t="shared" si="30"/>
        <v>0</v>
      </c>
      <c r="BK118" s="216">
        <f t="shared" si="30"/>
        <v>0</v>
      </c>
      <c r="BL118" s="377">
        <f>SUM(AR118:BK118)</f>
        <v>0</v>
      </c>
    </row>
    <row r="119" spans="32:64" x14ac:dyDescent="0.25">
      <c r="AF119" s="240">
        <f t="shared" ref="AF119:AF138" si="31">AF4</f>
        <v>21000000</v>
      </c>
      <c r="AG119" s="21">
        <f t="shared" ref="AG119:AG138" si="32">AG63</f>
        <v>1</v>
      </c>
      <c r="AH119" s="21">
        <v>1</v>
      </c>
      <c r="AI119" s="21" t="s">
        <v>407</v>
      </c>
      <c r="AJ119" s="21">
        <f t="shared" si="27"/>
        <v>200</v>
      </c>
      <c r="AK119" s="21">
        <f t="shared" si="28"/>
        <v>100</v>
      </c>
      <c r="AL119" s="217">
        <f t="shared" ref="AL119:AL138" si="33">AL63*$B$5</f>
        <v>3</v>
      </c>
      <c r="AM119" s="20">
        <f t="shared" ref="AM119:AM138" si="34">AM63*$B$6</f>
        <v>1.2</v>
      </c>
      <c r="AN119" s="226">
        <f t="shared" ref="AN119:AN131" si="35">AN63*$B$7</f>
        <v>0.11799999999999999</v>
      </c>
      <c r="AO119" s="215">
        <f t="shared" ref="AO119:AO138" si="36">(AL63*$B$5)+(AM63*$B$6)*(AO63/100)</f>
        <v>3.12</v>
      </c>
      <c r="AP119" s="239">
        <f t="shared" ref="AP119:AP138" si="37">AP63*$B$9</f>
        <v>76</v>
      </c>
      <c r="AR119" s="287">
        <f t="shared" si="29"/>
        <v>79.238</v>
      </c>
      <c r="AS119" s="216">
        <f t="shared" ref="AS119:BK119" si="38">$AR$119/POWER(1+($B$10/100),AS117-2024)</f>
        <v>76.930097087378641</v>
      </c>
      <c r="AT119" s="216">
        <f t="shared" si="38"/>
        <v>74.689414647940424</v>
      </c>
      <c r="AU119" s="216">
        <f t="shared" si="38"/>
        <v>72.513994803825653</v>
      </c>
      <c r="AV119" s="216">
        <f t="shared" si="38"/>
        <v>70.401936702743356</v>
      </c>
      <c r="AW119" s="216">
        <f t="shared" si="38"/>
        <v>68.351394857032389</v>
      </c>
      <c r="AX119" s="216">
        <f t="shared" si="38"/>
        <v>66.360577531099409</v>
      </c>
      <c r="AY119" s="216">
        <f t="shared" si="38"/>
        <v>64.427745175824668</v>
      </c>
      <c r="AZ119" s="216">
        <f t="shared" si="38"/>
        <v>62.551208908567645</v>
      </c>
      <c r="BA119" s="216">
        <f t="shared" si="38"/>
        <v>60.729329037444309</v>
      </c>
      <c r="BB119" s="216">
        <f t="shared" si="38"/>
        <v>58.96051362858671</v>
      </c>
      <c r="BC119" s="216">
        <f t="shared" si="38"/>
        <v>57.24321711513273</v>
      </c>
      <c r="BD119" s="216">
        <f t="shared" si="38"/>
        <v>55.575938946730808</v>
      </c>
      <c r="BE119" s="216">
        <f t="shared" si="38"/>
        <v>53.957222278379433</v>
      </c>
      <c r="BF119" s="216">
        <f t="shared" si="38"/>
        <v>52.385652697455754</v>
      </c>
      <c r="BG119" s="216">
        <f t="shared" si="38"/>
        <v>50.859856987821118</v>
      </c>
      <c r="BH119" s="216">
        <f t="shared" si="38"/>
        <v>49.378501929923424</v>
      </c>
      <c r="BI119" s="216">
        <f t="shared" si="38"/>
        <v>47.94029313584798</v>
      </c>
      <c r="BJ119" s="216">
        <f t="shared" si="38"/>
        <v>46.54397391829901</v>
      </c>
      <c r="BK119" s="216">
        <f t="shared" si="38"/>
        <v>45.188324192523311</v>
      </c>
      <c r="BL119" s="377">
        <f>SUM(AR119:BK119)</f>
        <v>1214.227193582557</v>
      </c>
    </row>
    <row r="120" spans="32:64" x14ac:dyDescent="0.25">
      <c r="AF120" s="240">
        <f t="shared" si="31"/>
        <v>42000000</v>
      </c>
      <c r="AG120" s="21">
        <f t="shared" si="32"/>
        <v>2</v>
      </c>
      <c r="AH120" s="21">
        <v>2</v>
      </c>
      <c r="AI120" s="21" t="s">
        <v>407</v>
      </c>
      <c r="AJ120" s="21">
        <f t="shared" si="27"/>
        <v>200</v>
      </c>
      <c r="AK120" s="21">
        <f t="shared" si="28"/>
        <v>100</v>
      </c>
      <c r="AL120" s="217">
        <f t="shared" si="33"/>
        <v>0.1</v>
      </c>
      <c r="AM120" s="20">
        <f t="shared" si="34"/>
        <v>0.04</v>
      </c>
      <c r="AN120" s="226">
        <f t="shared" si="35"/>
        <v>0</v>
      </c>
      <c r="AO120" s="215">
        <f t="shared" si="36"/>
        <v>0.10400000000000001</v>
      </c>
      <c r="AP120" s="239">
        <f t="shared" si="37"/>
        <v>8.6363636363636367</v>
      </c>
      <c r="AR120" s="287">
        <f t="shared" si="29"/>
        <v>8.7403636363636359</v>
      </c>
      <c r="AS120" s="216">
        <f t="shared" ref="AS120:BK120" si="39">$AR$120/POWER(1+($B$10/100),AS117-2024)</f>
        <v>8.4857899382171222</v>
      </c>
      <c r="AT120" s="216">
        <f t="shared" si="39"/>
        <v>8.2386310079777889</v>
      </c>
      <c r="AU120" s="216">
        <f t="shared" si="39"/>
        <v>7.9986708815318339</v>
      </c>
      <c r="AV120" s="216">
        <f t="shared" si="39"/>
        <v>7.7656998849823635</v>
      </c>
      <c r="AW120" s="216">
        <f t="shared" si="39"/>
        <v>7.5395144514391879</v>
      </c>
      <c r="AX120" s="216">
        <f t="shared" si="39"/>
        <v>7.3199169431448423</v>
      </c>
      <c r="AY120" s="216">
        <f t="shared" si="39"/>
        <v>7.1067154787813998</v>
      </c>
      <c r="AZ120" s="216">
        <f t="shared" si="39"/>
        <v>6.8997237658071855</v>
      </c>
      <c r="BA120" s="216">
        <f t="shared" si="39"/>
        <v>6.6987609376768784</v>
      </c>
      <c r="BB120" s="216">
        <f t="shared" si="39"/>
        <v>6.5036513958027946</v>
      </c>
      <c r="BC120" s="216">
        <f t="shared" si="39"/>
        <v>6.3142246561192179</v>
      </c>
      <c r="BD120" s="216">
        <f t="shared" si="39"/>
        <v>6.1303152001157466</v>
      </c>
      <c r="BE120" s="216">
        <f t="shared" si="39"/>
        <v>5.9517623302094629</v>
      </c>
      <c r="BF120" s="216">
        <f t="shared" si="39"/>
        <v>5.7784100293295753</v>
      </c>
      <c r="BG120" s="216">
        <f t="shared" si="39"/>
        <v>5.6101068245918198</v>
      </c>
      <c r="BH120" s="216">
        <f t="shared" si="39"/>
        <v>5.446705654943516</v>
      </c>
      <c r="BI120" s="216">
        <f t="shared" si="39"/>
        <v>5.2880637426636072</v>
      </c>
      <c r="BJ120" s="216">
        <f t="shared" si="39"/>
        <v>5.1340424686054442</v>
      </c>
      <c r="BK120" s="216">
        <f t="shared" si="39"/>
        <v>4.9845072510732464</v>
      </c>
      <c r="BL120" s="292">
        <f t="shared" ref="BL120:BL126" si="40">SUM(AR120:BK120)</f>
        <v>133.93557647937666</v>
      </c>
    </row>
    <row r="121" spans="32:64" x14ac:dyDescent="0.25">
      <c r="AF121" s="240">
        <f t="shared" si="31"/>
        <v>63000000</v>
      </c>
      <c r="AG121" s="21">
        <f t="shared" si="32"/>
        <v>3</v>
      </c>
      <c r="AH121" s="21">
        <v>3</v>
      </c>
      <c r="AI121" s="21" t="s">
        <v>407</v>
      </c>
      <c r="AJ121" s="21">
        <f t="shared" si="27"/>
        <v>200</v>
      </c>
      <c r="AK121" s="21">
        <f t="shared" si="28"/>
        <v>100</v>
      </c>
      <c r="AL121" s="217">
        <f t="shared" si="33"/>
        <v>0.1</v>
      </c>
      <c r="AM121" s="20">
        <f t="shared" si="34"/>
        <v>0.04</v>
      </c>
      <c r="AN121" s="226">
        <f t="shared" si="35"/>
        <v>0</v>
      </c>
      <c r="AO121" s="215">
        <f t="shared" si="36"/>
        <v>0.10400000000000001</v>
      </c>
      <c r="AP121" s="239">
        <f t="shared" si="37"/>
        <v>8.6363636363636367</v>
      </c>
      <c r="AR121" s="287">
        <f t="shared" si="29"/>
        <v>8.7403636363636359</v>
      </c>
      <c r="AS121" s="216">
        <f t="shared" ref="AS121:BK121" si="41">$AR$121/POWER(1+($B$10/100),AS117-2024)</f>
        <v>8.4857899382171222</v>
      </c>
      <c r="AT121" s="216">
        <f t="shared" si="41"/>
        <v>8.2386310079777889</v>
      </c>
      <c r="AU121" s="216">
        <f t="shared" si="41"/>
        <v>7.9986708815318339</v>
      </c>
      <c r="AV121" s="216">
        <f t="shared" si="41"/>
        <v>7.7656998849823635</v>
      </c>
      <c r="AW121" s="216">
        <f t="shared" si="41"/>
        <v>7.5395144514391879</v>
      </c>
      <c r="AX121" s="216">
        <f t="shared" si="41"/>
        <v>7.3199169431448423</v>
      </c>
      <c r="AY121" s="216">
        <f t="shared" si="41"/>
        <v>7.1067154787813998</v>
      </c>
      <c r="AZ121" s="216">
        <f t="shared" si="41"/>
        <v>6.8997237658071855</v>
      </c>
      <c r="BA121" s="216">
        <f t="shared" si="41"/>
        <v>6.6987609376768784</v>
      </c>
      <c r="BB121" s="216">
        <f t="shared" si="41"/>
        <v>6.5036513958027946</v>
      </c>
      <c r="BC121" s="216">
        <f t="shared" si="41"/>
        <v>6.3142246561192179</v>
      </c>
      <c r="BD121" s="216">
        <f t="shared" si="41"/>
        <v>6.1303152001157466</v>
      </c>
      <c r="BE121" s="216">
        <f t="shared" si="41"/>
        <v>5.9517623302094629</v>
      </c>
      <c r="BF121" s="216">
        <f t="shared" si="41"/>
        <v>5.7784100293295753</v>
      </c>
      <c r="BG121" s="216">
        <f t="shared" si="41"/>
        <v>5.6101068245918198</v>
      </c>
      <c r="BH121" s="216">
        <f t="shared" si="41"/>
        <v>5.446705654943516</v>
      </c>
      <c r="BI121" s="216">
        <f t="shared" si="41"/>
        <v>5.2880637426636072</v>
      </c>
      <c r="BJ121" s="216">
        <f t="shared" si="41"/>
        <v>5.1340424686054442</v>
      </c>
      <c r="BK121" s="216">
        <f t="shared" si="41"/>
        <v>4.9845072510732464</v>
      </c>
      <c r="BL121" s="292">
        <f t="shared" si="40"/>
        <v>133.93557647937666</v>
      </c>
    </row>
    <row r="122" spans="32:64" x14ac:dyDescent="0.25">
      <c r="AF122" s="240">
        <f t="shared" si="31"/>
        <v>84000000</v>
      </c>
      <c r="AG122" s="21">
        <f t="shared" si="32"/>
        <v>4</v>
      </c>
      <c r="AH122" s="21">
        <v>4</v>
      </c>
      <c r="AI122" s="21" t="s">
        <v>407</v>
      </c>
      <c r="AJ122" s="21">
        <f t="shared" si="27"/>
        <v>200</v>
      </c>
      <c r="AK122" s="21">
        <f t="shared" si="28"/>
        <v>100</v>
      </c>
      <c r="AL122" s="217">
        <f t="shared" si="33"/>
        <v>0.1</v>
      </c>
      <c r="AM122" s="20">
        <f t="shared" si="34"/>
        <v>0.04</v>
      </c>
      <c r="AN122" s="226">
        <f t="shared" si="35"/>
        <v>0</v>
      </c>
      <c r="AO122" s="215">
        <f t="shared" si="36"/>
        <v>0.10400000000000001</v>
      </c>
      <c r="AP122" s="239">
        <f t="shared" si="37"/>
        <v>8.6363636363636367</v>
      </c>
      <c r="AR122" s="287">
        <f t="shared" si="29"/>
        <v>8.7403636363636359</v>
      </c>
      <c r="AS122" s="216">
        <f t="shared" ref="AS122:BK122" si="42">$AR$122/POWER(1+($B$10/100),AS117-2024)</f>
        <v>8.4857899382171222</v>
      </c>
      <c r="AT122" s="216">
        <f t="shared" si="42"/>
        <v>8.2386310079777889</v>
      </c>
      <c r="AU122" s="216">
        <f t="shared" si="42"/>
        <v>7.9986708815318339</v>
      </c>
      <c r="AV122" s="216">
        <f t="shared" si="42"/>
        <v>7.7656998849823635</v>
      </c>
      <c r="AW122" s="216">
        <f t="shared" si="42"/>
        <v>7.5395144514391879</v>
      </c>
      <c r="AX122" s="216">
        <f t="shared" si="42"/>
        <v>7.3199169431448423</v>
      </c>
      <c r="AY122" s="216">
        <f t="shared" si="42"/>
        <v>7.1067154787813998</v>
      </c>
      <c r="AZ122" s="216">
        <f t="shared" si="42"/>
        <v>6.8997237658071855</v>
      </c>
      <c r="BA122" s="216">
        <f t="shared" si="42"/>
        <v>6.6987609376768784</v>
      </c>
      <c r="BB122" s="216">
        <f t="shared" si="42"/>
        <v>6.5036513958027946</v>
      </c>
      <c r="BC122" s="216">
        <f t="shared" si="42"/>
        <v>6.3142246561192179</v>
      </c>
      <c r="BD122" s="216">
        <f t="shared" si="42"/>
        <v>6.1303152001157466</v>
      </c>
      <c r="BE122" s="216">
        <f t="shared" si="42"/>
        <v>5.9517623302094629</v>
      </c>
      <c r="BF122" s="216">
        <f t="shared" si="42"/>
        <v>5.7784100293295753</v>
      </c>
      <c r="BG122" s="216">
        <f t="shared" si="42"/>
        <v>5.6101068245918198</v>
      </c>
      <c r="BH122" s="216">
        <f t="shared" si="42"/>
        <v>5.446705654943516</v>
      </c>
      <c r="BI122" s="216">
        <f t="shared" si="42"/>
        <v>5.2880637426636072</v>
      </c>
      <c r="BJ122" s="216">
        <f t="shared" si="42"/>
        <v>5.1340424686054442</v>
      </c>
      <c r="BK122" s="216">
        <f t="shared" si="42"/>
        <v>4.9845072510732464</v>
      </c>
      <c r="BL122" s="292">
        <f t="shared" si="40"/>
        <v>133.93557647937666</v>
      </c>
    </row>
    <row r="123" spans="32:64" x14ac:dyDescent="0.25">
      <c r="AF123" s="240">
        <f t="shared" si="31"/>
        <v>105000000</v>
      </c>
      <c r="AG123" s="21">
        <f t="shared" si="32"/>
        <v>5</v>
      </c>
      <c r="AH123" s="21">
        <v>5</v>
      </c>
      <c r="AI123" s="21" t="s">
        <v>407</v>
      </c>
      <c r="AJ123" s="21">
        <f t="shared" si="27"/>
        <v>200</v>
      </c>
      <c r="AK123" s="21">
        <f t="shared" si="28"/>
        <v>100</v>
      </c>
      <c r="AL123" s="217">
        <f t="shared" si="33"/>
        <v>0.1</v>
      </c>
      <c r="AM123" s="20">
        <f t="shared" si="34"/>
        <v>0.04</v>
      </c>
      <c r="AN123" s="226">
        <f t="shared" si="35"/>
        <v>0</v>
      </c>
      <c r="AO123" s="215">
        <f t="shared" si="36"/>
        <v>0.10400000000000001</v>
      </c>
      <c r="AP123" s="239">
        <f t="shared" si="37"/>
        <v>8.6363636363636367</v>
      </c>
      <c r="AR123" s="287">
        <f t="shared" si="29"/>
        <v>8.7403636363636359</v>
      </c>
      <c r="AS123" s="216">
        <f t="shared" ref="AS123:BK123" si="43">$AR$123/POWER(1+($B$10/100),AS117-2024)</f>
        <v>8.4857899382171222</v>
      </c>
      <c r="AT123" s="216">
        <f t="shared" si="43"/>
        <v>8.2386310079777889</v>
      </c>
      <c r="AU123" s="216">
        <f t="shared" si="43"/>
        <v>7.9986708815318339</v>
      </c>
      <c r="AV123" s="216">
        <f t="shared" si="43"/>
        <v>7.7656998849823635</v>
      </c>
      <c r="AW123" s="216">
        <f t="shared" si="43"/>
        <v>7.5395144514391879</v>
      </c>
      <c r="AX123" s="216">
        <f t="shared" si="43"/>
        <v>7.3199169431448423</v>
      </c>
      <c r="AY123" s="216">
        <f t="shared" si="43"/>
        <v>7.1067154787813998</v>
      </c>
      <c r="AZ123" s="216">
        <f t="shared" si="43"/>
        <v>6.8997237658071855</v>
      </c>
      <c r="BA123" s="216">
        <f t="shared" si="43"/>
        <v>6.6987609376768784</v>
      </c>
      <c r="BB123" s="216">
        <f t="shared" si="43"/>
        <v>6.5036513958027946</v>
      </c>
      <c r="BC123" s="216">
        <f t="shared" si="43"/>
        <v>6.3142246561192179</v>
      </c>
      <c r="BD123" s="216">
        <f t="shared" si="43"/>
        <v>6.1303152001157466</v>
      </c>
      <c r="BE123" s="216">
        <f t="shared" si="43"/>
        <v>5.9517623302094629</v>
      </c>
      <c r="BF123" s="216">
        <f t="shared" si="43"/>
        <v>5.7784100293295753</v>
      </c>
      <c r="BG123" s="216">
        <f t="shared" si="43"/>
        <v>5.6101068245918198</v>
      </c>
      <c r="BH123" s="216">
        <f t="shared" si="43"/>
        <v>5.446705654943516</v>
      </c>
      <c r="BI123" s="216">
        <f t="shared" si="43"/>
        <v>5.2880637426636072</v>
      </c>
      <c r="BJ123" s="216">
        <f t="shared" si="43"/>
        <v>5.1340424686054442</v>
      </c>
      <c r="BK123" s="216">
        <f t="shared" si="43"/>
        <v>4.9845072510732464</v>
      </c>
      <c r="BL123" s="292">
        <f t="shared" si="40"/>
        <v>133.93557647937666</v>
      </c>
    </row>
    <row r="124" spans="32:64" x14ac:dyDescent="0.25">
      <c r="AF124" s="240">
        <f t="shared" si="31"/>
        <v>126000000</v>
      </c>
      <c r="AG124" s="21">
        <f t="shared" si="32"/>
        <v>6</v>
      </c>
      <c r="AH124" s="21">
        <v>6</v>
      </c>
      <c r="AI124" s="21" t="s">
        <v>407</v>
      </c>
      <c r="AJ124" s="21">
        <f t="shared" si="27"/>
        <v>200</v>
      </c>
      <c r="AK124" s="21">
        <f t="shared" si="28"/>
        <v>100</v>
      </c>
      <c r="AL124" s="217">
        <f t="shared" si="33"/>
        <v>0.1</v>
      </c>
      <c r="AM124" s="20">
        <f t="shared" si="34"/>
        <v>0.04</v>
      </c>
      <c r="AN124" s="226">
        <f t="shared" si="35"/>
        <v>0</v>
      </c>
      <c r="AO124" s="215">
        <f t="shared" si="36"/>
        <v>0.10400000000000001</v>
      </c>
      <c r="AP124" s="239">
        <f t="shared" si="37"/>
        <v>8.6363636363636367</v>
      </c>
      <c r="AR124" s="287">
        <f t="shared" si="29"/>
        <v>8.7403636363636359</v>
      </c>
      <c r="AS124" s="216">
        <f t="shared" ref="AS124:BK124" si="44">$AR$124/POWER(1+($B$10/100),AS117-2024)</f>
        <v>8.4857899382171222</v>
      </c>
      <c r="AT124" s="216">
        <f t="shared" si="44"/>
        <v>8.2386310079777889</v>
      </c>
      <c r="AU124" s="216">
        <f t="shared" si="44"/>
        <v>7.9986708815318339</v>
      </c>
      <c r="AV124" s="216">
        <f t="shared" si="44"/>
        <v>7.7656998849823635</v>
      </c>
      <c r="AW124" s="216">
        <f t="shared" si="44"/>
        <v>7.5395144514391879</v>
      </c>
      <c r="AX124" s="216">
        <f t="shared" si="44"/>
        <v>7.3199169431448423</v>
      </c>
      <c r="AY124" s="216">
        <f t="shared" si="44"/>
        <v>7.1067154787813998</v>
      </c>
      <c r="AZ124" s="216">
        <f t="shared" si="44"/>
        <v>6.8997237658071855</v>
      </c>
      <c r="BA124" s="216">
        <f t="shared" si="44"/>
        <v>6.6987609376768784</v>
      </c>
      <c r="BB124" s="216">
        <f t="shared" si="44"/>
        <v>6.5036513958027946</v>
      </c>
      <c r="BC124" s="216">
        <f t="shared" si="44"/>
        <v>6.3142246561192179</v>
      </c>
      <c r="BD124" s="216">
        <f t="shared" si="44"/>
        <v>6.1303152001157466</v>
      </c>
      <c r="BE124" s="216">
        <f t="shared" si="44"/>
        <v>5.9517623302094629</v>
      </c>
      <c r="BF124" s="216">
        <f t="shared" si="44"/>
        <v>5.7784100293295753</v>
      </c>
      <c r="BG124" s="216">
        <f t="shared" si="44"/>
        <v>5.6101068245918198</v>
      </c>
      <c r="BH124" s="216">
        <f t="shared" si="44"/>
        <v>5.446705654943516</v>
      </c>
      <c r="BI124" s="216">
        <f t="shared" si="44"/>
        <v>5.2880637426636072</v>
      </c>
      <c r="BJ124" s="216">
        <f t="shared" si="44"/>
        <v>5.1340424686054442</v>
      </c>
      <c r="BK124" s="216">
        <f t="shared" si="44"/>
        <v>4.9845072510732464</v>
      </c>
      <c r="BL124" s="292">
        <f t="shared" si="40"/>
        <v>133.93557647937666</v>
      </c>
    </row>
    <row r="125" spans="32:64" x14ac:dyDescent="0.25">
      <c r="AF125" s="240">
        <f t="shared" si="31"/>
        <v>147000000</v>
      </c>
      <c r="AG125" s="21">
        <f t="shared" si="32"/>
        <v>7</v>
      </c>
      <c r="AH125" s="21">
        <v>7</v>
      </c>
      <c r="AI125" s="21" t="s">
        <v>407</v>
      </c>
      <c r="AJ125" s="21">
        <f t="shared" si="27"/>
        <v>200</v>
      </c>
      <c r="AK125" s="21">
        <f t="shared" si="28"/>
        <v>100</v>
      </c>
      <c r="AL125" s="217">
        <f t="shared" si="33"/>
        <v>0.1</v>
      </c>
      <c r="AM125" s="20">
        <f t="shared" si="34"/>
        <v>0.04</v>
      </c>
      <c r="AN125" s="226">
        <f t="shared" si="35"/>
        <v>0</v>
      </c>
      <c r="AO125" s="215">
        <f t="shared" si="36"/>
        <v>0.10400000000000001</v>
      </c>
      <c r="AP125" s="239">
        <f t="shared" si="37"/>
        <v>8.6363636363636367</v>
      </c>
      <c r="AR125" s="287">
        <f t="shared" si="29"/>
        <v>8.7403636363636359</v>
      </c>
      <c r="AS125" s="216">
        <f t="shared" ref="AS125:BK125" si="45">$AR$125/POWER(1+($B$10/100),AS117-2024)</f>
        <v>8.4857899382171222</v>
      </c>
      <c r="AT125" s="216">
        <f t="shared" si="45"/>
        <v>8.2386310079777889</v>
      </c>
      <c r="AU125" s="216">
        <f t="shared" si="45"/>
        <v>7.9986708815318339</v>
      </c>
      <c r="AV125" s="216">
        <f t="shared" si="45"/>
        <v>7.7656998849823635</v>
      </c>
      <c r="AW125" s="216">
        <f t="shared" si="45"/>
        <v>7.5395144514391879</v>
      </c>
      <c r="AX125" s="216">
        <f t="shared" si="45"/>
        <v>7.3199169431448423</v>
      </c>
      <c r="AY125" s="216">
        <f t="shared" si="45"/>
        <v>7.1067154787813998</v>
      </c>
      <c r="AZ125" s="216">
        <f t="shared" si="45"/>
        <v>6.8997237658071855</v>
      </c>
      <c r="BA125" s="216">
        <f t="shared" si="45"/>
        <v>6.6987609376768784</v>
      </c>
      <c r="BB125" s="216">
        <f t="shared" si="45"/>
        <v>6.5036513958027946</v>
      </c>
      <c r="BC125" s="216">
        <f t="shared" si="45"/>
        <v>6.3142246561192179</v>
      </c>
      <c r="BD125" s="216">
        <f t="shared" si="45"/>
        <v>6.1303152001157466</v>
      </c>
      <c r="BE125" s="216">
        <f t="shared" si="45"/>
        <v>5.9517623302094629</v>
      </c>
      <c r="BF125" s="216">
        <f t="shared" si="45"/>
        <v>5.7784100293295753</v>
      </c>
      <c r="BG125" s="216">
        <f t="shared" si="45"/>
        <v>5.6101068245918198</v>
      </c>
      <c r="BH125" s="216">
        <f t="shared" si="45"/>
        <v>5.446705654943516</v>
      </c>
      <c r="BI125" s="216">
        <f t="shared" si="45"/>
        <v>5.2880637426636072</v>
      </c>
      <c r="BJ125" s="216">
        <f t="shared" si="45"/>
        <v>5.1340424686054442</v>
      </c>
      <c r="BK125" s="216">
        <f t="shared" si="45"/>
        <v>4.9845072510732464</v>
      </c>
      <c r="BL125" s="292">
        <f t="shared" si="40"/>
        <v>133.93557647937666</v>
      </c>
    </row>
    <row r="126" spans="32:64" x14ac:dyDescent="0.25">
      <c r="AF126" s="240">
        <f t="shared" si="31"/>
        <v>168000000</v>
      </c>
      <c r="AG126" s="21">
        <f t="shared" si="32"/>
        <v>8</v>
      </c>
      <c r="AH126" s="21">
        <v>8</v>
      </c>
      <c r="AI126" s="21" t="s">
        <v>407</v>
      </c>
      <c r="AJ126" s="21">
        <f t="shared" si="27"/>
        <v>200</v>
      </c>
      <c r="AK126" s="21">
        <f t="shared" si="28"/>
        <v>100</v>
      </c>
      <c r="AL126" s="217">
        <f t="shared" si="33"/>
        <v>0.1</v>
      </c>
      <c r="AM126" s="20">
        <f t="shared" si="34"/>
        <v>0.04</v>
      </c>
      <c r="AN126" s="226">
        <f t="shared" si="35"/>
        <v>0</v>
      </c>
      <c r="AO126" s="215">
        <f t="shared" si="36"/>
        <v>0.10400000000000001</v>
      </c>
      <c r="AP126" s="239">
        <f t="shared" si="37"/>
        <v>8.6363636363636367</v>
      </c>
      <c r="AR126" s="287">
        <f t="shared" si="29"/>
        <v>8.7403636363636359</v>
      </c>
      <c r="AS126" s="216">
        <f t="shared" ref="AS126:BK126" si="46">$AR$126/POWER(1+($B$10/100),AS117-2024)</f>
        <v>8.4857899382171222</v>
      </c>
      <c r="AT126" s="216">
        <f t="shared" si="46"/>
        <v>8.2386310079777889</v>
      </c>
      <c r="AU126" s="216">
        <f t="shared" si="46"/>
        <v>7.9986708815318339</v>
      </c>
      <c r="AV126" s="216">
        <f t="shared" si="46"/>
        <v>7.7656998849823635</v>
      </c>
      <c r="AW126" s="216">
        <f t="shared" si="46"/>
        <v>7.5395144514391879</v>
      </c>
      <c r="AX126" s="216">
        <f t="shared" si="46"/>
        <v>7.3199169431448423</v>
      </c>
      <c r="AY126" s="216">
        <f t="shared" si="46"/>
        <v>7.1067154787813998</v>
      </c>
      <c r="AZ126" s="216">
        <f t="shared" si="46"/>
        <v>6.8997237658071855</v>
      </c>
      <c r="BA126" s="216">
        <f t="shared" si="46"/>
        <v>6.6987609376768784</v>
      </c>
      <c r="BB126" s="216">
        <f t="shared" si="46"/>
        <v>6.5036513958027946</v>
      </c>
      <c r="BC126" s="216">
        <f t="shared" si="46"/>
        <v>6.3142246561192179</v>
      </c>
      <c r="BD126" s="216">
        <f t="shared" si="46"/>
        <v>6.1303152001157466</v>
      </c>
      <c r="BE126" s="216">
        <f t="shared" si="46"/>
        <v>5.9517623302094629</v>
      </c>
      <c r="BF126" s="216">
        <f t="shared" si="46"/>
        <v>5.7784100293295753</v>
      </c>
      <c r="BG126" s="216">
        <f t="shared" si="46"/>
        <v>5.6101068245918198</v>
      </c>
      <c r="BH126" s="216">
        <f t="shared" si="46"/>
        <v>5.446705654943516</v>
      </c>
      <c r="BI126" s="216">
        <f t="shared" si="46"/>
        <v>5.2880637426636072</v>
      </c>
      <c r="BJ126" s="216">
        <f t="shared" si="46"/>
        <v>5.1340424686054442</v>
      </c>
      <c r="BK126" s="216">
        <f t="shared" si="46"/>
        <v>4.9845072510732464</v>
      </c>
      <c r="BL126" s="292">
        <f t="shared" si="40"/>
        <v>133.93557647937666</v>
      </c>
    </row>
    <row r="127" spans="32:64" x14ac:dyDescent="0.25">
      <c r="AF127" s="240">
        <f t="shared" si="31"/>
        <v>189000000</v>
      </c>
      <c r="AG127" s="21">
        <f t="shared" si="32"/>
        <v>9</v>
      </c>
      <c r="AH127" s="21">
        <v>9</v>
      </c>
      <c r="AI127" s="21" t="s">
        <v>407</v>
      </c>
      <c r="AJ127" s="21">
        <f t="shared" si="27"/>
        <v>200</v>
      </c>
      <c r="AK127" s="21">
        <f t="shared" si="28"/>
        <v>100</v>
      </c>
      <c r="AL127" s="217">
        <f t="shared" si="33"/>
        <v>0.1</v>
      </c>
      <c r="AM127" s="20">
        <f t="shared" si="34"/>
        <v>0.04</v>
      </c>
      <c r="AN127" s="226">
        <f t="shared" si="35"/>
        <v>0</v>
      </c>
      <c r="AO127" s="215">
        <f t="shared" si="36"/>
        <v>0.10400000000000001</v>
      </c>
      <c r="AP127" s="239">
        <f t="shared" si="37"/>
        <v>8.6363636363636367</v>
      </c>
      <c r="AQ127" s="103"/>
      <c r="AR127" s="287">
        <f t="shared" si="29"/>
        <v>8.7403636363636359</v>
      </c>
      <c r="AS127" s="216">
        <f t="shared" ref="AS127:BK127" si="47">$AR$127/POWER(1+($B$10/100),AS117-2024)</f>
        <v>8.4857899382171222</v>
      </c>
      <c r="AT127" s="216">
        <f t="shared" si="47"/>
        <v>8.2386310079777889</v>
      </c>
      <c r="AU127" s="216">
        <f t="shared" si="47"/>
        <v>7.9986708815318339</v>
      </c>
      <c r="AV127" s="216">
        <f t="shared" si="47"/>
        <v>7.7656998849823635</v>
      </c>
      <c r="AW127" s="216">
        <f t="shared" si="47"/>
        <v>7.5395144514391879</v>
      </c>
      <c r="AX127" s="216">
        <f t="shared" si="47"/>
        <v>7.3199169431448423</v>
      </c>
      <c r="AY127" s="216">
        <f t="shared" si="47"/>
        <v>7.1067154787813998</v>
      </c>
      <c r="AZ127" s="216">
        <f t="shared" si="47"/>
        <v>6.8997237658071855</v>
      </c>
      <c r="BA127" s="216">
        <f t="shared" si="47"/>
        <v>6.6987609376768784</v>
      </c>
      <c r="BB127" s="216">
        <f t="shared" si="47"/>
        <v>6.5036513958027946</v>
      </c>
      <c r="BC127" s="216">
        <f t="shared" si="47"/>
        <v>6.3142246561192179</v>
      </c>
      <c r="BD127" s="216">
        <f t="shared" si="47"/>
        <v>6.1303152001157466</v>
      </c>
      <c r="BE127" s="216">
        <f t="shared" si="47"/>
        <v>5.9517623302094629</v>
      </c>
      <c r="BF127" s="216">
        <f t="shared" si="47"/>
        <v>5.7784100293295753</v>
      </c>
      <c r="BG127" s="216">
        <f t="shared" si="47"/>
        <v>5.6101068245918198</v>
      </c>
      <c r="BH127" s="216">
        <f t="shared" si="47"/>
        <v>5.446705654943516</v>
      </c>
      <c r="BI127" s="216">
        <f t="shared" si="47"/>
        <v>5.2880637426636072</v>
      </c>
      <c r="BJ127" s="216">
        <f t="shared" si="47"/>
        <v>5.1340424686054442</v>
      </c>
      <c r="BK127" s="216">
        <f t="shared" si="47"/>
        <v>4.9845072510732464</v>
      </c>
      <c r="BL127" s="292">
        <f t="shared" ref="BL127:BL170" si="48">SUM(AR127:BK127)</f>
        <v>133.93557647937666</v>
      </c>
    </row>
    <row r="128" spans="32:64" x14ac:dyDescent="0.25">
      <c r="AF128" s="240">
        <f t="shared" si="31"/>
        <v>210000000</v>
      </c>
      <c r="AG128" s="21">
        <f t="shared" si="32"/>
        <v>10</v>
      </c>
      <c r="AH128" s="21">
        <v>10</v>
      </c>
      <c r="AI128" s="21" t="s">
        <v>407</v>
      </c>
      <c r="AJ128" s="21">
        <f t="shared" si="27"/>
        <v>200</v>
      </c>
      <c r="AK128" s="21">
        <f t="shared" si="28"/>
        <v>100</v>
      </c>
      <c r="AL128" s="217">
        <f t="shared" si="33"/>
        <v>0.1</v>
      </c>
      <c r="AM128" s="20">
        <f t="shared" si="34"/>
        <v>0.04</v>
      </c>
      <c r="AN128" s="226">
        <f t="shared" si="35"/>
        <v>0</v>
      </c>
      <c r="AO128" s="215">
        <f t="shared" si="36"/>
        <v>0.10400000000000001</v>
      </c>
      <c r="AP128" s="239">
        <f t="shared" si="37"/>
        <v>8.6363636363636367</v>
      </c>
      <c r="AQ128" s="103"/>
      <c r="AR128" s="287">
        <f t="shared" si="29"/>
        <v>8.7403636363636359</v>
      </c>
      <c r="AS128" s="216">
        <f t="shared" ref="AS128:BK128" si="49">$AR$128/POWER(1+($B$10/100),AS117-2024)</f>
        <v>8.4857899382171222</v>
      </c>
      <c r="AT128" s="216">
        <f t="shared" si="49"/>
        <v>8.2386310079777889</v>
      </c>
      <c r="AU128" s="216">
        <f t="shared" si="49"/>
        <v>7.9986708815318339</v>
      </c>
      <c r="AV128" s="216">
        <f t="shared" si="49"/>
        <v>7.7656998849823635</v>
      </c>
      <c r="AW128" s="216">
        <f t="shared" si="49"/>
        <v>7.5395144514391879</v>
      </c>
      <c r="AX128" s="216">
        <f t="shared" si="49"/>
        <v>7.3199169431448423</v>
      </c>
      <c r="AY128" s="216">
        <f t="shared" si="49"/>
        <v>7.1067154787813998</v>
      </c>
      <c r="AZ128" s="216">
        <f t="shared" si="49"/>
        <v>6.8997237658071855</v>
      </c>
      <c r="BA128" s="216">
        <f t="shared" si="49"/>
        <v>6.6987609376768784</v>
      </c>
      <c r="BB128" s="216">
        <f t="shared" si="49"/>
        <v>6.5036513958027946</v>
      </c>
      <c r="BC128" s="216">
        <f t="shared" si="49"/>
        <v>6.3142246561192179</v>
      </c>
      <c r="BD128" s="216">
        <f t="shared" si="49"/>
        <v>6.1303152001157466</v>
      </c>
      <c r="BE128" s="216">
        <f t="shared" si="49"/>
        <v>5.9517623302094629</v>
      </c>
      <c r="BF128" s="216">
        <f t="shared" si="49"/>
        <v>5.7784100293295753</v>
      </c>
      <c r="BG128" s="216">
        <f t="shared" si="49"/>
        <v>5.6101068245918198</v>
      </c>
      <c r="BH128" s="216">
        <f t="shared" si="49"/>
        <v>5.446705654943516</v>
      </c>
      <c r="BI128" s="216">
        <f t="shared" si="49"/>
        <v>5.2880637426636072</v>
      </c>
      <c r="BJ128" s="216">
        <f t="shared" si="49"/>
        <v>5.1340424686054442</v>
      </c>
      <c r="BK128" s="216">
        <f t="shared" si="49"/>
        <v>4.9845072510732464</v>
      </c>
      <c r="BL128" s="292">
        <f t="shared" si="48"/>
        <v>133.93557647937666</v>
      </c>
    </row>
    <row r="129" spans="32:66" x14ac:dyDescent="0.25">
      <c r="AF129" s="240">
        <f t="shared" si="31"/>
        <v>231000000</v>
      </c>
      <c r="AG129" s="21">
        <f t="shared" si="32"/>
        <v>11</v>
      </c>
      <c r="AH129" s="21">
        <v>11</v>
      </c>
      <c r="AI129" s="21" t="s">
        <v>407</v>
      </c>
      <c r="AJ129" s="21">
        <f t="shared" si="27"/>
        <v>200</v>
      </c>
      <c r="AK129" s="21">
        <f t="shared" si="28"/>
        <v>100</v>
      </c>
      <c r="AL129" s="217">
        <f t="shared" si="33"/>
        <v>0.1</v>
      </c>
      <c r="AM129" s="20">
        <f t="shared" si="34"/>
        <v>0.04</v>
      </c>
      <c r="AN129" s="226">
        <f t="shared" si="35"/>
        <v>0</v>
      </c>
      <c r="AO129" s="215">
        <f t="shared" si="36"/>
        <v>0.10400000000000001</v>
      </c>
      <c r="AP129" s="239">
        <f t="shared" si="37"/>
        <v>8.6363636363636367</v>
      </c>
      <c r="AQ129" s="103"/>
      <c r="AR129" s="287">
        <f t="shared" si="29"/>
        <v>8.7403636363636359</v>
      </c>
      <c r="AS129" s="216">
        <f t="shared" ref="AS129:BK129" si="50">$AR$129/POWER(1+($B$10/100),AS117-2024)</f>
        <v>8.4857899382171222</v>
      </c>
      <c r="AT129" s="216">
        <f t="shared" si="50"/>
        <v>8.2386310079777889</v>
      </c>
      <c r="AU129" s="216">
        <f t="shared" si="50"/>
        <v>7.9986708815318339</v>
      </c>
      <c r="AV129" s="216">
        <f t="shared" si="50"/>
        <v>7.7656998849823635</v>
      </c>
      <c r="AW129" s="216">
        <f t="shared" si="50"/>
        <v>7.5395144514391879</v>
      </c>
      <c r="AX129" s="216">
        <f t="shared" si="50"/>
        <v>7.3199169431448423</v>
      </c>
      <c r="AY129" s="216">
        <f t="shared" si="50"/>
        <v>7.1067154787813998</v>
      </c>
      <c r="AZ129" s="216">
        <f t="shared" si="50"/>
        <v>6.8997237658071855</v>
      </c>
      <c r="BA129" s="216">
        <f t="shared" si="50"/>
        <v>6.6987609376768784</v>
      </c>
      <c r="BB129" s="216">
        <f t="shared" si="50"/>
        <v>6.5036513958027946</v>
      </c>
      <c r="BC129" s="216">
        <f t="shared" si="50"/>
        <v>6.3142246561192179</v>
      </c>
      <c r="BD129" s="216">
        <f t="shared" si="50"/>
        <v>6.1303152001157466</v>
      </c>
      <c r="BE129" s="216">
        <f t="shared" si="50"/>
        <v>5.9517623302094629</v>
      </c>
      <c r="BF129" s="216">
        <f t="shared" si="50"/>
        <v>5.7784100293295753</v>
      </c>
      <c r="BG129" s="216">
        <f t="shared" si="50"/>
        <v>5.6101068245918198</v>
      </c>
      <c r="BH129" s="216">
        <f t="shared" si="50"/>
        <v>5.446705654943516</v>
      </c>
      <c r="BI129" s="216">
        <f t="shared" si="50"/>
        <v>5.2880637426636072</v>
      </c>
      <c r="BJ129" s="216">
        <f t="shared" si="50"/>
        <v>5.1340424686054442</v>
      </c>
      <c r="BK129" s="216">
        <f t="shared" si="50"/>
        <v>4.9845072510732464</v>
      </c>
      <c r="BL129" s="292">
        <f t="shared" si="48"/>
        <v>133.93557647937666</v>
      </c>
    </row>
    <row r="130" spans="32:66" x14ac:dyDescent="0.25">
      <c r="AF130" s="240">
        <f t="shared" si="31"/>
        <v>252000000</v>
      </c>
      <c r="AG130" s="21">
        <f t="shared" si="32"/>
        <v>12</v>
      </c>
      <c r="AH130" s="21">
        <v>12</v>
      </c>
      <c r="AI130" s="21" t="s">
        <v>407</v>
      </c>
      <c r="AJ130" s="21">
        <f t="shared" si="27"/>
        <v>200</v>
      </c>
      <c r="AK130" s="21">
        <f t="shared" si="28"/>
        <v>100</v>
      </c>
      <c r="AL130" s="217">
        <f t="shared" si="33"/>
        <v>0.1</v>
      </c>
      <c r="AM130" s="20">
        <f t="shared" si="34"/>
        <v>0.04</v>
      </c>
      <c r="AN130" s="226">
        <f t="shared" si="35"/>
        <v>0</v>
      </c>
      <c r="AO130" s="215">
        <f t="shared" si="36"/>
        <v>0.10400000000000001</v>
      </c>
      <c r="AP130" s="239">
        <f t="shared" si="37"/>
        <v>8.6363636363636367</v>
      </c>
      <c r="AQ130" s="103"/>
      <c r="AR130" s="287">
        <f t="shared" si="29"/>
        <v>8.7403636363636359</v>
      </c>
      <c r="AS130" s="216">
        <f t="shared" ref="AS130:BK130" si="51">$AR$130/POWER(1+($B$10/100),AS117-2024)</f>
        <v>8.4857899382171222</v>
      </c>
      <c r="AT130" s="216">
        <f t="shared" si="51"/>
        <v>8.2386310079777889</v>
      </c>
      <c r="AU130" s="216">
        <f t="shared" si="51"/>
        <v>7.9986708815318339</v>
      </c>
      <c r="AV130" s="216">
        <f t="shared" si="51"/>
        <v>7.7656998849823635</v>
      </c>
      <c r="AW130" s="216">
        <f t="shared" si="51"/>
        <v>7.5395144514391879</v>
      </c>
      <c r="AX130" s="216">
        <f t="shared" si="51"/>
        <v>7.3199169431448423</v>
      </c>
      <c r="AY130" s="216">
        <f t="shared" si="51"/>
        <v>7.1067154787813998</v>
      </c>
      <c r="AZ130" s="216">
        <f t="shared" si="51"/>
        <v>6.8997237658071855</v>
      </c>
      <c r="BA130" s="216">
        <f t="shared" si="51"/>
        <v>6.6987609376768784</v>
      </c>
      <c r="BB130" s="216">
        <f t="shared" si="51"/>
        <v>6.5036513958027946</v>
      </c>
      <c r="BC130" s="216">
        <f t="shared" si="51"/>
        <v>6.3142246561192179</v>
      </c>
      <c r="BD130" s="216">
        <f t="shared" si="51"/>
        <v>6.1303152001157466</v>
      </c>
      <c r="BE130" s="216">
        <f t="shared" si="51"/>
        <v>5.9517623302094629</v>
      </c>
      <c r="BF130" s="216">
        <f t="shared" si="51"/>
        <v>5.7784100293295753</v>
      </c>
      <c r="BG130" s="216">
        <f t="shared" si="51"/>
        <v>5.6101068245918198</v>
      </c>
      <c r="BH130" s="216">
        <f t="shared" si="51"/>
        <v>5.446705654943516</v>
      </c>
      <c r="BI130" s="216">
        <f t="shared" si="51"/>
        <v>5.2880637426636072</v>
      </c>
      <c r="BJ130" s="216">
        <f t="shared" si="51"/>
        <v>5.1340424686054442</v>
      </c>
      <c r="BK130" s="216">
        <f t="shared" si="51"/>
        <v>4.9845072510732464</v>
      </c>
      <c r="BL130" s="292">
        <f t="shared" si="48"/>
        <v>133.93557647937666</v>
      </c>
    </row>
    <row r="131" spans="32:66" x14ac:dyDescent="0.25">
      <c r="AF131" s="240">
        <f t="shared" si="31"/>
        <v>273000000</v>
      </c>
      <c r="AG131" s="21">
        <f t="shared" si="32"/>
        <v>13</v>
      </c>
      <c r="AH131" s="21">
        <v>13</v>
      </c>
      <c r="AI131" s="21" t="s">
        <v>407</v>
      </c>
      <c r="AJ131" s="21">
        <f t="shared" si="27"/>
        <v>200</v>
      </c>
      <c r="AK131" s="21">
        <f t="shared" si="28"/>
        <v>100</v>
      </c>
      <c r="AL131" s="217">
        <f t="shared" si="33"/>
        <v>0.1</v>
      </c>
      <c r="AM131" s="20">
        <f t="shared" si="34"/>
        <v>0.04</v>
      </c>
      <c r="AN131" s="226">
        <f t="shared" si="35"/>
        <v>0</v>
      </c>
      <c r="AO131" s="215">
        <f t="shared" si="36"/>
        <v>0.10400000000000001</v>
      </c>
      <c r="AP131" s="239">
        <f t="shared" si="37"/>
        <v>8.6363636363636367</v>
      </c>
      <c r="AQ131" s="103"/>
      <c r="AR131" s="287">
        <f t="shared" si="29"/>
        <v>8.7403636363636359</v>
      </c>
      <c r="AS131" s="216">
        <f t="shared" ref="AS131:BK131" si="52">$AR$131/POWER(1+($B$10/100),AS117-2024)</f>
        <v>8.4857899382171222</v>
      </c>
      <c r="AT131" s="216">
        <f t="shared" si="52"/>
        <v>8.2386310079777889</v>
      </c>
      <c r="AU131" s="216">
        <f t="shared" si="52"/>
        <v>7.9986708815318339</v>
      </c>
      <c r="AV131" s="216">
        <f t="shared" si="52"/>
        <v>7.7656998849823635</v>
      </c>
      <c r="AW131" s="216">
        <f t="shared" si="52"/>
        <v>7.5395144514391879</v>
      </c>
      <c r="AX131" s="216">
        <f t="shared" si="52"/>
        <v>7.3199169431448423</v>
      </c>
      <c r="AY131" s="216">
        <f t="shared" si="52"/>
        <v>7.1067154787813998</v>
      </c>
      <c r="AZ131" s="216">
        <f t="shared" si="52"/>
        <v>6.8997237658071855</v>
      </c>
      <c r="BA131" s="216">
        <f t="shared" si="52"/>
        <v>6.6987609376768784</v>
      </c>
      <c r="BB131" s="216">
        <f t="shared" si="52"/>
        <v>6.5036513958027946</v>
      </c>
      <c r="BC131" s="216">
        <f t="shared" si="52"/>
        <v>6.3142246561192179</v>
      </c>
      <c r="BD131" s="216">
        <f t="shared" si="52"/>
        <v>6.1303152001157466</v>
      </c>
      <c r="BE131" s="216">
        <f t="shared" si="52"/>
        <v>5.9517623302094629</v>
      </c>
      <c r="BF131" s="216">
        <f t="shared" si="52"/>
        <v>5.7784100293295753</v>
      </c>
      <c r="BG131" s="216">
        <f t="shared" si="52"/>
        <v>5.6101068245918198</v>
      </c>
      <c r="BH131" s="216">
        <f t="shared" si="52"/>
        <v>5.446705654943516</v>
      </c>
      <c r="BI131" s="216">
        <f t="shared" si="52"/>
        <v>5.2880637426636072</v>
      </c>
      <c r="BJ131" s="216">
        <f t="shared" si="52"/>
        <v>5.1340424686054442</v>
      </c>
      <c r="BK131" s="216">
        <f t="shared" si="52"/>
        <v>4.9845072510732464</v>
      </c>
      <c r="BL131" s="292">
        <f t="shared" si="48"/>
        <v>133.93557647937666</v>
      </c>
    </row>
    <row r="132" spans="32:66" x14ac:dyDescent="0.25">
      <c r="AF132" s="240">
        <f t="shared" si="31"/>
        <v>294000000</v>
      </c>
      <c r="AG132" s="21">
        <f t="shared" si="32"/>
        <v>14</v>
      </c>
      <c r="AH132" s="21">
        <v>14</v>
      </c>
      <c r="AI132" s="21" t="s">
        <v>407</v>
      </c>
      <c r="AJ132" s="21">
        <f t="shared" si="27"/>
        <v>200</v>
      </c>
      <c r="AK132" s="21">
        <f t="shared" si="28"/>
        <v>100</v>
      </c>
      <c r="AL132" s="217">
        <f t="shared" si="33"/>
        <v>0.1</v>
      </c>
      <c r="AM132" s="20">
        <f t="shared" si="34"/>
        <v>0.04</v>
      </c>
      <c r="AN132" s="226">
        <f t="shared" ref="AN132:AN170" si="53">AN76*$B$7</f>
        <v>0</v>
      </c>
      <c r="AO132" s="215">
        <f t="shared" si="36"/>
        <v>0.10400000000000001</v>
      </c>
      <c r="AP132" s="239">
        <f t="shared" si="37"/>
        <v>8.6363636363636367</v>
      </c>
      <c r="AQ132" s="103"/>
      <c r="AR132" s="287">
        <f t="shared" si="29"/>
        <v>8.7403636363636359</v>
      </c>
      <c r="AS132" s="216">
        <f t="shared" ref="AS132:BK132" si="54">$AR$132/POWER(1+($B$10/100),AS117-2024)</f>
        <v>8.4857899382171222</v>
      </c>
      <c r="AT132" s="216">
        <f t="shared" si="54"/>
        <v>8.2386310079777889</v>
      </c>
      <c r="AU132" s="216">
        <f t="shared" si="54"/>
        <v>7.9986708815318339</v>
      </c>
      <c r="AV132" s="216">
        <f t="shared" si="54"/>
        <v>7.7656998849823635</v>
      </c>
      <c r="AW132" s="216">
        <f t="shared" si="54"/>
        <v>7.5395144514391879</v>
      </c>
      <c r="AX132" s="216">
        <f t="shared" si="54"/>
        <v>7.3199169431448423</v>
      </c>
      <c r="AY132" s="216">
        <f t="shared" si="54"/>
        <v>7.1067154787813998</v>
      </c>
      <c r="AZ132" s="216">
        <f t="shared" si="54"/>
        <v>6.8997237658071855</v>
      </c>
      <c r="BA132" s="216">
        <f t="shared" si="54"/>
        <v>6.6987609376768784</v>
      </c>
      <c r="BB132" s="216">
        <f t="shared" si="54"/>
        <v>6.5036513958027946</v>
      </c>
      <c r="BC132" s="216">
        <f t="shared" si="54"/>
        <v>6.3142246561192179</v>
      </c>
      <c r="BD132" s="216">
        <f t="shared" si="54"/>
        <v>6.1303152001157466</v>
      </c>
      <c r="BE132" s="216">
        <f t="shared" si="54"/>
        <v>5.9517623302094629</v>
      </c>
      <c r="BF132" s="216">
        <f t="shared" si="54"/>
        <v>5.7784100293295753</v>
      </c>
      <c r="BG132" s="216">
        <f t="shared" si="54"/>
        <v>5.6101068245918198</v>
      </c>
      <c r="BH132" s="216">
        <f t="shared" si="54"/>
        <v>5.446705654943516</v>
      </c>
      <c r="BI132" s="216">
        <f t="shared" si="54"/>
        <v>5.2880637426636072</v>
      </c>
      <c r="BJ132" s="216">
        <f t="shared" si="54"/>
        <v>5.1340424686054442</v>
      </c>
      <c r="BK132" s="216">
        <f t="shared" si="54"/>
        <v>4.9845072510732464</v>
      </c>
      <c r="BL132" s="292">
        <f t="shared" si="48"/>
        <v>133.93557647937666</v>
      </c>
    </row>
    <row r="133" spans="32:66" x14ac:dyDescent="0.25">
      <c r="AF133" s="240">
        <f t="shared" si="31"/>
        <v>315000000</v>
      </c>
      <c r="AG133" s="21">
        <f t="shared" si="32"/>
        <v>15</v>
      </c>
      <c r="AH133" s="21">
        <v>15</v>
      </c>
      <c r="AI133" s="21" t="s">
        <v>407</v>
      </c>
      <c r="AJ133" s="21">
        <f t="shared" si="27"/>
        <v>200</v>
      </c>
      <c r="AK133" s="21">
        <f t="shared" si="28"/>
        <v>100</v>
      </c>
      <c r="AL133" s="217">
        <f t="shared" si="33"/>
        <v>0.1</v>
      </c>
      <c r="AM133" s="20">
        <f t="shared" si="34"/>
        <v>0.04</v>
      </c>
      <c r="AN133" s="226">
        <f t="shared" si="53"/>
        <v>0</v>
      </c>
      <c r="AO133" s="215">
        <f t="shared" si="36"/>
        <v>0.10400000000000001</v>
      </c>
      <c r="AP133" s="239">
        <f t="shared" si="37"/>
        <v>8.6363636363636367</v>
      </c>
      <c r="AQ133" s="103"/>
      <c r="AR133" s="287">
        <f t="shared" si="29"/>
        <v>8.7403636363636359</v>
      </c>
      <c r="AS133" s="216">
        <f t="shared" ref="AS133:BK133" si="55">$AR$133/POWER(1+($B$10/100),AS117-2024)</f>
        <v>8.4857899382171222</v>
      </c>
      <c r="AT133" s="216">
        <f t="shared" si="55"/>
        <v>8.2386310079777889</v>
      </c>
      <c r="AU133" s="216">
        <f t="shared" si="55"/>
        <v>7.9986708815318339</v>
      </c>
      <c r="AV133" s="216">
        <f t="shared" si="55"/>
        <v>7.7656998849823635</v>
      </c>
      <c r="AW133" s="216">
        <f t="shared" si="55"/>
        <v>7.5395144514391879</v>
      </c>
      <c r="AX133" s="216">
        <f t="shared" si="55"/>
        <v>7.3199169431448423</v>
      </c>
      <c r="AY133" s="216">
        <f t="shared" si="55"/>
        <v>7.1067154787813998</v>
      </c>
      <c r="AZ133" s="216">
        <f t="shared" si="55"/>
        <v>6.8997237658071855</v>
      </c>
      <c r="BA133" s="216">
        <f t="shared" si="55"/>
        <v>6.6987609376768784</v>
      </c>
      <c r="BB133" s="216">
        <f t="shared" si="55"/>
        <v>6.5036513958027946</v>
      </c>
      <c r="BC133" s="216">
        <f t="shared" si="55"/>
        <v>6.3142246561192179</v>
      </c>
      <c r="BD133" s="216">
        <f t="shared" si="55"/>
        <v>6.1303152001157466</v>
      </c>
      <c r="BE133" s="216">
        <f t="shared" si="55"/>
        <v>5.9517623302094629</v>
      </c>
      <c r="BF133" s="216">
        <f t="shared" si="55"/>
        <v>5.7784100293295753</v>
      </c>
      <c r="BG133" s="216">
        <f t="shared" si="55"/>
        <v>5.6101068245918198</v>
      </c>
      <c r="BH133" s="216">
        <f t="shared" si="55"/>
        <v>5.446705654943516</v>
      </c>
      <c r="BI133" s="216">
        <f t="shared" si="55"/>
        <v>5.2880637426636072</v>
      </c>
      <c r="BJ133" s="216">
        <f t="shared" si="55"/>
        <v>5.1340424686054442</v>
      </c>
      <c r="BK133" s="216">
        <f t="shared" si="55"/>
        <v>4.9845072510732464</v>
      </c>
      <c r="BL133" s="292">
        <f t="shared" si="48"/>
        <v>133.93557647937666</v>
      </c>
    </row>
    <row r="134" spans="32:66" x14ac:dyDescent="0.25">
      <c r="AF134" s="240">
        <f t="shared" si="31"/>
        <v>336000000</v>
      </c>
      <c r="AG134" s="21">
        <f t="shared" si="32"/>
        <v>16</v>
      </c>
      <c r="AH134" s="21">
        <v>16</v>
      </c>
      <c r="AI134" s="21" t="s">
        <v>407</v>
      </c>
      <c r="AJ134" s="21">
        <f t="shared" si="27"/>
        <v>200</v>
      </c>
      <c r="AK134" s="21">
        <f t="shared" si="28"/>
        <v>100</v>
      </c>
      <c r="AL134" s="217">
        <f t="shared" si="33"/>
        <v>0.1</v>
      </c>
      <c r="AM134" s="20">
        <f t="shared" si="34"/>
        <v>0.04</v>
      </c>
      <c r="AN134" s="226">
        <f t="shared" si="53"/>
        <v>0</v>
      </c>
      <c r="AO134" s="215">
        <f t="shared" si="36"/>
        <v>0.10400000000000001</v>
      </c>
      <c r="AP134" s="239">
        <f t="shared" si="37"/>
        <v>8.6363636363636367</v>
      </c>
      <c r="AQ134" s="103"/>
      <c r="AR134" s="287">
        <f t="shared" si="29"/>
        <v>8.7403636363636359</v>
      </c>
      <c r="AS134" s="216">
        <f t="shared" ref="AS134:BK134" si="56">$AR$134/POWER(1+($B$10/100),AS117-2024)</f>
        <v>8.4857899382171222</v>
      </c>
      <c r="AT134" s="216">
        <f t="shared" si="56"/>
        <v>8.2386310079777889</v>
      </c>
      <c r="AU134" s="216">
        <f t="shared" si="56"/>
        <v>7.9986708815318339</v>
      </c>
      <c r="AV134" s="216">
        <f t="shared" si="56"/>
        <v>7.7656998849823635</v>
      </c>
      <c r="AW134" s="216">
        <f t="shared" si="56"/>
        <v>7.5395144514391879</v>
      </c>
      <c r="AX134" s="216">
        <f t="shared" si="56"/>
        <v>7.3199169431448423</v>
      </c>
      <c r="AY134" s="216">
        <f t="shared" si="56"/>
        <v>7.1067154787813998</v>
      </c>
      <c r="AZ134" s="216">
        <f t="shared" si="56"/>
        <v>6.8997237658071855</v>
      </c>
      <c r="BA134" s="216">
        <f t="shared" si="56"/>
        <v>6.6987609376768784</v>
      </c>
      <c r="BB134" s="216">
        <f t="shared" si="56"/>
        <v>6.5036513958027946</v>
      </c>
      <c r="BC134" s="216">
        <f t="shared" si="56"/>
        <v>6.3142246561192179</v>
      </c>
      <c r="BD134" s="216">
        <f t="shared" si="56"/>
        <v>6.1303152001157466</v>
      </c>
      <c r="BE134" s="216">
        <f t="shared" si="56"/>
        <v>5.9517623302094629</v>
      </c>
      <c r="BF134" s="216">
        <f t="shared" si="56"/>
        <v>5.7784100293295753</v>
      </c>
      <c r="BG134" s="216">
        <f t="shared" si="56"/>
        <v>5.6101068245918198</v>
      </c>
      <c r="BH134" s="216">
        <f t="shared" si="56"/>
        <v>5.446705654943516</v>
      </c>
      <c r="BI134" s="216">
        <f t="shared" si="56"/>
        <v>5.2880637426636072</v>
      </c>
      <c r="BJ134" s="216">
        <f t="shared" si="56"/>
        <v>5.1340424686054442</v>
      </c>
      <c r="BK134" s="216">
        <f t="shared" si="56"/>
        <v>4.9845072510732464</v>
      </c>
      <c r="BL134" s="292">
        <f t="shared" si="48"/>
        <v>133.93557647937666</v>
      </c>
    </row>
    <row r="135" spans="32:66" x14ac:dyDescent="0.25">
      <c r="AF135" s="240">
        <f t="shared" si="31"/>
        <v>357000000</v>
      </c>
      <c r="AG135" s="21">
        <f t="shared" si="32"/>
        <v>17</v>
      </c>
      <c r="AH135" s="21">
        <v>17</v>
      </c>
      <c r="AI135" s="21" t="s">
        <v>407</v>
      </c>
      <c r="AJ135" s="21">
        <f t="shared" si="27"/>
        <v>200</v>
      </c>
      <c r="AK135" s="21">
        <f t="shared" si="28"/>
        <v>100</v>
      </c>
      <c r="AL135" s="217">
        <f t="shared" si="33"/>
        <v>0.1</v>
      </c>
      <c r="AM135" s="20">
        <f t="shared" si="34"/>
        <v>0.04</v>
      </c>
      <c r="AN135" s="226">
        <f t="shared" si="53"/>
        <v>0</v>
      </c>
      <c r="AO135" s="215">
        <f t="shared" si="36"/>
        <v>0.10400000000000001</v>
      </c>
      <c r="AP135" s="239">
        <f t="shared" si="37"/>
        <v>8.6363636363636367</v>
      </c>
      <c r="AQ135" s="103"/>
      <c r="AR135" s="287">
        <f t="shared" si="29"/>
        <v>8.7403636363636359</v>
      </c>
      <c r="AS135" s="216">
        <f t="shared" ref="AS135:BK135" si="57">$AR$135/POWER(1+($B$10/100),AS117-2024)</f>
        <v>8.4857899382171222</v>
      </c>
      <c r="AT135" s="216">
        <f t="shared" si="57"/>
        <v>8.2386310079777889</v>
      </c>
      <c r="AU135" s="216">
        <f t="shared" si="57"/>
        <v>7.9986708815318339</v>
      </c>
      <c r="AV135" s="216">
        <f t="shared" si="57"/>
        <v>7.7656998849823635</v>
      </c>
      <c r="AW135" s="216">
        <f t="shared" si="57"/>
        <v>7.5395144514391879</v>
      </c>
      <c r="AX135" s="216">
        <f t="shared" si="57"/>
        <v>7.3199169431448423</v>
      </c>
      <c r="AY135" s="216">
        <f t="shared" si="57"/>
        <v>7.1067154787813998</v>
      </c>
      <c r="AZ135" s="216">
        <f t="shared" si="57"/>
        <v>6.8997237658071855</v>
      </c>
      <c r="BA135" s="216">
        <f t="shared" si="57"/>
        <v>6.6987609376768784</v>
      </c>
      <c r="BB135" s="216">
        <f t="shared" si="57"/>
        <v>6.5036513958027946</v>
      </c>
      <c r="BC135" s="216">
        <f t="shared" si="57"/>
        <v>6.3142246561192179</v>
      </c>
      <c r="BD135" s="216">
        <f t="shared" si="57"/>
        <v>6.1303152001157466</v>
      </c>
      <c r="BE135" s="216">
        <f t="shared" si="57"/>
        <v>5.9517623302094629</v>
      </c>
      <c r="BF135" s="216">
        <f t="shared" si="57"/>
        <v>5.7784100293295753</v>
      </c>
      <c r="BG135" s="216">
        <f t="shared" si="57"/>
        <v>5.6101068245918198</v>
      </c>
      <c r="BH135" s="216">
        <f t="shared" si="57"/>
        <v>5.446705654943516</v>
      </c>
      <c r="BI135" s="216">
        <f t="shared" si="57"/>
        <v>5.2880637426636072</v>
      </c>
      <c r="BJ135" s="216">
        <f t="shared" si="57"/>
        <v>5.1340424686054442</v>
      </c>
      <c r="BK135" s="216">
        <f t="shared" si="57"/>
        <v>4.9845072510732464</v>
      </c>
      <c r="BL135" s="292">
        <f t="shared" si="48"/>
        <v>133.93557647937666</v>
      </c>
    </row>
    <row r="136" spans="32:66" x14ac:dyDescent="0.25">
      <c r="AF136" s="240">
        <f t="shared" si="31"/>
        <v>378000000</v>
      </c>
      <c r="AG136" s="21">
        <f t="shared" si="32"/>
        <v>18</v>
      </c>
      <c r="AH136" s="21">
        <v>18</v>
      </c>
      <c r="AI136" s="21" t="s">
        <v>407</v>
      </c>
      <c r="AJ136" s="21">
        <f t="shared" si="27"/>
        <v>200</v>
      </c>
      <c r="AK136" s="21">
        <f t="shared" si="28"/>
        <v>100</v>
      </c>
      <c r="AL136" s="217">
        <f t="shared" si="33"/>
        <v>0.1</v>
      </c>
      <c r="AM136" s="20">
        <f t="shared" si="34"/>
        <v>0.04</v>
      </c>
      <c r="AN136" s="226">
        <f t="shared" si="53"/>
        <v>0</v>
      </c>
      <c r="AO136" s="215">
        <f t="shared" si="36"/>
        <v>0.10400000000000001</v>
      </c>
      <c r="AP136" s="239">
        <f t="shared" si="37"/>
        <v>8.6363636363636367</v>
      </c>
      <c r="AQ136" s="103"/>
      <c r="AR136" s="287">
        <f t="shared" si="29"/>
        <v>8.7403636363636359</v>
      </c>
      <c r="AS136" s="216">
        <f t="shared" ref="AS136:BK136" si="58">$AR$136/POWER(1+($B$10/100),AS117-2024)</f>
        <v>8.4857899382171222</v>
      </c>
      <c r="AT136" s="216">
        <f t="shared" si="58"/>
        <v>8.2386310079777889</v>
      </c>
      <c r="AU136" s="216">
        <f t="shared" si="58"/>
        <v>7.9986708815318339</v>
      </c>
      <c r="AV136" s="216">
        <f t="shared" si="58"/>
        <v>7.7656998849823635</v>
      </c>
      <c r="AW136" s="216">
        <f t="shared" si="58"/>
        <v>7.5395144514391879</v>
      </c>
      <c r="AX136" s="216">
        <f t="shared" si="58"/>
        <v>7.3199169431448423</v>
      </c>
      <c r="AY136" s="216">
        <f t="shared" si="58"/>
        <v>7.1067154787813998</v>
      </c>
      <c r="AZ136" s="216">
        <f t="shared" si="58"/>
        <v>6.8997237658071855</v>
      </c>
      <c r="BA136" s="216">
        <f t="shared" si="58"/>
        <v>6.6987609376768784</v>
      </c>
      <c r="BB136" s="216">
        <f t="shared" si="58"/>
        <v>6.5036513958027946</v>
      </c>
      <c r="BC136" s="216">
        <f t="shared" si="58"/>
        <v>6.3142246561192179</v>
      </c>
      <c r="BD136" s="216">
        <f t="shared" si="58"/>
        <v>6.1303152001157466</v>
      </c>
      <c r="BE136" s="216">
        <f t="shared" si="58"/>
        <v>5.9517623302094629</v>
      </c>
      <c r="BF136" s="216">
        <f t="shared" si="58"/>
        <v>5.7784100293295753</v>
      </c>
      <c r="BG136" s="216">
        <f t="shared" si="58"/>
        <v>5.6101068245918198</v>
      </c>
      <c r="BH136" s="216">
        <f t="shared" si="58"/>
        <v>5.446705654943516</v>
      </c>
      <c r="BI136" s="216">
        <f t="shared" si="58"/>
        <v>5.2880637426636072</v>
      </c>
      <c r="BJ136" s="216">
        <f t="shared" si="58"/>
        <v>5.1340424686054442</v>
      </c>
      <c r="BK136" s="216">
        <f t="shared" si="58"/>
        <v>4.9845072510732464</v>
      </c>
      <c r="BL136" s="292">
        <f t="shared" si="48"/>
        <v>133.93557647937666</v>
      </c>
    </row>
    <row r="137" spans="32:66" ht="14.4" x14ac:dyDescent="0.3">
      <c r="AF137" s="240">
        <f t="shared" si="31"/>
        <v>399000000</v>
      </c>
      <c r="AG137" s="21">
        <f t="shared" si="32"/>
        <v>19</v>
      </c>
      <c r="AH137" s="21">
        <v>19</v>
      </c>
      <c r="AI137" s="21" t="s">
        <v>407</v>
      </c>
      <c r="AJ137" s="21">
        <f t="shared" si="27"/>
        <v>200</v>
      </c>
      <c r="AK137" s="21">
        <f t="shared" si="28"/>
        <v>100</v>
      </c>
      <c r="AL137" s="217">
        <f t="shared" si="33"/>
        <v>0.1</v>
      </c>
      <c r="AM137" s="20">
        <f t="shared" si="34"/>
        <v>0.04</v>
      </c>
      <c r="AN137" s="226">
        <f t="shared" si="53"/>
        <v>0</v>
      </c>
      <c r="AO137" s="215">
        <f t="shared" si="36"/>
        <v>0.10400000000000001</v>
      </c>
      <c r="AP137" s="239">
        <f t="shared" si="37"/>
        <v>8.6363636363636367</v>
      </c>
      <c r="AQ137" s="103"/>
      <c r="AR137" s="287">
        <f t="shared" si="29"/>
        <v>8.7403636363636359</v>
      </c>
      <c r="AS137" s="216">
        <f t="shared" ref="AS137:BK137" si="59">$AR$137/POWER(1+($B$10/100),AS117-2024)</f>
        <v>8.4857899382171222</v>
      </c>
      <c r="AT137" s="216">
        <f t="shared" si="59"/>
        <v>8.2386310079777889</v>
      </c>
      <c r="AU137" s="216">
        <f t="shared" si="59"/>
        <v>7.9986708815318339</v>
      </c>
      <c r="AV137" s="216">
        <f t="shared" si="59"/>
        <v>7.7656998849823635</v>
      </c>
      <c r="AW137" s="216">
        <f t="shared" si="59"/>
        <v>7.5395144514391879</v>
      </c>
      <c r="AX137" s="216">
        <f t="shared" si="59"/>
        <v>7.3199169431448423</v>
      </c>
      <c r="AY137" s="216">
        <f t="shared" si="59"/>
        <v>7.1067154787813998</v>
      </c>
      <c r="AZ137" s="216">
        <f t="shared" si="59"/>
        <v>6.8997237658071855</v>
      </c>
      <c r="BA137" s="216">
        <f t="shared" si="59"/>
        <v>6.6987609376768784</v>
      </c>
      <c r="BB137" s="216">
        <f t="shared" si="59"/>
        <v>6.5036513958027946</v>
      </c>
      <c r="BC137" s="216">
        <f t="shared" si="59"/>
        <v>6.3142246561192179</v>
      </c>
      <c r="BD137" s="216">
        <f t="shared" si="59"/>
        <v>6.1303152001157466</v>
      </c>
      <c r="BE137" s="216">
        <f t="shared" si="59"/>
        <v>5.9517623302094629</v>
      </c>
      <c r="BF137" s="216">
        <f t="shared" si="59"/>
        <v>5.7784100293295753</v>
      </c>
      <c r="BG137" s="216">
        <f t="shared" si="59"/>
        <v>5.6101068245918198</v>
      </c>
      <c r="BH137" s="216">
        <f t="shared" si="59"/>
        <v>5.446705654943516</v>
      </c>
      <c r="BI137" s="216">
        <f t="shared" si="59"/>
        <v>5.2880637426636072</v>
      </c>
      <c r="BJ137" s="216">
        <f t="shared" si="59"/>
        <v>5.1340424686054442</v>
      </c>
      <c r="BK137" s="216">
        <f t="shared" si="59"/>
        <v>4.9845072510732464</v>
      </c>
      <c r="BL137" s="292">
        <f t="shared" si="48"/>
        <v>133.93557647937666</v>
      </c>
      <c r="BN137"/>
    </row>
    <row r="138" spans="32:66" ht="14.4" x14ac:dyDescent="0.3">
      <c r="AF138" s="240">
        <f t="shared" si="31"/>
        <v>420000000</v>
      </c>
      <c r="AG138" s="21">
        <f t="shared" si="32"/>
        <v>20</v>
      </c>
      <c r="AH138" s="21">
        <v>20</v>
      </c>
      <c r="AI138" s="21" t="s">
        <v>407</v>
      </c>
      <c r="AJ138" s="21">
        <f t="shared" si="27"/>
        <v>200</v>
      </c>
      <c r="AK138" s="21">
        <f t="shared" si="28"/>
        <v>100</v>
      </c>
      <c r="AL138" s="217">
        <f t="shared" si="33"/>
        <v>0.1</v>
      </c>
      <c r="AM138" s="20">
        <f t="shared" si="34"/>
        <v>0.04</v>
      </c>
      <c r="AN138" s="226">
        <f t="shared" si="53"/>
        <v>0</v>
      </c>
      <c r="AO138" s="215">
        <f t="shared" si="36"/>
        <v>0.10400000000000001</v>
      </c>
      <c r="AP138" s="239">
        <f t="shared" si="37"/>
        <v>8.6363636363636367</v>
      </c>
      <c r="AQ138"/>
      <c r="AR138" s="287">
        <f t="shared" si="29"/>
        <v>8.7403636363636359</v>
      </c>
      <c r="AS138" s="216">
        <f t="shared" ref="AS138:AX147" si="60">$AR138/POWER(1+($B$10/100),AS$117-2024)</f>
        <v>8.4857899382171222</v>
      </c>
      <c r="AT138" s="216">
        <f t="shared" si="60"/>
        <v>8.2386310079777889</v>
      </c>
      <c r="AU138" s="216">
        <f t="shared" si="60"/>
        <v>7.9986708815318339</v>
      </c>
      <c r="AV138" s="216">
        <f t="shared" si="60"/>
        <v>7.7656998849823635</v>
      </c>
      <c r="AW138" s="216">
        <f t="shared" si="60"/>
        <v>7.5395144514391879</v>
      </c>
      <c r="AX138" s="216">
        <f t="shared" si="60"/>
        <v>7.3199169431448423</v>
      </c>
      <c r="AY138" s="216">
        <f t="shared" ref="AY138:BK138" si="61">$AR$138/POWER(1+($B$10/100),AY117-2024)</f>
        <v>7.1067154787813998</v>
      </c>
      <c r="AZ138" s="216">
        <f t="shared" si="61"/>
        <v>6.8997237658071855</v>
      </c>
      <c r="BA138" s="216">
        <f t="shared" si="61"/>
        <v>6.6987609376768784</v>
      </c>
      <c r="BB138" s="216">
        <f t="shared" si="61"/>
        <v>6.5036513958027946</v>
      </c>
      <c r="BC138" s="216">
        <f t="shared" si="61"/>
        <v>6.3142246561192179</v>
      </c>
      <c r="BD138" s="216">
        <f t="shared" si="61"/>
        <v>6.1303152001157466</v>
      </c>
      <c r="BE138" s="216">
        <f t="shared" si="61"/>
        <v>5.9517623302094629</v>
      </c>
      <c r="BF138" s="216">
        <f t="shared" si="61"/>
        <v>5.7784100293295753</v>
      </c>
      <c r="BG138" s="216">
        <f t="shared" si="61"/>
        <v>5.6101068245918198</v>
      </c>
      <c r="BH138" s="216">
        <f t="shared" si="61"/>
        <v>5.446705654943516</v>
      </c>
      <c r="BI138" s="216">
        <f t="shared" si="61"/>
        <v>5.2880637426636072</v>
      </c>
      <c r="BJ138" s="216">
        <f t="shared" si="61"/>
        <v>5.1340424686054442</v>
      </c>
      <c r="BK138" s="216">
        <f t="shared" si="61"/>
        <v>4.9845072510732464</v>
      </c>
      <c r="BL138" s="292">
        <f t="shared" si="48"/>
        <v>133.93557647937666</v>
      </c>
      <c r="BN138"/>
    </row>
    <row r="139" spans="32:66" ht="14.4" x14ac:dyDescent="0.3">
      <c r="AF139" s="240">
        <f t="shared" ref="AF139:AG139" si="62">AF83</f>
        <v>441000000</v>
      </c>
      <c r="AG139" s="21">
        <f t="shared" si="62"/>
        <v>21</v>
      </c>
      <c r="AH139" s="21">
        <v>21</v>
      </c>
      <c r="AI139" s="21" t="s">
        <v>407</v>
      </c>
      <c r="AJ139" s="21">
        <f t="shared" ref="AJ139:AJ170" si="63">AJ83*$B$3</f>
        <v>200</v>
      </c>
      <c r="AK139" s="21">
        <f t="shared" ref="AK139:AK170" si="64">AK83*$B$4</f>
        <v>100</v>
      </c>
      <c r="AL139" s="217">
        <f t="shared" ref="AL139:AL170" si="65">AL83*$B$5</f>
        <v>0.1</v>
      </c>
      <c r="AM139" s="20">
        <f t="shared" ref="AM139:AM170" si="66">AM83*$B$6</f>
        <v>0.04</v>
      </c>
      <c r="AN139" s="226">
        <f t="shared" si="53"/>
        <v>0</v>
      </c>
      <c r="AO139" s="215">
        <f t="shared" ref="AO139:AO170" si="67">(AL83*$B$5)+(AM83*$B$6)*(AO83/100)</f>
        <v>0.10400000000000001</v>
      </c>
      <c r="AP139" s="239">
        <f t="shared" ref="AP139:AP170" si="68">AP83*$B$9</f>
        <v>8.6363636363636367</v>
      </c>
      <c r="AR139" s="287">
        <f t="shared" si="29"/>
        <v>8.7403636363636359</v>
      </c>
      <c r="AS139" s="216">
        <f t="shared" si="60"/>
        <v>8.4857899382171222</v>
      </c>
      <c r="AT139" s="216">
        <f t="shared" si="60"/>
        <v>8.2386310079777889</v>
      </c>
      <c r="AU139" s="216">
        <f t="shared" si="60"/>
        <v>7.9986708815318339</v>
      </c>
      <c r="AV139" s="216">
        <f t="shared" si="60"/>
        <v>7.7656998849823635</v>
      </c>
      <c r="AW139" s="216">
        <f t="shared" si="60"/>
        <v>7.5395144514391879</v>
      </c>
      <c r="AX139" s="216">
        <f t="shared" si="60"/>
        <v>7.3199169431448423</v>
      </c>
      <c r="AY139" s="216">
        <f t="shared" ref="AY139:BK148" si="69">$AR139/POWER(1+($B$10/100),AY$117-2024)</f>
        <v>7.1067154787813998</v>
      </c>
      <c r="AZ139" s="216">
        <f t="shared" si="69"/>
        <v>6.8997237658071855</v>
      </c>
      <c r="BA139" s="216">
        <f t="shared" si="69"/>
        <v>6.6987609376768784</v>
      </c>
      <c r="BB139" s="216">
        <f t="shared" si="69"/>
        <v>6.5036513958027946</v>
      </c>
      <c r="BC139" s="216">
        <f t="shared" si="69"/>
        <v>6.3142246561192179</v>
      </c>
      <c r="BD139" s="216">
        <f t="shared" si="69"/>
        <v>6.1303152001157466</v>
      </c>
      <c r="BE139" s="216">
        <f t="shared" si="69"/>
        <v>5.9517623302094629</v>
      </c>
      <c r="BF139" s="216">
        <f t="shared" si="69"/>
        <v>5.7784100293295753</v>
      </c>
      <c r="BG139" s="216">
        <f t="shared" si="69"/>
        <v>5.6101068245918198</v>
      </c>
      <c r="BH139" s="216">
        <f t="shared" si="69"/>
        <v>5.446705654943516</v>
      </c>
      <c r="BI139" s="216">
        <f t="shared" si="69"/>
        <v>5.2880637426636072</v>
      </c>
      <c r="BJ139" s="216">
        <f t="shared" si="69"/>
        <v>5.1340424686054442</v>
      </c>
      <c r="BK139" s="216">
        <f t="shared" si="69"/>
        <v>4.9845072510732464</v>
      </c>
      <c r="BL139" s="292">
        <f t="shared" si="48"/>
        <v>133.93557647937666</v>
      </c>
      <c r="BM139" s="145"/>
      <c r="BN139"/>
    </row>
    <row r="140" spans="32:66" ht="14.4" x14ac:dyDescent="0.3">
      <c r="AF140" s="240">
        <f t="shared" ref="AF140:AF159" si="70">AF25</f>
        <v>462000000</v>
      </c>
      <c r="AG140" s="21">
        <f t="shared" ref="AG140:AG170" si="71">AG84</f>
        <v>22</v>
      </c>
      <c r="AH140" s="21">
        <v>22</v>
      </c>
      <c r="AI140" s="21" t="s">
        <v>407</v>
      </c>
      <c r="AJ140" s="21">
        <f t="shared" si="63"/>
        <v>200</v>
      </c>
      <c r="AK140" s="21">
        <f t="shared" si="64"/>
        <v>100</v>
      </c>
      <c r="AL140" s="217">
        <f t="shared" si="65"/>
        <v>0.1</v>
      </c>
      <c r="AM140" s="20">
        <f t="shared" si="66"/>
        <v>0.04</v>
      </c>
      <c r="AN140" s="226">
        <f t="shared" si="53"/>
        <v>0</v>
      </c>
      <c r="AO140" s="215">
        <f t="shared" si="67"/>
        <v>0.10400000000000001</v>
      </c>
      <c r="AP140" s="239">
        <f t="shared" si="68"/>
        <v>8.6363636363636367</v>
      </c>
      <c r="AR140" s="287">
        <f>(AN140+AO140+AP140)</f>
        <v>8.7403636363636359</v>
      </c>
      <c r="AS140" s="216">
        <f t="shared" si="60"/>
        <v>8.4857899382171222</v>
      </c>
      <c r="AT140" s="216">
        <f t="shared" si="60"/>
        <v>8.2386310079777889</v>
      </c>
      <c r="AU140" s="216">
        <f t="shared" si="60"/>
        <v>7.9986708815318339</v>
      </c>
      <c r="AV140" s="216">
        <f t="shared" si="60"/>
        <v>7.7656998849823635</v>
      </c>
      <c r="AW140" s="216">
        <f t="shared" si="60"/>
        <v>7.5395144514391879</v>
      </c>
      <c r="AX140" s="216">
        <f t="shared" si="60"/>
        <v>7.3199169431448423</v>
      </c>
      <c r="AY140" s="216">
        <f t="shared" si="69"/>
        <v>7.1067154787813998</v>
      </c>
      <c r="AZ140" s="216">
        <f t="shared" si="69"/>
        <v>6.8997237658071855</v>
      </c>
      <c r="BA140" s="216">
        <f t="shared" si="69"/>
        <v>6.6987609376768784</v>
      </c>
      <c r="BB140" s="216">
        <f t="shared" si="69"/>
        <v>6.5036513958027946</v>
      </c>
      <c r="BC140" s="216">
        <f t="shared" si="69"/>
        <v>6.3142246561192179</v>
      </c>
      <c r="BD140" s="216">
        <f t="shared" si="69"/>
        <v>6.1303152001157466</v>
      </c>
      <c r="BE140" s="216">
        <f t="shared" si="69"/>
        <v>5.9517623302094629</v>
      </c>
      <c r="BF140" s="216">
        <f t="shared" si="69"/>
        <v>5.7784100293295753</v>
      </c>
      <c r="BG140" s="216">
        <f t="shared" si="69"/>
        <v>5.6101068245918198</v>
      </c>
      <c r="BH140" s="216">
        <f t="shared" si="69"/>
        <v>5.446705654943516</v>
      </c>
      <c r="BI140" s="216">
        <f t="shared" si="69"/>
        <v>5.2880637426636072</v>
      </c>
      <c r="BJ140" s="216">
        <f t="shared" si="69"/>
        <v>5.1340424686054442</v>
      </c>
      <c r="BK140" s="216">
        <f t="shared" si="69"/>
        <v>4.9845072510732464</v>
      </c>
      <c r="BL140" s="292">
        <f t="shared" si="48"/>
        <v>133.93557647937666</v>
      </c>
      <c r="BM140" s="145"/>
      <c r="BN140"/>
    </row>
    <row r="141" spans="32:66" ht="14.4" x14ac:dyDescent="0.3">
      <c r="AF141" s="240">
        <f t="shared" si="70"/>
        <v>483000000</v>
      </c>
      <c r="AG141" s="21">
        <f t="shared" si="71"/>
        <v>23</v>
      </c>
      <c r="AH141" s="21">
        <v>23</v>
      </c>
      <c r="AI141" s="21" t="s">
        <v>407</v>
      </c>
      <c r="AJ141" s="21">
        <f t="shared" si="63"/>
        <v>200</v>
      </c>
      <c r="AK141" s="21">
        <f t="shared" si="64"/>
        <v>100</v>
      </c>
      <c r="AL141" s="217">
        <f t="shared" si="65"/>
        <v>0.1</v>
      </c>
      <c r="AM141" s="20">
        <f t="shared" si="66"/>
        <v>0.04</v>
      </c>
      <c r="AN141" s="226">
        <f t="shared" si="53"/>
        <v>0</v>
      </c>
      <c r="AO141" s="215">
        <f t="shared" si="67"/>
        <v>0.10400000000000001</v>
      </c>
      <c r="AP141" s="239">
        <f t="shared" si="68"/>
        <v>8.6363636363636367</v>
      </c>
      <c r="AR141" s="287">
        <f>(AN141+AO141+AP141)</f>
        <v>8.7403636363636359</v>
      </c>
      <c r="AS141" s="216">
        <f t="shared" si="60"/>
        <v>8.4857899382171222</v>
      </c>
      <c r="AT141" s="216">
        <f t="shared" si="60"/>
        <v>8.2386310079777889</v>
      </c>
      <c r="AU141" s="216">
        <f t="shared" si="60"/>
        <v>7.9986708815318339</v>
      </c>
      <c r="AV141" s="216">
        <f t="shared" si="60"/>
        <v>7.7656998849823635</v>
      </c>
      <c r="AW141" s="216">
        <f t="shared" si="60"/>
        <v>7.5395144514391879</v>
      </c>
      <c r="AX141" s="216">
        <f t="shared" si="60"/>
        <v>7.3199169431448423</v>
      </c>
      <c r="AY141" s="216">
        <f t="shared" si="69"/>
        <v>7.1067154787813998</v>
      </c>
      <c r="AZ141" s="216">
        <f t="shared" si="69"/>
        <v>6.8997237658071855</v>
      </c>
      <c r="BA141" s="216">
        <f t="shared" si="69"/>
        <v>6.6987609376768784</v>
      </c>
      <c r="BB141" s="216">
        <f t="shared" si="69"/>
        <v>6.5036513958027946</v>
      </c>
      <c r="BC141" s="216">
        <f t="shared" si="69"/>
        <v>6.3142246561192179</v>
      </c>
      <c r="BD141" s="216">
        <f t="shared" si="69"/>
        <v>6.1303152001157466</v>
      </c>
      <c r="BE141" s="216">
        <f t="shared" si="69"/>
        <v>5.9517623302094629</v>
      </c>
      <c r="BF141" s="216">
        <f t="shared" si="69"/>
        <v>5.7784100293295753</v>
      </c>
      <c r="BG141" s="216">
        <f t="shared" si="69"/>
        <v>5.6101068245918198</v>
      </c>
      <c r="BH141" s="216">
        <f t="shared" si="69"/>
        <v>5.446705654943516</v>
      </c>
      <c r="BI141" s="216">
        <f t="shared" si="69"/>
        <v>5.2880637426636072</v>
      </c>
      <c r="BJ141" s="216">
        <f t="shared" si="69"/>
        <v>5.1340424686054442</v>
      </c>
      <c r="BK141" s="216">
        <f t="shared" si="69"/>
        <v>4.9845072510732464</v>
      </c>
      <c r="BL141" s="292">
        <f t="shared" si="48"/>
        <v>133.93557647937666</v>
      </c>
      <c r="BM141" s="145"/>
      <c r="BN141"/>
    </row>
    <row r="142" spans="32:66" ht="14.4" x14ac:dyDescent="0.3">
      <c r="AF142" s="240">
        <f t="shared" si="70"/>
        <v>504000000</v>
      </c>
      <c r="AG142" s="21">
        <f t="shared" si="71"/>
        <v>24</v>
      </c>
      <c r="AH142" s="21">
        <v>24</v>
      </c>
      <c r="AI142" s="21" t="s">
        <v>407</v>
      </c>
      <c r="AJ142" s="21">
        <f t="shared" si="63"/>
        <v>200</v>
      </c>
      <c r="AK142" s="21">
        <f t="shared" si="64"/>
        <v>100</v>
      </c>
      <c r="AL142" s="217">
        <f t="shared" si="65"/>
        <v>0.1</v>
      </c>
      <c r="AM142" s="20">
        <f t="shared" si="66"/>
        <v>0.04</v>
      </c>
      <c r="AN142" s="226">
        <f t="shared" si="53"/>
        <v>0</v>
      </c>
      <c r="AO142" s="215">
        <f t="shared" si="67"/>
        <v>0.10400000000000001</v>
      </c>
      <c r="AP142" s="239">
        <f t="shared" si="68"/>
        <v>8.6363636363636367</v>
      </c>
      <c r="AR142" s="287">
        <f>(AN142+AO142+AP142)</f>
        <v>8.7403636363636359</v>
      </c>
      <c r="AS142" s="216">
        <f t="shared" si="60"/>
        <v>8.4857899382171222</v>
      </c>
      <c r="AT142" s="216">
        <f t="shared" si="60"/>
        <v>8.2386310079777889</v>
      </c>
      <c r="AU142" s="216">
        <f t="shared" si="60"/>
        <v>7.9986708815318339</v>
      </c>
      <c r="AV142" s="216">
        <f t="shared" si="60"/>
        <v>7.7656998849823635</v>
      </c>
      <c r="AW142" s="216">
        <f t="shared" si="60"/>
        <v>7.5395144514391879</v>
      </c>
      <c r="AX142" s="216">
        <f t="shared" si="60"/>
        <v>7.3199169431448423</v>
      </c>
      <c r="AY142" s="216">
        <f t="shared" si="69"/>
        <v>7.1067154787813998</v>
      </c>
      <c r="AZ142" s="216">
        <f t="shared" si="69"/>
        <v>6.8997237658071855</v>
      </c>
      <c r="BA142" s="216">
        <f t="shared" si="69"/>
        <v>6.6987609376768784</v>
      </c>
      <c r="BB142" s="216">
        <f t="shared" si="69"/>
        <v>6.5036513958027946</v>
      </c>
      <c r="BC142" s="216">
        <f t="shared" si="69"/>
        <v>6.3142246561192179</v>
      </c>
      <c r="BD142" s="216">
        <f t="shared" si="69"/>
        <v>6.1303152001157466</v>
      </c>
      <c r="BE142" s="216">
        <f t="shared" si="69"/>
        <v>5.9517623302094629</v>
      </c>
      <c r="BF142" s="216">
        <f t="shared" si="69"/>
        <v>5.7784100293295753</v>
      </c>
      <c r="BG142" s="216">
        <f t="shared" si="69"/>
        <v>5.6101068245918198</v>
      </c>
      <c r="BH142" s="216">
        <f t="shared" si="69"/>
        <v>5.446705654943516</v>
      </c>
      <c r="BI142" s="216">
        <f t="shared" si="69"/>
        <v>5.2880637426636072</v>
      </c>
      <c r="BJ142" s="216">
        <f t="shared" si="69"/>
        <v>5.1340424686054442</v>
      </c>
      <c r="BK142" s="216">
        <f t="shared" si="69"/>
        <v>4.9845072510732464</v>
      </c>
      <c r="BL142" s="292">
        <f t="shared" si="48"/>
        <v>133.93557647937666</v>
      </c>
      <c r="BM142" s="145"/>
      <c r="BN142"/>
    </row>
    <row r="143" spans="32:66" ht="14.4" x14ac:dyDescent="0.3">
      <c r="AF143" s="240">
        <f t="shared" si="70"/>
        <v>525000000</v>
      </c>
      <c r="AG143" s="21">
        <f t="shared" si="71"/>
        <v>25</v>
      </c>
      <c r="AH143" s="21">
        <v>25</v>
      </c>
      <c r="AI143" s="21" t="s">
        <v>407</v>
      </c>
      <c r="AJ143" s="21">
        <f t="shared" si="63"/>
        <v>200</v>
      </c>
      <c r="AK143" s="21">
        <f t="shared" si="64"/>
        <v>100</v>
      </c>
      <c r="AL143" s="217">
        <f t="shared" si="65"/>
        <v>0.1</v>
      </c>
      <c r="AM143" s="20">
        <f t="shared" si="66"/>
        <v>0.04</v>
      </c>
      <c r="AN143" s="226">
        <f t="shared" si="53"/>
        <v>0</v>
      </c>
      <c r="AO143" s="215">
        <f t="shared" si="67"/>
        <v>0.10400000000000001</v>
      </c>
      <c r="AP143" s="239">
        <f t="shared" si="68"/>
        <v>8.6363636363636367</v>
      </c>
      <c r="AR143" s="287">
        <f t="shared" si="29"/>
        <v>8.7403636363636359</v>
      </c>
      <c r="AS143" s="216">
        <f t="shared" si="60"/>
        <v>8.4857899382171222</v>
      </c>
      <c r="AT143" s="216">
        <f t="shared" si="60"/>
        <v>8.2386310079777889</v>
      </c>
      <c r="AU143" s="216">
        <f t="shared" si="60"/>
        <v>7.9986708815318339</v>
      </c>
      <c r="AV143" s="216">
        <f t="shared" si="60"/>
        <v>7.7656998849823635</v>
      </c>
      <c r="AW143" s="216">
        <f t="shared" si="60"/>
        <v>7.5395144514391879</v>
      </c>
      <c r="AX143" s="216">
        <f t="shared" si="60"/>
        <v>7.3199169431448423</v>
      </c>
      <c r="AY143" s="216">
        <f t="shared" si="69"/>
        <v>7.1067154787813998</v>
      </c>
      <c r="AZ143" s="216">
        <f t="shared" si="69"/>
        <v>6.8997237658071855</v>
      </c>
      <c r="BA143" s="216">
        <f t="shared" si="69"/>
        <v>6.6987609376768784</v>
      </c>
      <c r="BB143" s="216">
        <f t="shared" si="69"/>
        <v>6.5036513958027946</v>
      </c>
      <c r="BC143" s="216">
        <f t="shared" si="69"/>
        <v>6.3142246561192179</v>
      </c>
      <c r="BD143" s="216">
        <f t="shared" si="69"/>
        <v>6.1303152001157466</v>
      </c>
      <c r="BE143" s="216">
        <f t="shared" si="69"/>
        <v>5.9517623302094629</v>
      </c>
      <c r="BF143" s="216">
        <f t="shared" si="69"/>
        <v>5.7784100293295753</v>
      </c>
      <c r="BG143" s="216">
        <f t="shared" si="69"/>
        <v>5.6101068245918198</v>
      </c>
      <c r="BH143" s="216">
        <f t="shared" si="69"/>
        <v>5.446705654943516</v>
      </c>
      <c r="BI143" s="216">
        <f t="shared" si="69"/>
        <v>5.2880637426636072</v>
      </c>
      <c r="BJ143" s="216">
        <f t="shared" si="69"/>
        <v>5.1340424686054442</v>
      </c>
      <c r="BK143" s="216">
        <f t="shared" si="69"/>
        <v>4.9845072510732464</v>
      </c>
      <c r="BL143" s="292">
        <f t="shared" si="48"/>
        <v>133.93557647937666</v>
      </c>
      <c r="BM143" s="145"/>
      <c r="BN143" s="145"/>
    </row>
    <row r="144" spans="32:66" ht="14.4" x14ac:dyDescent="0.3">
      <c r="AF144" s="240">
        <f t="shared" si="70"/>
        <v>546000000</v>
      </c>
      <c r="AG144" s="21">
        <f t="shared" si="71"/>
        <v>26</v>
      </c>
      <c r="AH144" s="21">
        <v>26</v>
      </c>
      <c r="AI144" s="21" t="s">
        <v>407</v>
      </c>
      <c r="AJ144" s="21">
        <f t="shared" si="63"/>
        <v>200</v>
      </c>
      <c r="AK144" s="21">
        <f t="shared" si="64"/>
        <v>100</v>
      </c>
      <c r="AL144" s="217">
        <f t="shared" si="65"/>
        <v>0.1</v>
      </c>
      <c r="AM144" s="20">
        <f t="shared" si="66"/>
        <v>0.04</v>
      </c>
      <c r="AN144" s="226">
        <f t="shared" si="53"/>
        <v>0</v>
      </c>
      <c r="AO144" s="215">
        <f t="shared" si="67"/>
        <v>0.10400000000000001</v>
      </c>
      <c r="AP144" s="239">
        <f t="shared" si="68"/>
        <v>8.6363636363636367</v>
      </c>
      <c r="AR144" s="287">
        <f t="shared" si="29"/>
        <v>8.7403636363636359</v>
      </c>
      <c r="AS144" s="216">
        <f t="shared" si="60"/>
        <v>8.4857899382171222</v>
      </c>
      <c r="AT144" s="216">
        <f t="shared" si="60"/>
        <v>8.2386310079777889</v>
      </c>
      <c r="AU144" s="216">
        <f t="shared" si="60"/>
        <v>7.9986708815318339</v>
      </c>
      <c r="AV144" s="216">
        <f t="shared" si="60"/>
        <v>7.7656998849823635</v>
      </c>
      <c r="AW144" s="216">
        <f t="shared" si="60"/>
        <v>7.5395144514391879</v>
      </c>
      <c r="AX144" s="216">
        <f t="shared" si="60"/>
        <v>7.3199169431448423</v>
      </c>
      <c r="AY144" s="216">
        <f t="shared" si="69"/>
        <v>7.1067154787813998</v>
      </c>
      <c r="AZ144" s="216">
        <f t="shared" si="69"/>
        <v>6.8997237658071855</v>
      </c>
      <c r="BA144" s="216">
        <f t="shared" si="69"/>
        <v>6.6987609376768784</v>
      </c>
      <c r="BB144" s="216">
        <f t="shared" si="69"/>
        <v>6.5036513958027946</v>
      </c>
      <c r="BC144" s="216">
        <f t="shared" si="69"/>
        <v>6.3142246561192179</v>
      </c>
      <c r="BD144" s="216">
        <f t="shared" si="69"/>
        <v>6.1303152001157466</v>
      </c>
      <c r="BE144" s="216">
        <f t="shared" si="69"/>
        <v>5.9517623302094629</v>
      </c>
      <c r="BF144" s="216">
        <f t="shared" si="69"/>
        <v>5.7784100293295753</v>
      </c>
      <c r="BG144" s="216">
        <f t="shared" si="69"/>
        <v>5.6101068245918198</v>
      </c>
      <c r="BH144" s="216">
        <f t="shared" si="69"/>
        <v>5.446705654943516</v>
      </c>
      <c r="BI144" s="216">
        <f t="shared" si="69"/>
        <v>5.2880637426636072</v>
      </c>
      <c r="BJ144" s="216">
        <f t="shared" si="69"/>
        <v>5.1340424686054442</v>
      </c>
      <c r="BK144" s="216">
        <f t="shared" si="69"/>
        <v>4.9845072510732464</v>
      </c>
      <c r="BL144" s="292">
        <f t="shared" si="48"/>
        <v>133.93557647937666</v>
      </c>
      <c r="BM144" s="145"/>
      <c r="BN144" s="145"/>
    </row>
    <row r="145" spans="32:66" ht="14.4" x14ac:dyDescent="0.3">
      <c r="AF145" s="240">
        <f t="shared" si="70"/>
        <v>567000000</v>
      </c>
      <c r="AG145" s="21">
        <f t="shared" si="71"/>
        <v>27</v>
      </c>
      <c r="AH145" s="21">
        <v>27</v>
      </c>
      <c r="AI145" s="21" t="s">
        <v>407</v>
      </c>
      <c r="AJ145" s="21">
        <f t="shared" si="63"/>
        <v>200</v>
      </c>
      <c r="AK145" s="21">
        <f t="shared" si="64"/>
        <v>100</v>
      </c>
      <c r="AL145" s="217">
        <f t="shared" si="65"/>
        <v>0.1</v>
      </c>
      <c r="AM145" s="20">
        <f t="shared" si="66"/>
        <v>0.04</v>
      </c>
      <c r="AN145" s="226">
        <f t="shared" si="53"/>
        <v>0</v>
      </c>
      <c r="AO145" s="215">
        <f t="shared" si="67"/>
        <v>0.10400000000000001</v>
      </c>
      <c r="AP145" s="239">
        <f t="shared" si="68"/>
        <v>8.6363636363636367</v>
      </c>
      <c r="AR145" s="287">
        <f t="shared" si="29"/>
        <v>8.7403636363636359</v>
      </c>
      <c r="AS145" s="216">
        <f t="shared" si="60"/>
        <v>8.4857899382171222</v>
      </c>
      <c r="AT145" s="216">
        <f t="shared" si="60"/>
        <v>8.2386310079777889</v>
      </c>
      <c r="AU145" s="216">
        <f t="shared" si="60"/>
        <v>7.9986708815318339</v>
      </c>
      <c r="AV145" s="216">
        <f t="shared" si="60"/>
        <v>7.7656998849823635</v>
      </c>
      <c r="AW145" s="216">
        <f t="shared" si="60"/>
        <v>7.5395144514391879</v>
      </c>
      <c r="AX145" s="216">
        <f t="shared" si="60"/>
        <v>7.3199169431448423</v>
      </c>
      <c r="AY145" s="216">
        <f t="shared" si="69"/>
        <v>7.1067154787813998</v>
      </c>
      <c r="AZ145" s="216">
        <f t="shared" si="69"/>
        <v>6.8997237658071855</v>
      </c>
      <c r="BA145" s="216">
        <f t="shared" si="69"/>
        <v>6.6987609376768784</v>
      </c>
      <c r="BB145" s="216">
        <f t="shared" si="69"/>
        <v>6.5036513958027946</v>
      </c>
      <c r="BC145" s="216">
        <f t="shared" si="69"/>
        <v>6.3142246561192179</v>
      </c>
      <c r="BD145" s="216">
        <f t="shared" si="69"/>
        <v>6.1303152001157466</v>
      </c>
      <c r="BE145" s="216">
        <f t="shared" si="69"/>
        <v>5.9517623302094629</v>
      </c>
      <c r="BF145" s="216">
        <f t="shared" si="69"/>
        <v>5.7784100293295753</v>
      </c>
      <c r="BG145" s="216">
        <f t="shared" si="69"/>
        <v>5.6101068245918198</v>
      </c>
      <c r="BH145" s="216">
        <f t="shared" si="69"/>
        <v>5.446705654943516</v>
      </c>
      <c r="BI145" s="216">
        <f t="shared" si="69"/>
        <v>5.2880637426636072</v>
      </c>
      <c r="BJ145" s="216">
        <f t="shared" si="69"/>
        <v>5.1340424686054442</v>
      </c>
      <c r="BK145" s="216">
        <f t="shared" si="69"/>
        <v>4.9845072510732464</v>
      </c>
      <c r="BL145" s="292">
        <f t="shared" si="48"/>
        <v>133.93557647937666</v>
      </c>
      <c r="BM145" s="145"/>
      <c r="BN145" s="145"/>
    </row>
    <row r="146" spans="32:66" ht="14.4" x14ac:dyDescent="0.3">
      <c r="AF146" s="240">
        <f t="shared" si="70"/>
        <v>588000000</v>
      </c>
      <c r="AG146" s="21">
        <f t="shared" si="71"/>
        <v>28</v>
      </c>
      <c r="AH146" s="21">
        <v>28</v>
      </c>
      <c r="AI146" s="21" t="s">
        <v>407</v>
      </c>
      <c r="AJ146" s="21">
        <f t="shared" si="63"/>
        <v>200</v>
      </c>
      <c r="AK146" s="21">
        <f t="shared" si="64"/>
        <v>100</v>
      </c>
      <c r="AL146" s="217">
        <f t="shared" si="65"/>
        <v>0.1</v>
      </c>
      <c r="AM146" s="20">
        <f t="shared" si="66"/>
        <v>0.04</v>
      </c>
      <c r="AN146" s="226">
        <f t="shared" si="53"/>
        <v>0</v>
      </c>
      <c r="AO146" s="215">
        <f t="shared" si="67"/>
        <v>0.10400000000000001</v>
      </c>
      <c r="AP146" s="239">
        <f t="shared" si="68"/>
        <v>8.6363636363636367</v>
      </c>
      <c r="AR146" s="287">
        <f t="shared" si="29"/>
        <v>8.7403636363636359</v>
      </c>
      <c r="AS146" s="216">
        <f t="shared" si="60"/>
        <v>8.4857899382171222</v>
      </c>
      <c r="AT146" s="216">
        <f t="shared" si="60"/>
        <v>8.2386310079777889</v>
      </c>
      <c r="AU146" s="216">
        <f t="shared" si="60"/>
        <v>7.9986708815318339</v>
      </c>
      <c r="AV146" s="216">
        <f t="shared" si="60"/>
        <v>7.7656998849823635</v>
      </c>
      <c r="AW146" s="216">
        <f t="shared" si="60"/>
        <v>7.5395144514391879</v>
      </c>
      <c r="AX146" s="216">
        <f t="shared" si="60"/>
        <v>7.3199169431448423</v>
      </c>
      <c r="AY146" s="216">
        <f t="shared" si="69"/>
        <v>7.1067154787813998</v>
      </c>
      <c r="AZ146" s="216">
        <f t="shared" si="69"/>
        <v>6.8997237658071855</v>
      </c>
      <c r="BA146" s="216">
        <f t="shared" si="69"/>
        <v>6.6987609376768784</v>
      </c>
      <c r="BB146" s="216">
        <f t="shared" si="69"/>
        <v>6.5036513958027946</v>
      </c>
      <c r="BC146" s="216">
        <f t="shared" si="69"/>
        <v>6.3142246561192179</v>
      </c>
      <c r="BD146" s="216">
        <f t="shared" si="69"/>
        <v>6.1303152001157466</v>
      </c>
      <c r="BE146" s="216">
        <f t="shared" si="69"/>
        <v>5.9517623302094629</v>
      </c>
      <c r="BF146" s="216">
        <f t="shared" si="69"/>
        <v>5.7784100293295753</v>
      </c>
      <c r="BG146" s="216">
        <f t="shared" si="69"/>
        <v>5.6101068245918198</v>
      </c>
      <c r="BH146" s="216">
        <f t="shared" si="69"/>
        <v>5.446705654943516</v>
      </c>
      <c r="BI146" s="216">
        <f t="shared" si="69"/>
        <v>5.2880637426636072</v>
      </c>
      <c r="BJ146" s="216">
        <f t="shared" si="69"/>
        <v>5.1340424686054442</v>
      </c>
      <c r="BK146" s="216">
        <f t="shared" si="69"/>
        <v>4.9845072510732464</v>
      </c>
      <c r="BL146" s="292">
        <f t="shared" si="48"/>
        <v>133.93557647937666</v>
      </c>
      <c r="BM146" s="145"/>
      <c r="BN146" s="145"/>
    </row>
    <row r="147" spans="32:66" ht="14.4" x14ac:dyDescent="0.3">
      <c r="AF147" s="240">
        <f t="shared" si="70"/>
        <v>609000000</v>
      </c>
      <c r="AG147" s="21">
        <f t="shared" si="71"/>
        <v>29</v>
      </c>
      <c r="AH147" s="21">
        <v>29</v>
      </c>
      <c r="AI147" s="21" t="s">
        <v>407</v>
      </c>
      <c r="AJ147" s="21">
        <f t="shared" si="63"/>
        <v>200</v>
      </c>
      <c r="AK147" s="21">
        <f t="shared" si="64"/>
        <v>100</v>
      </c>
      <c r="AL147" s="217">
        <f t="shared" si="65"/>
        <v>0.1</v>
      </c>
      <c r="AM147" s="20">
        <f t="shared" si="66"/>
        <v>0.04</v>
      </c>
      <c r="AN147" s="226">
        <f t="shared" si="53"/>
        <v>0</v>
      </c>
      <c r="AO147" s="215">
        <f t="shared" si="67"/>
        <v>0.10400000000000001</v>
      </c>
      <c r="AP147" s="239">
        <f t="shared" si="68"/>
        <v>8.6363636363636367</v>
      </c>
      <c r="AR147" s="287">
        <f t="shared" si="29"/>
        <v>8.7403636363636359</v>
      </c>
      <c r="AS147" s="216">
        <f t="shared" si="60"/>
        <v>8.4857899382171222</v>
      </c>
      <c r="AT147" s="216">
        <f t="shared" si="60"/>
        <v>8.2386310079777889</v>
      </c>
      <c r="AU147" s="216">
        <f t="shared" si="60"/>
        <v>7.9986708815318339</v>
      </c>
      <c r="AV147" s="216">
        <f t="shared" si="60"/>
        <v>7.7656998849823635</v>
      </c>
      <c r="AW147" s="216">
        <f t="shared" si="60"/>
        <v>7.5395144514391879</v>
      </c>
      <c r="AX147" s="216">
        <f t="shared" si="60"/>
        <v>7.3199169431448423</v>
      </c>
      <c r="AY147" s="216">
        <f t="shared" si="69"/>
        <v>7.1067154787813998</v>
      </c>
      <c r="AZ147" s="216">
        <f t="shared" si="69"/>
        <v>6.8997237658071855</v>
      </c>
      <c r="BA147" s="216">
        <f t="shared" si="69"/>
        <v>6.6987609376768784</v>
      </c>
      <c r="BB147" s="216">
        <f t="shared" si="69"/>
        <v>6.5036513958027946</v>
      </c>
      <c r="BC147" s="216">
        <f t="shared" si="69"/>
        <v>6.3142246561192179</v>
      </c>
      <c r="BD147" s="216">
        <f t="shared" si="69"/>
        <v>6.1303152001157466</v>
      </c>
      <c r="BE147" s="216">
        <f t="shared" si="69"/>
        <v>5.9517623302094629</v>
      </c>
      <c r="BF147" s="216">
        <f t="shared" si="69"/>
        <v>5.7784100293295753</v>
      </c>
      <c r="BG147" s="216">
        <f t="shared" si="69"/>
        <v>5.6101068245918198</v>
      </c>
      <c r="BH147" s="216">
        <f t="shared" si="69"/>
        <v>5.446705654943516</v>
      </c>
      <c r="BI147" s="216">
        <f t="shared" si="69"/>
        <v>5.2880637426636072</v>
      </c>
      <c r="BJ147" s="216">
        <f t="shared" si="69"/>
        <v>5.1340424686054442</v>
      </c>
      <c r="BK147" s="216">
        <f t="shared" si="69"/>
        <v>4.9845072510732464</v>
      </c>
      <c r="BL147" s="292">
        <f t="shared" si="48"/>
        <v>133.93557647937666</v>
      </c>
      <c r="BM147" s="145"/>
      <c r="BN147" s="145"/>
    </row>
    <row r="148" spans="32:66" ht="14.4" x14ac:dyDescent="0.3">
      <c r="AF148" s="240">
        <f t="shared" si="70"/>
        <v>630000000</v>
      </c>
      <c r="AG148" s="21">
        <f t="shared" si="71"/>
        <v>30</v>
      </c>
      <c r="AH148" s="21">
        <v>30</v>
      </c>
      <c r="AI148" s="21" t="s">
        <v>407</v>
      </c>
      <c r="AJ148" s="21">
        <f t="shared" si="63"/>
        <v>200</v>
      </c>
      <c r="AK148" s="21">
        <f t="shared" si="64"/>
        <v>100</v>
      </c>
      <c r="AL148" s="217">
        <f t="shared" si="65"/>
        <v>0.1</v>
      </c>
      <c r="AM148" s="20">
        <f t="shared" si="66"/>
        <v>0.04</v>
      </c>
      <c r="AN148" s="226">
        <f t="shared" si="53"/>
        <v>0</v>
      </c>
      <c r="AO148" s="215">
        <f t="shared" si="67"/>
        <v>0.10400000000000001</v>
      </c>
      <c r="AP148" s="239">
        <f t="shared" si="68"/>
        <v>8.6363636363636367</v>
      </c>
      <c r="AR148" s="287">
        <f t="shared" si="29"/>
        <v>8.7403636363636359</v>
      </c>
      <c r="AS148" s="216">
        <f t="shared" ref="AS148:AX157" si="72">$AR148/POWER(1+($B$10/100),AS$117-2024)</f>
        <v>8.4857899382171222</v>
      </c>
      <c r="AT148" s="216">
        <f t="shared" si="72"/>
        <v>8.2386310079777889</v>
      </c>
      <c r="AU148" s="216">
        <f t="shared" si="72"/>
        <v>7.9986708815318339</v>
      </c>
      <c r="AV148" s="216">
        <f t="shared" si="72"/>
        <v>7.7656998849823635</v>
      </c>
      <c r="AW148" s="216">
        <f t="shared" si="72"/>
        <v>7.5395144514391879</v>
      </c>
      <c r="AX148" s="216">
        <f t="shared" si="72"/>
        <v>7.3199169431448423</v>
      </c>
      <c r="AY148" s="216">
        <f t="shared" si="69"/>
        <v>7.1067154787813998</v>
      </c>
      <c r="AZ148" s="216">
        <f t="shared" si="69"/>
        <v>6.8997237658071855</v>
      </c>
      <c r="BA148" s="216">
        <f t="shared" si="69"/>
        <v>6.6987609376768784</v>
      </c>
      <c r="BB148" s="216">
        <f t="shared" si="69"/>
        <v>6.5036513958027946</v>
      </c>
      <c r="BC148" s="216">
        <f t="shared" si="69"/>
        <v>6.3142246561192179</v>
      </c>
      <c r="BD148" s="216">
        <f t="shared" si="69"/>
        <v>6.1303152001157466</v>
      </c>
      <c r="BE148" s="216">
        <f t="shared" si="69"/>
        <v>5.9517623302094629</v>
      </c>
      <c r="BF148" s="216">
        <f t="shared" si="69"/>
        <v>5.7784100293295753</v>
      </c>
      <c r="BG148" s="216">
        <f t="shared" si="69"/>
        <v>5.6101068245918198</v>
      </c>
      <c r="BH148" s="216">
        <f t="shared" si="69"/>
        <v>5.446705654943516</v>
      </c>
      <c r="BI148" s="216">
        <f t="shared" si="69"/>
        <v>5.2880637426636072</v>
      </c>
      <c r="BJ148" s="216">
        <f t="shared" si="69"/>
        <v>5.1340424686054442</v>
      </c>
      <c r="BK148" s="216">
        <f t="shared" si="69"/>
        <v>4.9845072510732464</v>
      </c>
      <c r="BL148" s="292">
        <f t="shared" si="48"/>
        <v>133.93557647937666</v>
      </c>
      <c r="BM148" s="145"/>
      <c r="BN148" s="145"/>
    </row>
    <row r="149" spans="32:66" ht="14.4" x14ac:dyDescent="0.3">
      <c r="AF149" s="240">
        <f t="shared" si="70"/>
        <v>651000000</v>
      </c>
      <c r="AG149" s="21">
        <f t="shared" si="71"/>
        <v>31</v>
      </c>
      <c r="AH149" s="21">
        <v>31</v>
      </c>
      <c r="AI149" s="21" t="s">
        <v>407</v>
      </c>
      <c r="AJ149" s="21">
        <f t="shared" si="63"/>
        <v>200</v>
      </c>
      <c r="AK149" s="21">
        <f t="shared" si="64"/>
        <v>100</v>
      </c>
      <c r="AL149" s="217">
        <f t="shared" si="65"/>
        <v>0.1</v>
      </c>
      <c r="AM149" s="20">
        <f t="shared" si="66"/>
        <v>0.04</v>
      </c>
      <c r="AN149" s="226">
        <f t="shared" si="53"/>
        <v>0</v>
      </c>
      <c r="AO149" s="215">
        <f t="shared" si="67"/>
        <v>0.10400000000000001</v>
      </c>
      <c r="AP149" s="239">
        <f t="shared" si="68"/>
        <v>8.6363636363636367</v>
      </c>
      <c r="AR149" s="287">
        <f t="shared" si="29"/>
        <v>8.7403636363636359</v>
      </c>
      <c r="AS149" s="216">
        <f t="shared" si="72"/>
        <v>8.4857899382171222</v>
      </c>
      <c r="AT149" s="216">
        <f t="shared" si="72"/>
        <v>8.2386310079777889</v>
      </c>
      <c r="AU149" s="216">
        <f t="shared" si="72"/>
        <v>7.9986708815318339</v>
      </c>
      <c r="AV149" s="216">
        <f t="shared" si="72"/>
        <v>7.7656998849823635</v>
      </c>
      <c r="AW149" s="216">
        <f t="shared" si="72"/>
        <v>7.5395144514391879</v>
      </c>
      <c r="AX149" s="216">
        <f t="shared" si="72"/>
        <v>7.3199169431448423</v>
      </c>
      <c r="AY149" s="216">
        <f t="shared" ref="AY149:BK158" si="73">$AR149/POWER(1+($B$10/100),AY$117-2024)</f>
        <v>7.1067154787813998</v>
      </c>
      <c r="AZ149" s="216">
        <f t="shared" si="73"/>
        <v>6.8997237658071855</v>
      </c>
      <c r="BA149" s="216">
        <f t="shared" si="73"/>
        <v>6.6987609376768784</v>
      </c>
      <c r="BB149" s="216">
        <f t="shared" si="73"/>
        <v>6.5036513958027946</v>
      </c>
      <c r="BC149" s="216">
        <f t="shared" si="73"/>
        <v>6.3142246561192179</v>
      </c>
      <c r="BD149" s="216">
        <f t="shared" si="73"/>
        <v>6.1303152001157466</v>
      </c>
      <c r="BE149" s="216">
        <f t="shared" si="73"/>
        <v>5.9517623302094629</v>
      </c>
      <c r="BF149" s="216">
        <f t="shared" si="73"/>
        <v>5.7784100293295753</v>
      </c>
      <c r="BG149" s="216">
        <f t="shared" si="73"/>
        <v>5.6101068245918198</v>
      </c>
      <c r="BH149" s="216">
        <f t="shared" si="73"/>
        <v>5.446705654943516</v>
      </c>
      <c r="BI149" s="216">
        <f t="shared" si="73"/>
        <v>5.2880637426636072</v>
      </c>
      <c r="BJ149" s="216">
        <f t="shared" si="73"/>
        <v>5.1340424686054442</v>
      </c>
      <c r="BK149" s="216">
        <f t="shared" si="73"/>
        <v>4.9845072510732464</v>
      </c>
      <c r="BL149" s="292">
        <f t="shared" si="48"/>
        <v>133.93557647937666</v>
      </c>
      <c r="BM149" s="145"/>
      <c r="BN149" s="145"/>
    </row>
    <row r="150" spans="32:66" x14ac:dyDescent="0.25">
      <c r="AF150" s="240">
        <f t="shared" si="70"/>
        <v>672000000</v>
      </c>
      <c r="AG150" s="21">
        <f t="shared" si="71"/>
        <v>32</v>
      </c>
      <c r="AH150" s="21">
        <v>32</v>
      </c>
      <c r="AI150" s="21" t="s">
        <v>407</v>
      </c>
      <c r="AJ150" s="21">
        <f t="shared" si="63"/>
        <v>200</v>
      </c>
      <c r="AK150" s="21">
        <f t="shared" si="64"/>
        <v>100</v>
      </c>
      <c r="AL150" s="217">
        <f t="shared" si="65"/>
        <v>0.1</v>
      </c>
      <c r="AM150" s="20">
        <f t="shared" si="66"/>
        <v>0.04</v>
      </c>
      <c r="AN150" s="226">
        <f t="shared" si="53"/>
        <v>0</v>
      </c>
      <c r="AO150" s="215">
        <f t="shared" si="67"/>
        <v>0.10400000000000001</v>
      </c>
      <c r="AP150" s="239">
        <f t="shared" si="68"/>
        <v>8.6363636363636367</v>
      </c>
      <c r="AR150" s="287">
        <f t="shared" si="29"/>
        <v>8.7403636363636359</v>
      </c>
      <c r="AS150" s="216">
        <f t="shared" si="72"/>
        <v>8.4857899382171222</v>
      </c>
      <c r="AT150" s="216">
        <f t="shared" si="72"/>
        <v>8.2386310079777889</v>
      </c>
      <c r="AU150" s="216">
        <f t="shared" si="72"/>
        <v>7.9986708815318339</v>
      </c>
      <c r="AV150" s="216">
        <f t="shared" si="72"/>
        <v>7.7656998849823635</v>
      </c>
      <c r="AW150" s="216">
        <f t="shared" si="72"/>
        <v>7.5395144514391879</v>
      </c>
      <c r="AX150" s="216">
        <f t="shared" si="72"/>
        <v>7.3199169431448423</v>
      </c>
      <c r="AY150" s="216">
        <f t="shared" si="73"/>
        <v>7.1067154787813998</v>
      </c>
      <c r="AZ150" s="216">
        <f t="shared" si="73"/>
        <v>6.8997237658071855</v>
      </c>
      <c r="BA150" s="216">
        <f t="shared" si="73"/>
        <v>6.6987609376768784</v>
      </c>
      <c r="BB150" s="216">
        <f t="shared" si="73"/>
        <v>6.5036513958027946</v>
      </c>
      <c r="BC150" s="216">
        <f t="shared" si="73"/>
        <v>6.3142246561192179</v>
      </c>
      <c r="BD150" s="216">
        <f t="shared" si="73"/>
        <v>6.1303152001157466</v>
      </c>
      <c r="BE150" s="216">
        <f t="shared" si="73"/>
        <v>5.9517623302094629</v>
      </c>
      <c r="BF150" s="216">
        <f t="shared" si="73"/>
        <v>5.7784100293295753</v>
      </c>
      <c r="BG150" s="216">
        <f t="shared" si="73"/>
        <v>5.6101068245918198</v>
      </c>
      <c r="BH150" s="216">
        <f t="shared" si="73"/>
        <v>5.446705654943516</v>
      </c>
      <c r="BI150" s="216">
        <f t="shared" si="73"/>
        <v>5.2880637426636072</v>
      </c>
      <c r="BJ150" s="216">
        <f t="shared" si="73"/>
        <v>5.1340424686054442</v>
      </c>
      <c r="BK150" s="216">
        <f t="shared" si="73"/>
        <v>4.9845072510732464</v>
      </c>
      <c r="BL150" s="292">
        <f t="shared" si="48"/>
        <v>133.93557647937666</v>
      </c>
    </row>
    <row r="151" spans="32:66" x14ac:dyDescent="0.25">
      <c r="AF151" s="240">
        <f t="shared" si="70"/>
        <v>693000000</v>
      </c>
      <c r="AG151" s="21">
        <f t="shared" si="71"/>
        <v>33</v>
      </c>
      <c r="AH151" s="21">
        <v>33</v>
      </c>
      <c r="AI151" s="21" t="s">
        <v>407</v>
      </c>
      <c r="AJ151" s="21">
        <f t="shared" si="63"/>
        <v>200</v>
      </c>
      <c r="AK151" s="21">
        <f t="shared" si="64"/>
        <v>100</v>
      </c>
      <c r="AL151" s="217">
        <f t="shared" si="65"/>
        <v>0.1</v>
      </c>
      <c r="AM151" s="20">
        <f t="shared" si="66"/>
        <v>0.04</v>
      </c>
      <c r="AN151" s="226">
        <f t="shared" si="53"/>
        <v>0</v>
      </c>
      <c r="AO151" s="215">
        <f t="shared" si="67"/>
        <v>0.10400000000000001</v>
      </c>
      <c r="AP151" s="239">
        <f t="shared" si="68"/>
        <v>8.6363636363636367</v>
      </c>
      <c r="AR151" s="287">
        <f t="shared" si="29"/>
        <v>8.7403636363636359</v>
      </c>
      <c r="AS151" s="216">
        <f t="shared" si="72"/>
        <v>8.4857899382171222</v>
      </c>
      <c r="AT151" s="216">
        <f t="shared" si="72"/>
        <v>8.2386310079777889</v>
      </c>
      <c r="AU151" s="216">
        <f t="shared" si="72"/>
        <v>7.9986708815318339</v>
      </c>
      <c r="AV151" s="216">
        <f t="shared" si="72"/>
        <v>7.7656998849823635</v>
      </c>
      <c r="AW151" s="216">
        <f t="shared" si="72"/>
        <v>7.5395144514391879</v>
      </c>
      <c r="AX151" s="216">
        <f t="shared" si="72"/>
        <v>7.3199169431448423</v>
      </c>
      <c r="AY151" s="216">
        <f t="shared" si="73"/>
        <v>7.1067154787813998</v>
      </c>
      <c r="AZ151" s="216">
        <f t="shared" si="73"/>
        <v>6.8997237658071855</v>
      </c>
      <c r="BA151" s="216">
        <f t="shared" si="73"/>
        <v>6.6987609376768784</v>
      </c>
      <c r="BB151" s="216">
        <f t="shared" si="73"/>
        <v>6.5036513958027946</v>
      </c>
      <c r="BC151" s="216">
        <f t="shared" si="73"/>
        <v>6.3142246561192179</v>
      </c>
      <c r="BD151" s="216">
        <f t="shared" si="73"/>
        <v>6.1303152001157466</v>
      </c>
      <c r="BE151" s="216">
        <f t="shared" si="73"/>
        <v>5.9517623302094629</v>
      </c>
      <c r="BF151" s="216">
        <f t="shared" si="73"/>
        <v>5.7784100293295753</v>
      </c>
      <c r="BG151" s="216">
        <f t="shared" si="73"/>
        <v>5.6101068245918198</v>
      </c>
      <c r="BH151" s="216">
        <f t="shared" si="73"/>
        <v>5.446705654943516</v>
      </c>
      <c r="BI151" s="216">
        <f t="shared" si="73"/>
        <v>5.2880637426636072</v>
      </c>
      <c r="BJ151" s="216">
        <f t="shared" si="73"/>
        <v>5.1340424686054442</v>
      </c>
      <c r="BK151" s="216">
        <f t="shared" si="73"/>
        <v>4.9845072510732464</v>
      </c>
      <c r="BL151" s="292">
        <f t="shared" si="48"/>
        <v>133.93557647937666</v>
      </c>
    </row>
    <row r="152" spans="32:66" x14ac:dyDescent="0.25">
      <c r="AF152" s="240">
        <f t="shared" si="70"/>
        <v>714000000</v>
      </c>
      <c r="AG152" s="21">
        <f t="shared" si="71"/>
        <v>34</v>
      </c>
      <c r="AH152" s="21">
        <v>34</v>
      </c>
      <c r="AI152" s="21" t="s">
        <v>407</v>
      </c>
      <c r="AJ152" s="21">
        <f t="shared" si="63"/>
        <v>200</v>
      </c>
      <c r="AK152" s="21">
        <f t="shared" si="64"/>
        <v>100</v>
      </c>
      <c r="AL152" s="217">
        <f t="shared" si="65"/>
        <v>0.1</v>
      </c>
      <c r="AM152" s="20">
        <f t="shared" si="66"/>
        <v>0.04</v>
      </c>
      <c r="AN152" s="226">
        <f t="shared" si="53"/>
        <v>0</v>
      </c>
      <c r="AO152" s="215">
        <f t="shared" si="67"/>
        <v>0.10400000000000001</v>
      </c>
      <c r="AP152" s="239">
        <f t="shared" si="68"/>
        <v>8.6363636363636367</v>
      </c>
      <c r="AR152" s="287">
        <f t="shared" si="29"/>
        <v>8.7403636363636359</v>
      </c>
      <c r="AS152" s="216">
        <f t="shared" si="72"/>
        <v>8.4857899382171222</v>
      </c>
      <c r="AT152" s="216">
        <f t="shared" si="72"/>
        <v>8.2386310079777889</v>
      </c>
      <c r="AU152" s="216">
        <f t="shared" si="72"/>
        <v>7.9986708815318339</v>
      </c>
      <c r="AV152" s="216">
        <f t="shared" si="72"/>
        <v>7.7656998849823635</v>
      </c>
      <c r="AW152" s="216">
        <f t="shared" si="72"/>
        <v>7.5395144514391879</v>
      </c>
      <c r="AX152" s="216">
        <f t="shared" si="72"/>
        <v>7.3199169431448423</v>
      </c>
      <c r="AY152" s="216">
        <f t="shared" si="73"/>
        <v>7.1067154787813998</v>
      </c>
      <c r="AZ152" s="216">
        <f t="shared" si="73"/>
        <v>6.8997237658071855</v>
      </c>
      <c r="BA152" s="216">
        <f t="shared" si="73"/>
        <v>6.6987609376768784</v>
      </c>
      <c r="BB152" s="216">
        <f t="shared" si="73"/>
        <v>6.5036513958027946</v>
      </c>
      <c r="BC152" s="216">
        <f t="shared" si="73"/>
        <v>6.3142246561192179</v>
      </c>
      <c r="BD152" s="216">
        <f t="shared" si="73"/>
        <v>6.1303152001157466</v>
      </c>
      <c r="BE152" s="216">
        <f t="shared" si="73"/>
        <v>5.9517623302094629</v>
      </c>
      <c r="BF152" s="216">
        <f t="shared" si="73"/>
        <v>5.7784100293295753</v>
      </c>
      <c r="BG152" s="216">
        <f t="shared" si="73"/>
        <v>5.6101068245918198</v>
      </c>
      <c r="BH152" s="216">
        <f t="shared" si="73"/>
        <v>5.446705654943516</v>
      </c>
      <c r="BI152" s="216">
        <f t="shared" si="73"/>
        <v>5.2880637426636072</v>
      </c>
      <c r="BJ152" s="216">
        <f t="shared" si="73"/>
        <v>5.1340424686054442</v>
      </c>
      <c r="BK152" s="216">
        <f t="shared" si="73"/>
        <v>4.9845072510732464</v>
      </c>
      <c r="BL152" s="292">
        <f t="shared" si="48"/>
        <v>133.93557647937666</v>
      </c>
    </row>
    <row r="153" spans="32:66" x14ac:dyDescent="0.25">
      <c r="AF153" s="240">
        <f t="shared" si="70"/>
        <v>735000000</v>
      </c>
      <c r="AG153" s="21">
        <f t="shared" si="71"/>
        <v>35</v>
      </c>
      <c r="AH153" s="21">
        <v>35</v>
      </c>
      <c r="AI153" s="21" t="s">
        <v>407</v>
      </c>
      <c r="AJ153" s="21">
        <f t="shared" si="63"/>
        <v>200</v>
      </c>
      <c r="AK153" s="21">
        <f t="shared" si="64"/>
        <v>100</v>
      </c>
      <c r="AL153" s="217">
        <f t="shared" si="65"/>
        <v>0.1</v>
      </c>
      <c r="AM153" s="20">
        <f t="shared" si="66"/>
        <v>0.04</v>
      </c>
      <c r="AN153" s="226">
        <f t="shared" si="53"/>
        <v>0</v>
      </c>
      <c r="AO153" s="215">
        <f t="shared" si="67"/>
        <v>0.10400000000000001</v>
      </c>
      <c r="AP153" s="239">
        <f t="shared" si="68"/>
        <v>8.6363636363636367</v>
      </c>
      <c r="AR153" s="287">
        <f t="shared" si="29"/>
        <v>8.7403636363636359</v>
      </c>
      <c r="AS153" s="216">
        <f t="shared" si="72"/>
        <v>8.4857899382171222</v>
      </c>
      <c r="AT153" s="216">
        <f t="shared" si="72"/>
        <v>8.2386310079777889</v>
      </c>
      <c r="AU153" s="216">
        <f t="shared" si="72"/>
        <v>7.9986708815318339</v>
      </c>
      <c r="AV153" s="216">
        <f t="shared" si="72"/>
        <v>7.7656998849823635</v>
      </c>
      <c r="AW153" s="216">
        <f t="shared" si="72"/>
        <v>7.5395144514391879</v>
      </c>
      <c r="AX153" s="216">
        <f t="shared" si="72"/>
        <v>7.3199169431448423</v>
      </c>
      <c r="AY153" s="216">
        <f t="shared" si="73"/>
        <v>7.1067154787813998</v>
      </c>
      <c r="AZ153" s="216">
        <f t="shared" si="73"/>
        <v>6.8997237658071855</v>
      </c>
      <c r="BA153" s="216">
        <f t="shared" si="73"/>
        <v>6.6987609376768784</v>
      </c>
      <c r="BB153" s="216">
        <f t="shared" si="73"/>
        <v>6.5036513958027946</v>
      </c>
      <c r="BC153" s="216">
        <f t="shared" si="73"/>
        <v>6.3142246561192179</v>
      </c>
      <c r="BD153" s="216">
        <f t="shared" si="73"/>
        <v>6.1303152001157466</v>
      </c>
      <c r="BE153" s="216">
        <f t="shared" si="73"/>
        <v>5.9517623302094629</v>
      </c>
      <c r="BF153" s="216">
        <f t="shared" si="73"/>
        <v>5.7784100293295753</v>
      </c>
      <c r="BG153" s="216">
        <f t="shared" si="73"/>
        <v>5.6101068245918198</v>
      </c>
      <c r="BH153" s="216">
        <f t="shared" si="73"/>
        <v>5.446705654943516</v>
      </c>
      <c r="BI153" s="216">
        <f t="shared" si="73"/>
        <v>5.2880637426636072</v>
      </c>
      <c r="BJ153" s="216">
        <f t="shared" si="73"/>
        <v>5.1340424686054442</v>
      </c>
      <c r="BK153" s="216">
        <f t="shared" si="73"/>
        <v>4.9845072510732464</v>
      </c>
      <c r="BL153" s="292">
        <f t="shared" si="48"/>
        <v>133.93557647937666</v>
      </c>
    </row>
    <row r="154" spans="32:66" x14ac:dyDescent="0.25">
      <c r="AF154" s="240">
        <f t="shared" si="70"/>
        <v>756000000</v>
      </c>
      <c r="AG154" s="21">
        <f t="shared" si="71"/>
        <v>36</v>
      </c>
      <c r="AH154" s="21">
        <v>36</v>
      </c>
      <c r="AI154" s="21" t="s">
        <v>407</v>
      </c>
      <c r="AJ154" s="21">
        <f t="shared" si="63"/>
        <v>200</v>
      </c>
      <c r="AK154" s="21">
        <f t="shared" si="64"/>
        <v>100</v>
      </c>
      <c r="AL154" s="217">
        <f t="shared" si="65"/>
        <v>0.1</v>
      </c>
      <c r="AM154" s="20">
        <f t="shared" si="66"/>
        <v>0.04</v>
      </c>
      <c r="AN154" s="226">
        <f t="shared" si="53"/>
        <v>0</v>
      </c>
      <c r="AO154" s="215">
        <f t="shared" si="67"/>
        <v>0.10400000000000001</v>
      </c>
      <c r="AP154" s="239">
        <f t="shared" si="68"/>
        <v>8.6363636363636367</v>
      </c>
      <c r="AR154" s="287">
        <f t="shared" si="29"/>
        <v>8.7403636363636359</v>
      </c>
      <c r="AS154" s="216">
        <f t="shared" si="72"/>
        <v>8.4857899382171222</v>
      </c>
      <c r="AT154" s="216">
        <f t="shared" si="72"/>
        <v>8.2386310079777889</v>
      </c>
      <c r="AU154" s="216">
        <f t="shared" si="72"/>
        <v>7.9986708815318339</v>
      </c>
      <c r="AV154" s="216">
        <f t="shared" si="72"/>
        <v>7.7656998849823635</v>
      </c>
      <c r="AW154" s="216">
        <f t="shared" si="72"/>
        <v>7.5395144514391879</v>
      </c>
      <c r="AX154" s="216">
        <f t="shared" si="72"/>
        <v>7.3199169431448423</v>
      </c>
      <c r="AY154" s="216">
        <f t="shared" si="73"/>
        <v>7.1067154787813998</v>
      </c>
      <c r="AZ154" s="216">
        <f t="shared" si="73"/>
        <v>6.8997237658071855</v>
      </c>
      <c r="BA154" s="216">
        <f t="shared" si="73"/>
        <v>6.6987609376768784</v>
      </c>
      <c r="BB154" s="216">
        <f t="shared" si="73"/>
        <v>6.5036513958027946</v>
      </c>
      <c r="BC154" s="216">
        <f t="shared" si="73"/>
        <v>6.3142246561192179</v>
      </c>
      <c r="BD154" s="216">
        <f t="shared" si="73"/>
        <v>6.1303152001157466</v>
      </c>
      <c r="BE154" s="216">
        <f t="shared" si="73"/>
        <v>5.9517623302094629</v>
      </c>
      <c r="BF154" s="216">
        <f t="shared" si="73"/>
        <v>5.7784100293295753</v>
      </c>
      <c r="BG154" s="216">
        <f t="shared" si="73"/>
        <v>5.6101068245918198</v>
      </c>
      <c r="BH154" s="216">
        <f t="shared" si="73"/>
        <v>5.446705654943516</v>
      </c>
      <c r="BI154" s="216">
        <f t="shared" si="73"/>
        <v>5.2880637426636072</v>
      </c>
      <c r="BJ154" s="216">
        <f t="shared" si="73"/>
        <v>5.1340424686054442</v>
      </c>
      <c r="BK154" s="216">
        <f t="shared" si="73"/>
        <v>4.9845072510732464</v>
      </c>
      <c r="BL154" s="292">
        <f t="shared" si="48"/>
        <v>133.93557647937666</v>
      </c>
    </row>
    <row r="155" spans="32:66" x14ac:dyDescent="0.25">
      <c r="AF155" s="240">
        <f t="shared" si="70"/>
        <v>777000000</v>
      </c>
      <c r="AG155" s="21">
        <f t="shared" si="71"/>
        <v>37</v>
      </c>
      <c r="AH155" s="21">
        <v>37</v>
      </c>
      <c r="AI155" s="21" t="s">
        <v>407</v>
      </c>
      <c r="AJ155" s="21">
        <f t="shared" si="63"/>
        <v>200</v>
      </c>
      <c r="AK155" s="21">
        <f t="shared" si="64"/>
        <v>100</v>
      </c>
      <c r="AL155" s="217">
        <f t="shared" si="65"/>
        <v>0.1</v>
      </c>
      <c r="AM155" s="20">
        <f t="shared" si="66"/>
        <v>0.04</v>
      </c>
      <c r="AN155" s="226">
        <f t="shared" si="53"/>
        <v>0</v>
      </c>
      <c r="AO155" s="215">
        <f t="shared" si="67"/>
        <v>0.10400000000000001</v>
      </c>
      <c r="AP155" s="239">
        <f t="shared" si="68"/>
        <v>8.6363636363636367</v>
      </c>
      <c r="AR155" s="287">
        <f t="shared" si="29"/>
        <v>8.7403636363636359</v>
      </c>
      <c r="AS155" s="216">
        <f t="shared" si="72"/>
        <v>8.4857899382171222</v>
      </c>
      <c r="AT155" s="216">
        <f t="shared" si="72"/>
        <v>8.2386310079777889</v>
      </c>
      <c r="AU155" s="216">
        <f t="shared" si="72"/>
        <v>7.9986708815318339</v>
      </c>
      <c r="AV155" s="216">
        <f t="shared" si="72"/>
        <v>7.7656998849823635</v>
      </c>
      <c r="AW155" s="216">
        <f t="shared" si="72"/>
        <v>7.5395144514391879</v>
      </c>
      <c r="AX155" s="216">
        <f t="shared" si="72"/>
        <v>7.3199169431448423</v>
      </c>
      <c r="AY155" s="216">
        <f t="shared" si="73"/>
        <v>7.1067154787813998</v>
      </c>
      <c r="AZ155" s="216">
        <f t="shared" si="73"/>
        <v>6.8997237658071855</v>
      </c>
      <c r="BA155" s="216">
        <f t="shared" si="73"/>
        <v>6.6987609376768784</v>
      </c>
      <c r="BB155" s="216">
        <f t="shared" si="73"/>
        <v>6.5036513958027946</v>
      </c>
      <c r="BC155" s="216">
        <f t="shared" si="73"/>
        <v>6.3142246561192179</v>
      </c>
      <c r="BD155" s="216">
        <f t="shared" si="73"/>
        <v>6.1303152001157466</v>
      </c>
      <c r="BE155" s="216">
        <f t="shared" si="73"/>
        <v>5.9517623302094629</v>
      </c>
      <c r="BF155" s="216">
        <f t="shared" si="73"/>
        <v>5.7784100293295753</v>
      </c>
      <c r="BG155" s="216">
        <f t="shared" si="73"/>
        <v>5.6101068245918198</v>
      </c>
      <c r="BH155" s="216">
        <f t="shared" si="73"/>
        <v>5.446705654943516</v>
      </c>
      <c r="BI155" s="216">
        <f t="shared" si="73"/>
        <v>5.2880637426636072</v>
      </c>
      <c r="BJ155" s="216">
        <f t="shared" si="73"/>
        <v>5.1340424686054442</v>
      </c>
      <c r="BK155" s="216">
        <f t="shared" si="73"/>
        <v>4.9845072510732464</v>
      </c>
      <c r="BL155" s="292">
        <f t="shared" si="48"/>
        <v>133.93557647937666</v>
      </c>
    </row>
    <row r="156" spans="32:66" x14ac:dyDescent="0.25">
      <c r="AF156" s="240">
        <f t="shared" si="70"/>
        <v>798000000</v>
      </c>
      <c r="AG156" s="21">
        <f t="shared" si="71"/>
        <v>38</v>
      </c>
      <c r="AH156" s="21">
        <v>38</v>
      </c>
      <c r="AI156" s="21" t="s">
        <v>407</v>
      </c>
      <c r="AJ156" s="21">
        <f t="shared" si="63"/>
        <v>200</v>
      </c>
      <c r="AK156" s="21">
        <f t="shared" si="64"/>
        <v>100</v>
      </c>
      <c r="AL156" s="217">
        <f t="shared" si="65"/>
        <v>0.1</v>
      </c>
      <c r="AM156" s="20">
        <f t="shared" si="66"/>
        <v>0.04</v>
      </c>
      <c r="AN156" s="226">
        <f t="shared" si="53"/>
        <v>0</v>
      </c>
      <c r="AO156" s="215">
        <f t="shared" si="67"/>
        <v>0.10400000000000001</v>
      </c>
      <c r="AP156" s="239">
        <f t="shared" si="68"/>
        <v>8.6363636363636367</v>
      </c>
      <c r="AR156" s="287">
        <f t="shared" si="29"/>
        <v>8.7403636363636359</v>
      </c>
      <c r="AS156" s="216">
        <f t="shared" si="72"/>
        <v>8.4857899382171222</v>
      </c>
      <c r="AT156" s="216">
        <f t="shared" si="72"/>
        <v>8.2386310079777889</v>
      </c>
      <c r="AU156" s="216">
        <f t="shared" si="72"/>
        <v>7.9986708815318339</v>
      </c>
      <c r="AV156" s="216">
        <f t="shared" si="72"/>
        <v>7.7656998849823635</v>
      </c>
      <c r="AW156" s="216">
        <f t="shared" si="72"/>
        <v>7.5395144514391879</v>
      </c>
      <c r="AX156" s="216">
        <f t="shared" si="72"/>
        <v>7.3199169431448423</v>
      </c>
      <c r="AY156" s="216">
        <f t="shared" si="73"/>
        <v>7.1067154787813998</v>
      </c>
      <c r="AZ156" s="216">
        <f t="shared" si="73"/>
        <v>6.8997237658071855</v>
      </c>
      <c r="BA156" s="216">
        <f t="shared" si="73"/>
        <v>6.6987609376768784</v>
      </c>
      <c r="BB156" s="216">
        <f t="shared" si="73"/>
        <v>6.5036513958027946</v>
      </c>
      <c r="BC156" s="216">
        <f t="shared" si="73"/>
        <v>6.3142246561192179</v>
      </c>
      <c r="BD156" s="216">
        <f t="shared" si="73"/>
        <v>6.1303152001157466</v>
      </c>
      <c r="BE156" s="216">
        <f t="shared" si="73"/>
        <v>5.9517623302094629</v>
      </c>
      <c r="BF156" s="216">
        <f t="shared" si="73"/>
        <v>5.7784100293295753</v>
      </c>
      <c r="BG156" s="216">
        <f t="shared" si="73"/>
        <v>5.6101068245918198</v>
      </c>
      <c r="BH156" s="216">
        <f t="shared" si="73"/>
        <v>5.446705654943516</v>
      </c>
      <c r="BI156" s="216">
        <f t="shared" si="73"/>
        <v>5.2880637426636072</v>
      </c>
      <c r="BJ156" s="216">
        <f t="shared" si="73"/>
        <v>5.1340424686054442</v>
      </c>
      <c r="BK156" s="216">
        <f t="shared" si="73"/>
        <v>4.9845072510732464</v>
      </c>
      <c r="BL156" s="292">
        <f t="shared" si="48"/>
        <v>133.93557647937666</v>
      </c>
    </row>
    <row r="157" spans="32:66" x14ac:dyDescent="0.25">
      <c r="AF157" s="240">
        <f t="shared" si="70"/>
        <v>819000000</v>
      </c>
      <c r="AG157" s="21">
        <f t="shared" si="71"/>
        <v>39</v>
      </c>
      <c r="AH157" s="21">
        <v>39</v>
      </c>
      <c r="AI157" s="21" t="s">
        <v>407</v>
      </c>
      <c r="AJ157" s="21">
        <f t="shared" si="63"/>
        <v>200</v>
      </c>
      <c r="AK157" s="21">
        <f t="shared" si="64"/>
        <v>100</v>
      </c>
      <c r="AL157" s="217">
        <f t="shared" si="65"/>
        <v>0.1</v>
      </c>
      <c r="AM157" s="20">
        <f t="shared" si="66"/>
        <v>0.04</v>
      </c>
      <c r="AN157" s="226">
        <f t="shared" si="53"/>
        <v>0</v>
      </c>
      <c r="AO157" s="215">
        <f t="shared" si="67"/>
        <v>0.10400000000000001</v>
      </c>
      <c r="AP157" s="239">
        <f t="shared" si="68"/>
        <v>8.6363636363636367</v>
      </c>
      <c r="AR157" s="287">
        <f t="shared" si="29"/>
        <v>8.7403636363636359</v>
      </c>
      <c r="AS157" s="216">
        <f t="shared" si="72"/>
        <v>8.4857899382171222</v>
      </c>
      <c r="AT157" s="216">
        <f t="shared" si="72"/>
        <v>8.2386310079777889</v>
      </c>
      <c r="AU157" s="216">
        <f t="shared" si="72"/>
        <v>7.9986708815318339</v>
      </c>
      <c r="AV157" s="216">
        <f t="shared" si="72"/>
        <v>7.7656998849823635</v>
      </c>
      <c r="AW157" s="216">
        <f t="shared" si="72"/>
        <v>7.5395144514391879</v>
      </c>
      <c r="AX157" s="216">
        <f t="shared" si="72"/>
        <v>7.3199169431448423</v>
      </c>
      <c r="AY157" s="216">
        <f t="shared" si="73"/>
        <v>7.1067154787813998</v>
      </c>
      <c r="AZ157" s="216">
        <f t="shared" si="73"/>
        <v>6.8997237658071855</v>
      </c>
      <c r="BA157" s="216">
        <f t="shared" si="73"/>
        <v>6.6987609376768784</v>
      </c>
      <c r="BB157" s="216">
        <f t="shared" si="73"/>
        <v>6.5036513958027946</v>
      </c>
      <c r="BC157" s="216">
        <f t="shared" si="73"/>
        <v>6.3142246561192179</v>
      </c>
      <c r="BD157" s="216">
        <f t="shared" si="73"/>
        <v>6.1303152001157466</v>
      </c>
      <c r="BE157" s="216">
        <f t="shared" si="73"/>
        <v>5.9517623302094629</v>
      </c>
      <c r="BF157" s="216">
        <f t="shared" si="73"/>
        <v>5.7784100293295753</v>
      </c>
      <c r="BG157" s="216">
        <f t="shared" si="73"/>
        <v>5.6101068245918198</v>
      </c>
      <c r="BH157" s="216">
        <f t="shared" si="73"/>
        <v>5.446705654943516</v>
      </c>
      <c r="BI157" s="216">
        <f t="shared" si="73"/>
        <v>5.2880637426636072</v>
      </c>
      <c r="BJ157" s="216">
        <f t="shared" si="73"/>
        <v>5.1340424686054442</v>
      </c>
      <c r="BK157" s="216">
        <f t="shared" si="73"/>
        <v>4.9845072510732464</v>
      </c>
      <c r="BL157" s="292">
        <f t="shared" si="48"/>
        <v>133.93557647937666</v>
      </c>
    </row>
    <row r="158" spans="32:66" x14ac:dyDescent="0.25">
      <c r="AF158" s="240">
        <f t="shared" si="70"/>
        <v>840000000</v>
      </c>
      <c r="AG158" s="21">
        <f t="shared" si="71"/>
        <v>40</v>
      </c>
      <c r="AH158" s="21">
        <v>40</v>
      </c>
      <c r="AI158" s="21" t="s">
        <v>407</v>
      </c>
      <c r="AJ158" s="21">
        <f t="shared" si="63"/>
        <v>200</v>
      </c>
      <c r="AK158" s="21">
        <f t="shared" si="64"/>
        <v>100</v>
      </c>
      <c r="AL158" s="217">
        <f t="shared" si="65"/>
        <v>0.1</v>
      </c>
      <c r="AM158" s="20">
        <f t="shared" si="66"/>
        <v>0.04</v>
      </c>
      <c r="AN158" s="226">
        <f t="shared" si="53"/>
        <v>0</v>
      </c>
      <c r="AO158" s="215">
        <f t="shared" si="67"/>
        <v>0.10400000000000001</v>
      </c>
      <c r="AP158" s="239">
        <f t="shared" si="68"/>
        <v>8.6363636363636367</v>
      </c>
      <c r="AR158" s="287">
        <f t="shared" si="29"/>
        <v>8.7403636363636359</v>
      </c>
      <c r="AS158" s="216">
        <f t="shared" ref="AS158:AX170" si="74">$AR158/POWER(1+($B$10/100),AS$117-2024)</f>
        <v>8.4857899382171222</v>
      </c>
      <c r="AT158" s="216">
        <f t="shared" si="74"/>
        <v>8.2386310079777889</v>
      </c>
      <c r="AU158" s="216">
        <f t="shared" si="74"/>
        <v>7.9986708815318339</v>
      </c>
      <c r="AV158" s="216">
        <f t="shared" si="74"/>
        <v>7.7656998849823635</v>
      </c>
      <c r="AW158" s="216">
        <f t="shared" si="74"/>
        <v>7.5395144514391879</v>
      </c>
      <c r="AX158" s="216">
        <f t="shared" si="74"/>
        <v>7.3199169431448423</v>
      </c>
      <c r="AY158" s="216">
        <f t="shared" si="73"/>
        <v>7.1067154787813998</v>
      </c>
      <c r="AZ158" s="216">
        <f t="shared" si="73"/>
        <v>6.8997237658071855</v>
      </c>
      <c r="BA158" s="216">
        <f t="shared" si="73"/>
        <v>6.6987609376768784</v>
      </c>
      <c r="BB158" s="216">
        <f t="shared" si="73"/>
        <v>6.5036513958027946</v>
      </c>
      <c r="BC158" s="216">
        <f t="shared" si="73"/>
        <v>6.3142246561192179</v>
      </c>
      <c r="BD158" s="216">
        <f t="shared" si="73"/>
        <v>6.1303152001157466</v>
      </c>
      <c r="BE158" s="216">
        <f t="shared" si="73"/>
        <v>5.9517623302094629</v>
      </c>
      <c r="BF158" s="216">
        <f t="shared" si="73"/>
        <v>5.7784100293295753</v>
      </c>
      <c r="BG158" s="216">
        <f t="shared" si="73"/>
        <v>5.6101068245918198</v>
      </c>
      <c r="BH158" s="216">
        <f t="shared" si="73"/>
        <v>5.446705654943516</v>
      </c>
      <c r="BI158" s="216">
        <f t="shared" si="73"/>
        <v>5.2880637426636072</v>
      </c>
      <c r="BJ158" s="216">
        <f t="shared" si="73"/>
        <v>5.1340424686054442</v>
      </c>
      <c r="BK158" s="216">
        <f t="shared" si="73"/>
        <v>4.9845072510732464</v>
      </c>
      <c r="BL158" s="292">
        <f t="shared" si="48"/>
        <v>133.93557647937666</v>
      </c>
    </row>
    <row r="159" spans="32:66" x14ac:dyDescent="0.25">
      <c r="AF159" s="240">
        <f t="shared" si="70"/>
        <v>861000000</v>
      </c>
      <c r="AG159" s="21">
        <f t="shared" si="71"/>
        <v>41</v>
      </c>
      <c r="AH159" s="21">
        <v>41</v>
      </c>
      <c r="AI159" s="21" t="s">
        <v>407</v>
      </c>
      <c r="AJ159" s="21">
        <f t="shared" si="63"/>
        <v>200</v>
      </c>
      <c r="AK159" s="21">
        <f t="shared" si="64"/>
        <v>100</v>
      </c>
      <c r="AL159" s="217">
        <f t="shared" si="65"/>
        <v>0.1</v>
      </c>
      <c r="AM159" s="20">
        <f t="shared" si="66"/>
        <v>0.04</v>
      </c>
      <c r="AN159" s="226">
        <f t="shared" si="53"/>
        <v>0</v>
      </c>
      <c r="AO159" s="215">
        <f t="shared" si="67"/>
        <v>0.10400000000000001</v>
      </c>
      <c r="AP159" s="239">
        <f t="shared" si="68"/>
        <v>8.6363636363636367</v>
      </c>
      <c r="AR159" s="287">
        <f t="shared" si="29"/>
        <v>8.7403636363636359</v>
      </c>
      <c r="AS159" s="216">
        <f t="shared" si="74"/>
        <v>8.4857899382171222</v>
      </c>
      <c r="AT159" s="216">
        <f t="shared" si="74"/>
        <v>8.2386310079777889</v>
      </c>
      <c r="AU159" s="216">
        <f t="shared" si="74"/>
        <v>7.9986708815318339</v>
      </c>
      <c r="AV159" s="216">
        <f t="shared" si="74"/>
        <v>7.7656998849823635</v>
      </c>
      <c r="AW159" s="216">
        <f t="shared" si="74"/>
        <v>7.5395144514391879</v>
      </c>
      <c r="AX159" s="216">
        <f t="shared" si="74"/>
        <v>7.3199169431448423</v>
      </c>
      <c r="AY159" s="216">
        <f t="shared" ref="AY159:BK170" si="75">$AR159/POWER(1+($B$10/100),AY$117-2024)</f>
        <v>7.1067154787813998</v>
      </c>
      <c r="AZ159" s="216">
        <f t="shared" si="75"/>
        <v>6.8997237658071855</v>
      </c>
      <c r="BA159" s="216">
        <f t="shared" si="75"/>
        <v>6.6987609376768784</v>
      </c>
      <c r="BB159" s="216">
        <f t="shared" si="75"/>
        <v>6.5036513958027946</v>
      </c>
      <c r="BC159" s="216">
        <f t="shared" si="75"/>
        <v>6.3142246561192179</v>
      </c>
      <c r="BD159" s="216">
        <f t="shared" si="75"/>
        <v>6.1303152001157466</v>
      </c>
      <c r="BE159" s="216">
        <f t="shared" si="75"/>
        <v>5.9517623302094629</v>
      </c>
      <c r="BF159" s="216">
        <f t="shared" si="75"/>
        <v>5.7784100293295753</v>
      </c>
      <c r="BG159" s="216">
        <f t="shared" si="75"/>
        <v>5.6101068245918198</v>
      </c>
      <c r="BH159" s="216">
        <f t="shared" si="75"/>
        <v>5.446705654943516</v>
      </c>
      <c r="BI159" s="216">
        <f t="shared" si="75"/>
        <v>5.2880637426636072</v>
      </c>
      <c r="BJ159" s="216">
        <f t="shared" si="75"/>
        <v>5.1340424686054442</v>
      </c>
      <c r="BK159" s="216">
        <f t="shared" si="75"/>
        <v>4.9845072510732464</v>
      </c>
      <c r="BL159" s="292">
        <f t="shared" si="48"/>
        <v>133.93557647937666</v>
      </c>
    </row>
    <row r="160" spans="32:66" x14ac:dyDescent="0.25">
      <c r="AF160" s="240">
        <f t="shared" ref="AF160" si="76">AF104</f>
        <v>882000000</v>
      </c>
      <c r="AG160" s="21">
        <f t="shared" si="71"/>
        <v>42</v>
      </c>
      <c r="AH160" s="21">
        <v>42</v>
      </c>
      <c r="AI160" s="21" t="s">
        <v>407</v>
      </c>
      <c r="AJ160" s="21">
        <f t="shared" si="63"/>
        <v>200</v>
      </c>
      <c r="AK160" s="21">
        <f t="shared" si="64"/>
        <v>100</v>
      </c>
      <c r="AL160" s="217">
        <f t="shared" si="65"/>
        <v>0.1</v>
      </c>
      <c r="AM160" s="20">
        <f t="shared" si="66"/>
        <v>0.04</v>
      </c>
      <c r="AN160" s="226">
        <f t="shared" si="53"/>
        <v>0</v>
      </c>
      <c r="AO160" s="215">
        <f t="shared" si="67"/>
        <v>0.10400000000000001</v>
      </c>
      <c r="AP160" s="239">
        <f t="shared" si="68"/>
        <v>8.6363636363636367</v>
      </c>
      <c r="AR160" s="287">
        <f t="shared" si="29"/>
        <v>8.7403636363636359</v>
      </c>
      <c r="AS160" s="216">
        <f t="shared" si="74"/>
        <v>8.4857899382171222</v>
      </c>
      <c r="AT160" s="216">
        <f t="shared" si="74"/>
        <v>8.2386310079777889</v>
      </c>
      <c r="AU160" s="216">
        <f t="shared" si="74"/>
        <v>7.9986708815318339</v>
      </c>
      <c r="AV160" s="216">
        <f t="shared" si="74"/>
        <v>7.7656998849823635</v>
      </c>
      <c r="AW160" s="216">
        <f t="shared" si="74"/>
        <v>7.5395144514391879</v>
      </c>
      <c r="AX160" s="216">
        <f t="shared" si="74"/>
        <v>7.3199169431448423</v>
      </c>
      <c r="AY160" s="216">
        <f t="shared" si="75"/>
        <v>7.1067154787813998</v>
      </c>
      <c r="AZ160" s="216">
        <f t="shared" si="75"/>
        <v>6.8997237658071855</v>
      </c>
      <c r="BA160" s="216">
        <f t="shared" si="75"/>
        <v>6.6987609376768784</v>
      </c>
      <c r="BB160" s="216">
        <f t="shared" si="75"/>
        <v>6.5036513958027946</v>
      </c>
      <c r="BC160" s="216">
        <f t="shared" si="75"/>
        <v>6.3142246561192179</v>
      </c>
      <c r="BD160" s="216">
        <f t="shared" si="75"/>
        <v>6.1303152001157466</v>
      </c>
      <c r="BE160" s="216">
        <f t="shared" si="75"/>
        <v>5.9517623302094629</v>
      </c>
      <c r="BF160" s="216">
        <f t="shared" si="75"/>
        <v>5.7784100293295753</v>
      </c>
      <c r="BG160" s="216">
        <f t="shared" si="75"/>
        <v>5.6101068245918198</v>
      </c>
      <c r="BH160" s="216">
        <f t="shared" si="75"/>
        <v>5.446705654943516</v>
      </c>
      <c r="BI160" s="216">
        <f t="shared" si="75"/>
        <v>5.2880637426636072</v>
      </c>
      <c r="BJ160" s="216">
        <f t="shared" si="75"/>
        <v>5.1340424686054442</v>
      </c>
      <c r="BK160" s="216">
        <f t="shared" si="75"/>
        <v>4.9845072510732464</v>
      </c>
      <c r="BL160" s="292">
        <f t="shared" si="48"/>
        <v>133.93557647937666</v>
      </c>
    </row>
    <row r="161" spans="32:64" x14ac:dyDescent="0.25">
      <c r="AF161" s="240">
        <f t="shared" ref="AF161:AF170" si="77">AF46</f>
        <v>903000000</v>
      </c>
      <c r="AG161" s="21">
        <f t="shared" si="71"/>
        <v>43</v>
      </c>
      <c r="AH161" s="21">
        <v>43</v>
      </c>
      <c r="AI161" s="21" t="s">
        <v>407</v>
      </c>
      <c r="AJ161" s="21">
        <f t="shared" si="63"/>
        <v>200</v>
      </c>
      <c r="AK161" s="21">
        <f t="shared" si="64"/>
        <v>100</v>
      </c>
      <c r="AL161" s="217">
        <f t="shared" si="65"/>
        <v>0.1</v>
      </c>
      <c r="AM161" s="20">
        <f t="shared" si="66"/>
        <v>0.04</v>
      </c>
      <c r="AN161" s="226">
        <f t="shared" si="53"/>
        <v>0</v>
      </c>
      <c r="AO161" s="215">
        <f t="shared" si="67"/>
        <v>0.10400000000000001</v>
      </c>
      <c r="AP161" s="239">
        <f t="shared" si="68"/>
        <v>8.6363636363636367</v>
      </c>
      <c r="AR161" s="287">
        <f t="shared" si="29"/>
        <v>8.7403636363636359</v>
      </c>
      <c r="AS161" s="216">
        <f t="shared" si="74"/>
        <v>8.4857899382171222</v>
      </c>
      <c r="AT161" s="216">
        <f t="shared" si="74"/>
        <v>8.2386310079777889</v>
      </c>
      <c r="AU161" s="216">
        <f t="shared" si="74"/>
        <v>7.9986708815318339</v>
      </c>
      <c r="AV161" s="216">
        <f t="shared" si="74"/>
        <v>7.7656998849823635</v>
      </c>
      <c r="AW161" s="216">
        <f t="shared" si="74"/>
        <v>7.5395144514391879</v>
      </c>
      <c r="AX161" s="216">
        <f t="shared" si="74"/>
        <v>7.3199169431448423</v>
      </c>
      <c r="AY161" s="216">
        <f t="shared" si="75"/>
        <v>7.1067154787813998</v>
      </c>
      <c r="AZ161" s="216">
        <f t="shared" si="75"/>
        <v>6.8997237658071855</v>
      </c>
      <c r="BA161" s="216">
        <f t="shared" si="75"/>
        <v>6.6987609376768784</v>
      </c>
      <c r="BB161" s="216">
        <f t="shared" si="75"/>
        <v>6.5036513958027946</v>
      </c>
      <c r="BC161" s="216">
        <f t="shared" si="75"/>
        <v>6.3142246561192179</v>
      </c>
      <c r="BD161" s="216">
        <f t="shared" si="75"/>
        <v>6.1303152001157466</v>
      </c>
      <c r="BE161" s="216">
        <f t="shared" si="75"/>
        <v>5.9517623302094629</v>
      </c>
      <c r="BF161" s="216">
        <f t="shared" si="75"/>
        <v>5.7784100293295753</v>
      </c>
      <c r="BG161" s="216">
        <f t="shared" si="75"/>
        <v>5.6101068245918198</v>
      </c>
      <c r="BH161" s="216">
        <f t="shared" si="75"/>
        <v>5.446705654943516</v>
      </c>
      <c r="BI161" s="216">
        <f t="shared" si="75"/>
        <v>5.2880637426636072</v>
      </c>
      <c r="BJ161" s="216">
        <f t="shared" si="75"/>
        <v>5.1340424686054442</v>
      </c>
      <c r="BK161" s="216">
        <f t="shared" si="75"/>
        <v>4.9845072510732464</v>
      </c>
      <c r="BL161" s="292">
        <f t="shared" si="48"/>
        <v>133.93557647937666</v>
      </c>
    </row>
    <row r="162" spans="32:64" ht="14.4" x14ac:dyDescent="0.3">
      <c r="AF162" s="240">
        <f t="shared" si="77"/>
        <v>924000000</v>
      </c>
      <c r="AG162" s="21">
        <f t="shared" si="71"/>
        <v>44</v>
      </c>
      <c r="AH162" s="21">
        <v>44</v>
      </c>
      <c r="AI162" s="21" t="s">
        <v>407</v>
      </c>
      <c r="AJ162" s="21">
        <f t="shared" si="63"/>
        <v>200</v>
      </c>
      <c r="AK162" s="21">
        <f t="shared" si="64"/>
        <v>100</v>
      </c>
      <c r="AL162" s="217">
        <f t="shared" si="65"/>
        <v>0.1</v>
      </c>
      <c r="AM162" s="20">
        <f t="shared" si="66"/>
        <v>0.04</v>
      </c>
      <c r="AN162" s="226">
        <f t="shared" si="53"/>
        <v>0</v>
      </c>
      <c r="AO162" s="215">
        <f t="shared" si="67"/>
        <v>0.10400000000000001</v>
      </c>
      <c r="AP162" s="239">
        <f t="shared" si="68"/>
        <v>8.6363636363636367</v>
      </c>
      <c r="AQ162"/>
      <c r="AR162" s="287">
        <f t="shared" si="29"/>
        <v>8.7403636363636359</v>
      </c>
      <c r="AS162" s="216">
        <f t="shared" si="74"/>
        <v>8.4857899382171222</v>
      </c>
      <c r="AT162" s="216">
        <f t="shared" si="74"/>
        <v>8.2386310079777889</v>
      </c>
      <c r="AU162" s="216">
        <f t="shared" si="74"/>
        <v>7.9986708815318339</v>
      </c>
      <c r="AV162" s="216">
        <f t="shared" si="74"/>
        <v>7.7656998849823635</v>
      </c>
      <c r="AW162" s="216">
        <f t="shared" si="74"/>
        <v>7.5395144514391879</v>
      </c>
      <c r="AX162" s="216">
        <f t="shared" si="74"/>
        <v>7.3199169431448423</v>
      </c>
      <c r="AY162" s="216">
        <f t="shared" si="75"/>
        <v>7.1067154787813998</v>
      </c>
      <c r="AZ162" s="216">
        <f t="shared" si="75"/>
        <v>6.8997237658071855</v>
      </c>
      <c r="BA162" s="216">
        <f t="shared" si="75"/>
        <v>6.6987609376768784</v>
      </c>
      <c r="BB162" s="216">
        <f t="shared" si="75"/>
        <v>6.5036513958027946</v>
      </c>
      <c r="BC162" s="216">
        <f t="shared" si="75"/>
        <v>6.3142246561192179</v>
      </c>
      <c r="BD162" s="216">
        <f t="shared" si="75"/>
        <v>6.1303152001157466</v>
      </c>
      <c r="BE162" s="216">
        <f t="shared" si="75"/>
        <v>5.9517623302094629</v>
      </c>
      <c r="BF162" s="216">
        <f t="shared" si="75"/>
        <v>5.7784100293295753</v>
      </c>
      <c r="BG162" s="216">
        <f t="shared" si="75"/>
        <v>5.6101068245918198</v>
      </c>
      <c r="BH162" s="216">
        <f t="shared" si="75"/>
        <v>5.446705654943516</v>
      </c>
      <c r="BI162" s="216">
        <f t="shared" si="75"/>
        <v>5.2880637426636072</v>
      </c>
      <c r="BJ162" s="216">
        <f t="shared" si="75"/>
        <v>5.1340424686054442</v>
      </c>
      <c r="BK162" s="216">
        <f t="shared" si="75"/>
        <v>4.9845072510732464</v>
      </c>
      <c r="BL162" s="292">
        <f t="shared" si="48"/>
        <v>133.93557647937666</v>
      </c>
    </row>
    <row r="163" spans="32:64" x14ac:dyDescent="0.25">
      <c r="AF163" s="240">
        <f t="shared" si="77"/>
        <v>945000000</v>
      </c>
      <c r="AG163" s="21">
        <f t="shared" si="71"/>
        <v>45</v>
      </c>
      <c r="AH163" s="21">
        <v>45</v>
      </c>
      <c r="AI163" s="21" t="s">
        <v>407</v>
      </c>
      <c r="AJ163" s="21">
        <f t="shared" si="63"/>
        <v>200</v>
      </c>
      <c r="AK163" s="21">
        <f t="shared" si="64"/>
        <v>100</v>
      </c>
      <c r="AL163" s="217">
        <f t="shared" si="65"/>
        <v>0.1</v>
      </c>
      <c r="AM163" s="20">
        <f t="shared" si="66"/>
        <v>0.04</v>
      </c>
      <c r="AN163" s="226">
        <f t="shared" si="53"/>
        <v>0</v>
      </c>
      <c r="AO163" s="215">
        <f t="shared" si="67"/>
        <v>0.10400000000000001</v>
      </c>
      <c r="AP163" s="239">
        <f t="shared" si="68"/>
        <v>8.6363636363636367</v>
      </c>
      <c r="AR163" s="287">
        <f t="shared" si="29"/>
        <v>8.7403636363636359</v>
      </c>
      <c r="AS163" s="216">
        <f t="shared" si="74"/>
        <v>8.4857899382171222</v>
      </c>
      <c r="AT163" s="216">
        <f t="shared" si="74"/>
        <v>8.2386310079777889</v>
      </c>
      <c r="AU163" s="216">
        <f t="shared" si="74"/>
        <v>7.9986708815318339</v>
      </c>
      <c r="AV163" s="216">
        <f t="shared" si="74"/>
        <v>7.7656998849823635</v>
      </c>
      <c r="AW163" s="216">
        <f t="shared" si="74"/>
        <v>7.5395144514391879</v>
      </c>
      <c r="AX163" s="216">
        <f t="shared" si="74"/>
        <v>7.3199169431448423</v>
      </c>
      <c r="AY163" s="216">
        <f t="shared" si="75"/>
        <v>7.1067154787813998</v>
      </c>
      <c r="AZ163" s="216">
        <f t="shared" si="75"/>
        <v>6.8997237658071855</v>
      </c>
      <c r="BA163" s="216">
        <f t="shared" si="75"/>
        <v>6.6987609376768784</v>
      </c>
      <c r="BB163" s="216">
        <f t="shared" si="75"/>
        <v>6.5036513958027946</v>
      </c>
      <c r="BC163" s="216">
        <f t="shared" si="75"/>
        <v>6.3142246561192179</v>
      </c>
      <c r="BD163" s="216">
        <f t="shared" si="75"/>
        <v>6.1303152001157466</v>
      </c>
      <c r="BE163" s="216">
        <f t="shared" si="75"/>
        <v>5.9517623302094629</v>
      </c>
      <c r="BF163" s="216">
        <f t="shared" si="75"/>
        <v>5.7784100293295753</v>
      </c>
      <c r="BG163" s="216">
        <f t="shared" si="75"/>
        <v>5.6101068245918198</v>
      </c>
      <c r="BH163" s="216">
        <f t="shared" si="75"/>
        <v>5.446705654943516</v>
      </c>
      <c r="BI163" s="216">
        <f t="shared" si="75"/>
        <v>5.2880637426636072</v>
      </c>
      <c r="BJ163" s="216">
        <f t="shared" si="75"/>
        <v>5.1340424686054442</v>
      </c>
      <c r="BK163" s="216">
        <f t="shared" si="75"/>
        <v>4.9845072510732464</v>
      </c>
      <c r="BL163" s="292">
        <f t="shared" si="48"/>
        <v>133.93557647937666</v>
      </c>
    </row>
    <row r="164" spans="32:64" x14ac:dyDescent="0.25">
      <c r="AF164" s="240">
        <f t="shared" si="77"/>
        <v>966000000</v>
      </c>
      <c r="AG164" s="21">
        <f t="shared" si="71"/>
        <v>46</v>
      </c>
      <c r="AH164" s="21">
        <v>46</v>
      </c>
      <c r="AI164" s="21" t="s">
        <v>407</v>
      </c>
      <c r="AJ164" s="21">
        <f t="shared" si="63"/>
        <v>200</v>
      </c>
      <c r="AK164" s="21">
        <f t="shared" si="64"/>
        <v>100</v>
      </c>
      <c r="AL164" s="217">
        <f t="shared" si="65"/>
        <v>0.1</v>
      </c>
      <c r="AM164" s="20">
        <f t="shared" si="66"/>
        <v>0.04</v>
      </c>
      <c r="AN164" s="226">
        <f t="shared" si="53"/>
        <v>0</v>
      </c>
      <c r="AO164" s="215">
        <f t="shared" si="67"/>
        <v>0.10400000000000001</v>
      </c>
      <c r="AP164" s="239">
        <f t="shared" si="68"/>
        <v>8.6363636363636367</v>
      </c>
      <c r="AR164" s="287">
        <f t="shared" si="29"/>
        <v>8.7403636363636359</v>
      </c>
      <c r="AS164" s="216">
        <f t="shared" si="74"/>
        <v>8.4857899382171222</v>
      </c>
      <c r="AT164" s="216">
        <f t="shared" si="74"/>
        <v>8.2386310079777889</v>
      </c>
      <c r="AU164" s="216">
        <f t="shared" si="74"/>
        <v>7.9986708815318339</v>
      </c>
      <c r="AV164" s="216">
        <f t="shared" si="74"/>
        <v>7.7656998849823635</v>
      </c>
      <c r="AW164" s="216">
        <f t="shared" si="74"/>
        <v>7.5395144514391879</v>
      </c>
      <c r="AX164" s="216">
        <f t="shared" si="74"/>
        <v>7.3199169431448423</v>
      </c>
      <c r="AY164" s="216">
        <f t="shared" si="75"/>
        <v>7.1067154787813998</v>
      </c>
      <c r="AZ164" s="216">
        <f t="shared" si="75"/>
        <v>6.8997237658071855</v>
      </c>
      <c r="BA164" s="216">
        <f t="shared" si="75"/>
        <v>6.6987609376768784</v>
      </c>
      <c r="BB164" s="216">
        <f t="shared" si="75"/>
        <v>6.5036513958027946</v>
      </c>
      <c r="BC164" s="216">
        <f t="shared" si="75"/>
        <v>6.3142246561192179</v>
      </c>
      <c r="BD164" s="216">
        <f t="shared" si="75"/>
        <v>6.1303152001157466</v>
      </c>
      <c r="BE164" s="216">
        <f t="shared" si="75"/>
        <v>5.9517623302094629</v>
      </c>
      <c r="BF164" s="216">
        <f t="shared" si="75"/>
        <v>5.7784100293295753</v>
      </c>
      <c r="BG164" s="216">
        <f t="shared" si="75"/>
        <v>5.6101068245918198</v>
      </c>
      <c r="BH164" s="216">
        <f t="shared" si="75"/>
        <v>5.446705654943516</v>
      </c>
      <c r="BI164" s="216">
        <f t="shared" si="75"/>
        <v>5.2880637426636072</v>
      </c>
      <c r="BJ164" s="216">
        <f t="shared" si="75"/>
        <v>5.1340424686054442</v>
      </c>
      <c r="BK164" s="216">
        <f t="shared" si="75"/>
        <v>4.9845072510732464</v>
      </c>
      <c r="BL164" s="292">
        <f t="shared" si="48"/>
        <v>133.93557647937666</v>
      </c>
    </row>
    <row r="165" spans="32:64" x14ac:dyDescent="0.25">
      <c r="AF165" s="240">
        <f t="shared" si="77"/>
        <v>987000000</v>
      </c>
      <c r="AG165" s="21">
        <f t="shared" si="71"/>
        <v>47</v>
      </c>
      <c r="AH165" s="21">
        <v>47</v>
      </c>
      <c r="AI165" s="21" t="s">
        <v>407</v>
      </c>
      <c r="AJ165" s="21">
        <f t="shared" si="63"/>
        <v>200</v>
      </c>
      <c r="AK165" s="21">
        <f t="shared" si="64"/>
        <v>100</v>
      </c>
      <c r="AL165" s="217">
        <f t="shared" si="65"/>
        <v>0.1</v>
      </c>
      <c r="AM165" s="20">
        <f t="shared" si="66"/>
        <v>0.04</v>
      </c>
      <c r="AN165" s="226">
        <f t="shared" si="53"/>
        <v>0</v>
      </c>
      <c r="AO165" s="215">
        <f t="shared" si="67"/>
        <v>0.10400000000000001</v>
      </c>
      <c r="AP165" s="239">
        <f t="shared" si="68"/>
        <v>8.6363636363636367</v>
      </c>
      <c r="AR165" s="287">
        <f t="shared" si="29"/>
        <v>8.7403636363636359</v>
      </c>
      <c r="AS165" s="216">
        <f t="shared" si="74"/>
        <v>8.4857899382171222</v>
      </c>
      <c r="AT165" s="216">
        <f t="shared" si="74"/>
        <v>8.2386310079777889</v>
      </c>
      <c r="AU165" s="216">
        <f t="shared" si="74"/>
        <v>7.9986708815318339</v>
      </c>
      <c r="AV165" s="216">
        <f t="shared" si="74"/>
        <v>7.7656998849823635</v>
      </c>
      <c r="AW165" s="216">
        <f t="shared" si="74"/>
        <v>7.5395144514391879</v>
      </c>
      <c r="AX165" s="216">
        <f t="shared" si="74"/>
        <v>7.3199169431448423</v>
      </c>
      <c r="AY165" s="216">
        <f t="shared" si="75"/>
        <v>7.1067154787813998</v>
      </c>
      <c r="AZ165" s="216">
        <f t="shared" si="75"/>
        <v>6.8997237658071855</v>
      </c>
      <c r="BA165" s="216">
        <f t="shared" si="75"/>
        <v>6.6987609376768784</v>
      </c>
      <c r="BB165" s="216">
        <f t="shared" si="75"/>
        <v>6.5036513958027946</v>
      </c>
      <c r="BC165" s="216">
        <f t="shared" si="75"/>
        <v>6.3142246561192179</v>
      </c>
      <c r="BD165" s="216">
        <f t="shared" si="75"/>
        <v>6.1303152001157466</v>
      </c>
      <c r="BE165" s="216">
        <f t="shared" si="75"/>
        <v>5.9517623302094629</v>
      </c>
      <c r="BF165" s="216">
        <f t="shared" si="75"/>
        <v>5.7784100293295753</v>
      </c>
      <c r="BG165" s="216">
        <f t="shared" si="75"/>
        <v>5.6101068245918198</v>
      </c>
      <c r="BH165" s="216">
        <f t="shared" si="75"/>
        <v>5.446705654943516</v>
      </c>
      <c r="BI165" s="216">
        <f t="shared" si="75"/>
        <v>5.2880637426636072</v>
      </c>
      <c r="BJ165" s="216">
        <f t="shared" si="75"/>
        <v>5.1340424686054442</v>
      </c>
      <c r="BK165" s="216">
        <f t="shared" si="75"/>
        <v>4.9845072510732464</v>
      </c>
      <c r="BL165" s="292">
        <f t="shared" si="48"/>
        <v>133.93557647937666</v>
      </c>
    </row>
    <row r="166" spans="32:64" x14ac:dyDescent="0.25">
      <c r="AF166" s="240">
        <f t="shared" si="77"/>
        <v>1008000000</v>
      </c>
      <c r="AG166" s="21">
        <f t="shared" si="71"/>
        <v>48</v>
      </c>
      <c r="AH166" s="21">
        <v>48</v>
      </c>
      <c r="AI166" s="21" t="s">
        <v>407</v>
      </c>
      <c r="AJ166" s="21">
        <f t="shared" si="63"/>
        <v>200</v>
      </c>
      <c r="AK166" s="21">
        <f t="shared" si="64"/>
        <v>100</v>
      </c>
      <c r="AL166" s="217">
        <f t="shared" si="65"/>
        <v>0.1</v>
      </c>
      <c r="AM166" s="20">
        <f t="shared" si="66"/>
        <v>0.04</v>
      </c>
      <c r="AN166" s="226">
        <f t="shared" si="53"/>
        <v>0</v>
      </c>
      <c r="AO166" s="215">
        <f t="shared" si="67"/>
        <v>0.10400000000000001</v>
      </c>
      <c r="AP166" s="239">
        <f t="shared" si="68"/>
        <v>8.6363636363636367</v>
      </c>
      <c r="AR166" s="287">
        <f t="shared" si="29"/>
        <v>8.7403636363636359</v>
      </c>
      <c r="AS166" s="216">
        <f t="shared" si="74"/>
        <v>8.4857899382171222</v>
      </c>
      <c r="AT166" s="216">
        <f t="shared" si="74"/>
        <v>8.2386310079777889</v>
      </c>
      <c r="AU166" s="216">
        <f t="shared" si="74"/>
        <v>7.9986708815318339</v>
      </c>
      <c r="AV166" s="216">
        <f t="shared" si="74"/>
        <v>7.7656998849823635</v>
      </c>
      <c r="AW166" s="216">
        <f t="shared" si="74"/>
        <v>7.5395144514391879</v>
      </c>
      <c r="AX166" s="216">
        <f t="shared" si="74"/>
        <v>7.3199169431448423</v>
      </c>
      <c r="AY166" s="216">
        <f t="shared" si="75"/>
        <v>7.1067154787813998</v>
      </c>
      <c r="AZ166" s="216">
        <f t="shared" si="75"/>
        <v>6.8997237658071855</v>
      </c>
      <c r="BA166" s="216">
        <f t="shared" si="75"/>
        <v>6.6987609376768784</v>
      </c>
      <c r="BB166" s="216">
        <f t="shared" si="75"/>
        <v>6.5036513958027946</v>
      </c>
      <c r="BC166" s="216">
        <f t="shared" si="75"/>
        <v>6.3142246561192179</v>
      </c>
      <c r="BD166" s="216">
        <f t="shared" si="75"/>
        <v>6.1303152001157466</v>
      </c>
      <c r="BE166" s="216">
        <f t="shared" si="75"/>
        <v>5.9517623302094629</v>
      </c>
      <c r="BF166" s="216">
        <f t="shared" si="75"/>
        <v>5.7784100293295753</v>
      </c>
      <c r="BG166" s="216">
        <f t="shared" si="75"/>
        <v>5.6101068245918198</v>
      </c>
      <c r="BH166" s="216">
        <f t="shared" si="75"/>
        <v>5.446705654943516</v>
      </c>
      <c r="BI166" s="216">
        <f t="shared" si="75"/>
        <v>5.2880637426636072</v>
      </c>
      <c r="BJ166" s="216">
        <f t="shared" si="75"/>
        <v>5.1340424686054442</v>
      </c>
      <c r="BK166" s="216">
        <f t="shared" si="75"/>
        <v>4.9845072510732464</v>
      </c>
      <c r="BL166" s="292">
        <f t="shared" si="48"/>
        <v>133.93557647937666</v>
      </c>
    </row>
    <row r="167" spans="32:64" x14ac:dyDescent="0.25">
      <c r="AF167" s="240">
        <f t="shared" si="77"/>
        <v>1029000000</v>
      </c>
      <c r="AG167" s="21">
        <f t="shared" si="71"/>
        <v>49</v>
      </c>
      <c r="AH167" s="21">
        <v>49</v>
      </c>
      <c r="AI167" s="21" t="s">
        <v>407</v>
      </c>
      <c r="AJ167" s="21">
        <f t="shared" si="63"/>
        <v>200</v>
      </c>
      <c r="AK167" s="21">
        <f t="shared" si="64"/>
        <v>100</v>
      </c>
      <c r="AL167" s="217">
        <f t="shared" si="65"/>
        <v>0.1</v>
      </c>
      <c r="AM167" s="20">
        <f t="shared" si="66"/>
        <v>0.04</v>
      </c>
      <c r="AN167" s="226">
        <f t="shared" si="53"/>
        <v>0</v>
      </c>
      <c r="AO167" s="215">
        <f t="shared" si="67"/>
        <v>0.10400000000000001</v>
      </c>
      <c r="AP167" s="239">
        <f t="shared" si="68"/>
        <v>8.6363636363636367</v>
      </c>
      <c r="AR167" s="287">
        <f t="shared" si="29"/>
        <v>8.7403636363636359</v>
      </c>
      <c r="AS167" s="216">
        <f t="shared" si="74"/>
        <v>8.4857899382171222</v>
      </c>
      <c r="AT167" s="216">
        <f t="shared" si="74"/>
        <v>8.2386310079777889</v>
      </c>
      <c r="AU167" s="216">
        <f t="shared" si="74"/>
        <v>7.9986708815318339</v>
      </c>
      <c r="AV167" s="216">
        <f t="shared" si="74"/>
        <v>7.7656998849823635</v>
      </c>
      <c r="AW167" s="216">
        <f t="shared" si="74"/>
        <v>7.5395144514391879</v>
      </c>
      <c r="AX167" s="216">
        <f t="shared" si="74"/>
        <v>7.3199169431448423</v>
      </c>
      <c r="AY167" s="216">
        <f t="shared" si="75"/>
        <v>7.1067154787813998</v>
      </c>
      <c r="AZ167" s="216">
        <f t="shared" si="75"/>
        <v>6.8997237658071855</v>
      </c>
      <c r="BA167" s="216">
        <f t="shared" si="75"/>
        <v>6.6987609376768784</v>
      </c>
      <c r="BB167" s="216">
        <f t="shared" si="75"/>
        <v>6.5036513958027946</v>
      </c>
      <c r="BC167" s="216">
        <f t="shared" si="75"/>
        <v>6.3142246561192179</v>
      </c>
      <c r="BD167" s="216">
        <f t="shared" si="75"/>
        <v>6.1303152001157466</v>
      </c>
      <c r="BE167" s="216">
        <f t="shared" si="75"/>
        <v>5.9517623302094629</v>
      </c>
      <c r="BF167" s="216">
        <f t="shared" si="75"/>
        <v>5.7784100293295753</v>
      </c>
      <c r="BG167" s="216">
        <f t="shared" si="75"/>
        <v>5.6101068245918198</v>
      </c>
      <c r="BH167" s="216">
        <f t="shared" si="75"/>
        <v>5.446705654943516</v>
      </c>
      <c r="BI167" s="216">
        <f t="shared" si="75"/>
        <v>5.2880637426636072</v>
      </c>
      <c r="BJ167" s="216">
        <f t="shared" si="75"/>
        <v>5.1340424686054442</v>
      </c>
      <c r="BK167" s="216">
        <f t="shared" si="75"/>
        <v>4.9845072510732464</v>
      </c>
      <c r="BL167" s="292">
        <f t="shared" si="48"/>
        <v>133.93557647937666</v>
      </c>
    </row>
    <row r="168" spans="32:64" x14ac:dyDescent="0.25">
      <c r="AF168" s="240">
        <f t="shared" si="77"/>
        <v>1050000000</v>
      </c>
      <c r="AG168" s="21">
        <f t="shared" si="71"/>
        <v>50</v>
      </c>
      <c r="AH168" s="21">
        <v>50</v>
      </c>
      <c r="AI168" s="21" t="s">
        <v>407</v>
      </c>
      <c r="AJ168" s="21">
        <f t="shared" si="63"/>
        <v>200</v>
      </c>
      <c r="AK168" s="21">
        <f t="shared" si="64"/>
        <v>100</v>
      </c>
      <c r="AL168" s="217">
        <f t="shared" si="65"/>
        <v>0.1</v>
      </c>
      <c r="AM168" s="20">
        <f t="shared" si="66"/>
        <v>0.04</v>
      </c>
      <c r="AN168" s="226">
        <f t="shared" si="53"/>
        <v>0</v>
      </c>
      <c r="AO168" s="215">
        <f t="shared" si="67"/>
        <v>0.10400000000000001</v>
      </c>
      <c r="AP168" s="239">
        <f t="shared" si="68"/>
        <v>8.6363636363636367</v>
      </c>
      <c r="AR168" s="287">
        <f t="shared" si="29"/>
        <v>8.7403636363636359</v>
      </c>
      <c r="AS168" s="216">
        <f t="shared" si="74"/>
        <v>8.4857899382171222</v>
      </c>
      <c r="AT168" s="216">
        <f t="shared" si="74"/>
        <v>8.2386310079777889</v>
      </c>
      <c r="AU168" s="216">
        <f t="shared" si="74"/>
        <v>7.9986708815318339</v>
      </c>
      <c r="AV168" s="216">
        <f t="shared" si="74"/>
        <v>7.7656998849823635</v>
      </c>
      <c r="AW168" s="216">
        <f t="shared" si="74"/>
        <v>7.5395144514391879</v>
      </c>
      <c r="AX168" s="216">
        <f t="shared" si="74"/>
        <v>7.3199169431448423</v>
      </c>
      <c r="AY168" s="216">
        <f t="shared" si="75"/>
        <v>7.1067154787813998</v>
      </c>
      <c r="AZ168" s="216">
        <f t="shared" si="75"/>
        <v>6.8997237658071855</v>
      </c>
      <c r="BA168" s="216">
        <f t="shared" si="75"/>
        <v>6.6987609376768784</v>
      </c>
      <c r="BB168" s="216">
        <f t="shared" si="75"/>
        <v>6.5036513958027946</v>
      </c>
      <c r="BC168" s="216">
        <f t="shared" si="75"/>
        <v>6.3142246561192179</v>
      </c>
      <c r="BD168" s="216">
        <f t="shared" si="75"/>
        <v>6.1303152001157466</v>
      </c>
      <c r="BE168" s="216">
        <f t="shared" si="75"/>
        <v>5.9517623302094629</v>
      </c>
      <c r="BF168" s="216">
        <f t="shared" si="75"/>
        <v>5.7784100293295753</v>
      </c>
      <c r="BG168" s="216">
        <f t="shared" si="75"/>
        <v>5.6101068245918198</v>
      </c>
      <c r="BH168" s="216">
        <f t="shared" si="75"/>
        <v>5.446705654943516</v>
      </c>
      <c r="BI168" s="216">
        <f t="shared" si="75"/>
        <v>5.2880637426636072</v>
      </c>
      <c r="BJ168" s="216">
        <f t="shared" si="75"/>
        <v>5.1340424686054442</v>
      </c>
      <c r="BK168" s="216">
        <f t="shared" si="75"/>
        <v>4.9845072510732464</v>
      </c>
      <c r="BL168" s="292">
        <f t="shared" si="48"/>
        <v>133.93557647937666</v>
      </c>
    </row>
    <row r="169" spans="32:64" x14ac:dyDescent="0.25">
      <c r="AF169" s="240">
        <f t="shared" si="77"/>
        <v>1071000000</v>
      </c>
      <c r="AG169" s="21">
        <f t="shared" si="71"/>
        <v>51</v>
      </c>
      <c r="AH169" s="21">
        <v>51</v>
      </c>
      <c r="AI169" s="21" t="s">
        <v>407</v>
      </c>
      <c r="AJ169" s="21">
        <f t="shared" si="63"/>
        <v>200</v>
      </c>
      <c r="AK169" s="21">
        <f t="shared" si="64"/>
        <v>100</v>
      </c>
      <c r="AL169" s="217">
        <f t="shared" si="65"/>
        <v>0.1</v>
      </c>
      <c r="AM169" s="20">
        <f t="shared" si="66"/>
        <v>0.04</v>
      </c>
      <c r="AN169" s="226">
        <f t="shared" si="53"/>
        <v>0</v>
      </c>
      <c r="AO169" s="215">
        <f t="shared" si="67"/>
        <v>0.10400000000000001</v>
      </c>
      <c r="AP169" s="239">
        <f t="shared" si="68"/>
        <v>8.6363636363636367</v>
      </c>
      <c r="AR169" s="287">
        <f t="shared" si="29"/>
        <v>8.7403636363636359</v>
      </c>
      <c r="AS169" s="216">
        <f t="shared" si="74"/>
        <v>8.4857899382171222</v>
      </c>
      <c r="AT169" s="216">
        <f t="shared" si="74"/>
        <v>8.2386310079777889</v>
      </c>
      <c r="AU169" s="216">
        <f t="shared" si="74"/>
        <v>7.9986708815318339</v>
      </c>
      <c r="AV169" s="216">
        <f t="shared" si="74"/>
        <v>7.7656998849823635</v>
      </c>
      <c r="AW169" s="216">
        <f t="shared" si="74"/>
        <v>7.5395144514391879</v>
      </c>
      <c r="AX169" s="216">
        <f t="shared" si="74"/>
        <v>7.3199169431448423</v>
      </c>
      <c r="AY169" s="216">
        <f t="shared" si="75"/>
        <v>7.1067154787813998</v>
      </c>
      <c r="AZ169" s="216">
        <f t="shared" si="75"/>
        <v>6.8997237658071855</v>
      </c>
      <c r="BA169" s="216">
        <f t="shared" si="75"/>
        <v>6.6987609376768784</v>
      </c>
      <c r="BB169" s="216">
        <f t="shared" si="75"/>
        <v>6.5036513958027946</v>
      </c>
      <c r="BC169" s="216">
        <f t="shared" si="75"/>
        <v>6.3142246561192179</v>
      </c>
      <c r="BD169" s="216">
        <f t="shared" si="75"/>
        <v>6.1303152001157466</v>
      </c>
      <c r="BE169" s="216">
        <f t="shared" si="75"/>
        <v>5.9517623302094629</v>
      </c>
      <c r="BF169" s="216">
        <f t="shared" si="75"/>
        <v>5.7784100293295753</v>
      </c>
      <c r="BG169" s="216">
        <f t="shared" si="75"/>
        <v>5.6101068245918198</v>
      </c>
      <c r="BH169" s="216">
        <f t="shared" si="75"/>
        <v>5.446705654943516</v>
      </c>
      <c r="BI169" s="216">
        <f t="shared" si="75"/>
        <v>5.2880637426636072</v>
      </c>
      <c r="BJ169" s="216">
        <f t="shared" si="75"/>
        <v>5.1340424686054442</v>
      </c>
      <c r="BK169" s="216">
        <f t="shared" si="75"/>
        <v>4.9845072510732464</v>
      </c>
      <c r="BL169" s="292">
        <f t="shared" si="48"/>
        <v>133.93557647937666</v>
      </c>
    </row>
    <row r="170" spans="32:64" ht="14.4" thickBot="1" x14ac:dyDescent="0.3">
      <c r="AF170" s="250">
        <f t="shared" si="77"/>
        <v>1092000000</v>
      </c>
      <c r="AG170" s="243">
        <f t="shared" si="71"/>
        <v>52</v>
      </c>
      <c r="AH170" s="243">
        <v>52</v>
      </c>
      <c r="AI170" s="243" t="s">
        <v>407</v>
      </c>
      <c r="AJ170" s="243">
        <f t="shared" si="63"/>
        <v>200</v>
      </c>
      <c r="AK170" s="243">
        <f t="shared" si="64"/>
        <v>100</v>
      </c>
      <c r="AL170" s="289">
        <f t="shared" si="65"/>
        <v>0.1</v>
      </c>
      <c r="AM170" s="290">
        <f t="shared" si="66"/>
        <v>0.04</v>
      </c>
      <c r="AN170" s="291">
        <f t="shared" si="53"/>
        <v>0</v>
      </c>
      <c r="AO170" s="242">
        <f t="shared" si="67"/>
        <v>0.10400000000000001</v>
      </c>
      <c r="AP170" s="246">
        <f t="shared" si="68"/>
        <v>8.6363636363636367</v>
      </c>
      <c r="AR170" s="288">
        <f t="shared" si="29"/>
        <v>8.7403636363636359</v>
      </c>
      <c r="AS170" s="245">
        <f t="shared" si="74"/>
        <v>8.4857899382171222</v>
      </c>
      <c r="AT170" s="245">
        <f t="shared" si="74"/>
        <v>8.2386310079777889</v>
      </c>
      <c r="AU170" s="245">
        <f t="shared" si="74"/>
        <v>7.9986708815318339</v>
      </c>
      <c r="AV170" s="245">
        <f t="shared" si="74"/>
        <v>7.7656998849823635</v>
      </c>
      <c r="AW170" s="245">
        <f t="shared" si="74"/>
        <v>7.5395144514391879</v>
      </c>
      <c r="AX170" s="245">
        <f t="shared" si="74"/>
        <v>7.3199169431448423</v>
      </c>
      <c r="AY170" s="245">
        <f t="shared" si="75"/>
        <v>7.1067154787813998</v>
      </c>
      <c r="AZ170" s="245">
        <f t="shared" si="75"/>
        <v>6.8997237658071855</v>
      </c>
      <c r="BA170" s="245">
        <f t="shared" si="75"/>
        <v>6.6987609376768784</v>
      </c>
      <c r="BB170" s="245">
        <f t="shared" si="75"/>
        <v>6.5036513958027946</v>
      </c>
      <c r="BC170" s="245">
        <f t="shared" si="75"/>
        <v>6.3142246561192179</v>
      </c>
      <c r="BD170" s="245">
        <f t="shared" si="75"/>
        <v>6.1303152001157466</v>
      </c>
      <c r="BE170" s="245">
        <f t="shared" si="75"/>
        <v>5.9517623302094629</v>
      </c>
      <c r="BF170" s="245">
        <f t="shared" si="75"/>
        <v>5.7784100293295753</v>
      </c>
      <c r="BG170" s="245">
        <f t="shared" si="75"/>
        <v>5.6101068245918198</v>
      </c>
      <c r="BH170" s="245">
        <f t="shared" si="75"/>
        <v>5.446705654943516</v>
      </c>
      <c r="BI170" s="245">
        <f t="shared" si="75"/>
        <v>5.2880637426636072</v>
      </c>
      <c r="BJ170" s="245">
        <f t="shared" si="75"/>
        <v>5.1340424686054442</v>
      </c>
      <c r="BK170" s="245">
        <f t="shared" si="75"/>
        <v>4.9845072510732464</v>
      </c>
      <c r="BL170" s="293">
        <f t="shared" si="48"/>
        <v>133.93557647937666</v>
      </c>
    </row>
  </sheetData>
  <mergeCells count="8">
    <mergeCell ref="AF1:AO1"/>
    <mergeCell ref="AR116:BK116"/>
    <mergeCell ref="AF60:AP60"/>
    <mergeCell ref="AF116:AP116"/>
    <mergeCell ref="A23:D23"/>
    <mergeCell ref="A33:D33"/>
    <mergeCell ref="A43:D43"/>
    <mergeCell ref="A1:D1"/>
  </mergeCells>
  <phoneticPr fontId="42" type="noConversion"/>
  <conditionalFormatting sqref="AM4:AM55">
    <cfRule type="dataBar" priority="7">
      <dataBar>
        <cfvo type="min"/>
        <cfvo type="max"/>
        <color rgb="FFFF555A"/>
      </dataBar>
      <extLst>
        <ext xmlns:x14="http://schemas.microsoft.com/office/spreadsheetml/2009/9/main" uri="{B025F937-C7B1-47D3-B67F-A62EFF666E3E}">
          <x14:id>{099831DC-FD12-4570-B34A-E80DD15DB135}</x14:id>
        </ext>
      </extLst>
    </cfRule>
  </conditionalFormatting>
  <conditionalFormatting sqref="AN4:AN55">
    <cfRule type="dataBar" priority="6">
      <dataBar>
        <cfvo type="min"/>
        <cfvo type="max"/>
        <color rgb="FF63C384"/>
      </dataBar>
      <extLst>
        <ext xmlns:x14="http://schemas.microsoft.com/office/spreadsheetml/2009/9/main" uri="{B025F937-C7B1-47D3-B67F-A62EFF666E3E}">
          <x14:id>{644ACD81-A6FC-4E19-9338-9B1D0720E1DD}</x14:id>
        </ext>
      </extLst>
    </cfRule>
  </conditionalFormatting>
  <conditionalFormatting sqref="AO4:AO55">
    <cfRule type="dataBar" priority="5">
      <dataBar>
        <cfvo type="min"/>
        <cfvo type="max"/>
        <color rgb="FF638EC6"/>
      </dataBar>
      <extLst>
        <ext xmlns:x14="http://schemas.microsoft.com/office/spreadsheetml/2009/9/main" uri="{B025F937-C7B1-47D3-B67F-A62EFF666E3E}">
          <x14:id>{D95F6831-1FC5-4D5B-BE56-0FA844DD08B1}</x14:id>
        </ext>
      </extLst>
    </cfRule>
  </conditionalFormatting>
  <conditionalFormatting sqref="AJ3:AJ55">
    <cfRule type="dataBar" priority="1">
      <dataBar>
        <cfvo type="min"/>
        <cfvo type="max"/>
        <color rgb="FFFF555A"/>
      </dataBar>
      <extLst>
        <ext xmlns:x14="http://schemas.microsoft.com/office/spreadsheetml/2009/9/main" uri="{B025F937-C7B1-47D3-B67F-A62EFF666E3E}">
          <x14:id>{13586026-D83D-4DAE-8566-7BDF1CEA50F7}</x14:id>
        </ext>
      </extLst>
    </cfRule>
  </conditionalFormatting>
  <conditionalFormatting sqref="AK4:AK55">
    <cfRule type="dataBar" priority="3">
      <dataBar>
        <cfvo type="min"/>
        <cfvo type="max"/>
        <color rgb="FF63C384"/>
      </dataBar>
      <extLst>
        <ext xmlns:x14="http://schemas.microsoft.com/office/spreadsheetml/2009/9/main" uri="{B025F937-C7B1-47D3-B67F-A62EFF666E3E}">
          <x14:id>{278C5373-2F97-455F-A3C9-BFF6166B4505}</x14:id>
        </ext>
      </extLst>
    </cfRule>
  </conditionalFormatting>
  <conditionalFormatting sqref="AL4:AL55">
    <cfRule type="dataBar" priority="2">
      <dataBar>
        <cfvo type="min"/>
        <cfvo type="max"/>
        <color rgb="FF638EC6"/>
      </dataBar>
      <extLst>
        <ext xmlns:x14="http://schemas.microsoft.com/office/spreadsheetml/2009/9/main" uri="{B025F937-C7B1-47D3-B67F-A62EFF666E3E}">
          <x14:id>{41AF4E25-1CBD-443C-B5A6-884A1969D327}</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099831DC-FD12-4570-B34A-E80DD15DB135}">
            <x14:dataBar minLength="0" maxLength="100" border="1" negativeBarBorderColorSameAsPositive="0">
              <x14:cfvo type="autoMin"/>
              <x14:cfvo type="autoMax"/>
              <x14:borderColor rgb="FFFF555A"/>
              <x14:negativeFillColor rgb="FFFF0000"/>
              <x14:negativeBorderColor rgb="FFFF0000"/>
              <x14:axisColor rgb="FF000000"/>
            </x14:dataBar>
          </x14:cfRule>
          <xm:sqref>AM4:AM55</xm:sqref>
        </x14:conditionalFormatting>
        <x14:conditionalFormatting xmlns:xm="http://schemas.microsoft.com/office/excel/2006/main">
          <x14:cfRule type="dataBar" id="{644ACD81-A6FC-4E19-9338-9B1D0720E1DD}">
            <x14:dataBar minLength="0" maxLength="100" border="1" negativeBarBorderColorSameAsPositive="0">
              <x14:cfvo type="autoMin"/>
              <x14:cfvo type="autoMax"/>
              <x14:borderColor rgb="FF63C384"/>
              <x14:negativeFillColor rgb="FFFF0000"/>
              <x14:negativeBorderColor rgb="FFFF0000"/>
              <x14:axisColor rgb="FF000000"/>
            </x14:dataBar>
          </x14:cfRule>
          <xm:sqref>AN4:AN55</xm:sqref>
        </x14:conditionalFormatting>
        <x14:conditionalFormatting xmlns:xm="http://schemas.microsoft.com/office/excel/2006/main">
          <x14:cfRule type="dataBar" id="{D95F6831-1FC5-4D5B-BE56-0FA844DD08B1}">
            <x14:dataBar minLength="0" maxLength="100" border="1" negativeBarBorderColorSameAsPositive="0">
              <x14:cfvo type="autoMin"/>
              <x14:cfvo type="autoMax"/>
              <x14:borderColor rgb="FF638EC6"/>
              <x14:negativeFillColor rgb="FFFF0000"/>
              <x14:negativeBorderColor rgb="FFFF0000"/>
              <x14:axisColor rgb="FF000000"/>
            </x14:dataBar>
          </x14:cfRule>
          <xm:sqref>AO4:AO55</xm:sqref>
        </x14:conditionalFormatting>
        <x14:conditionalFormatting xmlns:xm="http://schemas.microsoft.com/office/excel/2006/main">
          <x14:cfRule type="dataBar" id="{13586026-D83D-4DAE-8566-7BDF1CEA50F7}">
            <x14:dataBar minLength="0" maxLength="100" border="1" negativeBarBorderColorSameAsPositive="0">
              <x14:cfvo type="autoMin"/>
              <x14:cfvo type="autoMax"/>
              <x14:borderColor rgb="FFFF555A"/>
              <x14:negativeFillColor rgb="FFFF0000"/>
              <x14:negativeBorderColor rgb="FFFF0000"/>
              <x14:axisColor rgb="FF000000"/>
            </x14:dataBar>
          </x14:cfRule>
          <xm:sqref>AJ3:AJ55</xm:sqref>
        </x14:conditionalFormatting>
        <x14:conditionalFormatting xmlns:xm="http://schemas.microsoft.com/office/excel/2006/main">
          <x14:cfRule type="dataBar" id="{278C5373-2F97-455F-A3C9-BFF6166B4505}">
            <x14:dataBar minLength="0" maxLength="100" border="1" negativeBarBorderColorSameAsPositive="0">
              <x14:cfvo type="autoMin"/>
              <x14:cfvo type="autoMax"/>
              <x14:borderColor rgb="FF63C384"/>
              <x14:negativeFillColor rgb="FFFF0000"/>
              <x14:negativeBorderColor rgb="FFFF0000"/>
              <x14:axisColor rgb="FF000000"/>
            </x14:dataBar>
          </x14:cfRule>
          <xm:sqref>AK4:AK55</xm:sqref>
        </x14:conditionalFormatting>
        <x14:conditionalFormatting xmlns:xm="http://schemas.microsoft.com/office/excel/2006/main">
          <x14:cfRule type="dataBar" id="{41AF4E25-1CBD-443C-B5A6-884A1969D327}">
            <x14:dataBar minLength="0" maxLength="100" border="1" negativeBarBorderColorSameAsPositive="0">
              <x14:cfvo type="autoMin"/>
              <x14:cfvo type="autoMax"/>
              <x14:borderColor rgb="FF638EC6"/>
              <x14:negativeFillColor rgb="FFFF0000"/>
              <x14:negativeBorderColor rgb="FFFF0000"/>
              <x14:axisColor rgb="FF000000"/>
            </x14:dataBar>
          </x14:cfRule>
          <xm:sqref>AL4:AL55</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8A4A6-976B-4056-8369-F28E680EA364}">
  <sheetPr>
    <tabColor theme="8"/>
  </sheetPr>
  <dimension ref="A1:H256"/>
  <sheetViews>
    <sheetView workbookViewId="0">
      <selection activeCell="A3" sqref="A3"/>
    </sheetView>
  </sheetViews>
  <sheetFormatPr defaultRowHeight="14.4" x14ac:dyDescent="0.3"/>
  <cols>
    <col min="1" max="1" width="15.88671875" style="103" bestFit="1" customWidth="1"/>
    <col min="2" max="2" width="26" style="103" bestFit="1" customWidth="1"/>
    <col min="3" max="3" width="8.88671875" style="103"/>
    <col min="4" max="4" width="18.109375" style="122" bestFit="1" customWidth="1"/>
    <col min="5" max="5" width="25.44140625" style="542" bestFit="1" customWidth="1"/>
    <col min="6" max="6" width="8.88671875" style="103"/>
    <col min="7" max="7" width="15.5546875" style="103" bestFit="1" customWidth="1"/>
    <col min="8" max="8" width="25.44140625" style="542" bestFit="1" customWidth="1"/>
  </cols>
  <sheetData>
    <row r="1" spans="1:8" x14ac:dyDescent="0.3">
      <c r="A1" s="534" t="s">
        <v>478</v>
      </c>
      <c r="B1" s="535"/>
      <c r="D1" s="534" t="s">
        <v>476</v>
      </c>
      <c r="E1" s="535"/>
      <c r="G1" s="534" t="s">
        <v>477</v>
      </c>
      <c r="H1" s="535"/>
    </row>
    <row r="2" spans="1:8" x14ac:dyDescent="0.3">
      <c r="A2" s="367" t="str">
        <f>'Costs - DTE'!$AC$2</f>
        <v>Minutes</v>
      </c>
      <c r="B2" s="383" t="str">
        <f>'Costs - DTE'!$AH$2</f>
        <v>Average total cost ($/Min)</v>
      </c>
      <c r="D2" s="367" t="str">
        <f>'Costs - SR - LEO'!AE2</f>
        <v>Minutes</v>
      </c>
      <c r="E2" s="536" t="str">
        <f>'Costs - SR - LEO'!AL2</f>
        <v>Average total cost ($/Min)</v>
      </c>
      <c r="G2" s="367" t="str">
        <f>'Costs - SR - GEO'!AF2</f>
        <v>Minutes</v>
      </c>
      <c r="H2" s="536" t="str">
        <f>'Costs - SR - GEO'!AM2</f>
        <v>Average total cost ($/Min)</v>
      </c>
    </row>
    <row r="3" spans="1:8" x14ac:dyDescent="0.3">
      <c r="A3" s="367">
        <f>'Costs - DTE'!AC3</f>
        <v>0</v>
      </c>
      <c r="B3" s="537">
        <v>0</v>
      </c>
      <c r="D3" s="367">
        <f>'Costs - SR - LEO'!AE4</f>
        <v>21000000</v>
      </c>
      <c r="E3" s="536">
        <f>'Costs - SR - LEO'!AL4</f>
        <v>31.306893713737452</v>
      </c>
      <c r="G3" s="367">
        <f>'Costs - SR - GEO'!AF4</f>
        <v>21000000</v>
      </c>
      <c r="H3" s="536">
        <f>'Costs - SR - GEO'!AM4</f>
        <v>72.30605683726462</v>
      </c>
    </row>
    <row r="4" spans="1:8" x14ac:dyDescent="0.3">
      <c r="A4" s="367">
        <f>'Costs - DTE'!AC4</f>
        <v>525600</v>
      </c>
      <c r="B4" s="383">
        <f>'Costs - DTE'!AH4</f>
        <v>207.59483421051704</v>
      </c>
      <c r="D4" s="367">
        <f>'Costs - SR - LEO'!AE5</f>
        <v>42000000</v>
      </c>
      <c r="E4" s="536">
        <f>'Costs - SR - LEO'!AL5</f>
        <v>17.873442098055619</v>
      </c>
      <c r="G4" s="367">
        <f>'Costs - SR - GEO'!AF5</f>
        <v>42000000</v>
      </c>
      <c r="H4" s="536">
        <f>'Costs - SR - GEO'!AM5</f>
        <v>46.484827858617464</v>
      </c>
    </row>
    <row r="5" spans="1:8" x14ac:dyDescent="0.3">
      <c r="A5" s="367">
        <f>'Costs - DTE'!AC5</f>
        <v>1051200</v>
      </c>
      <c r="B5" s="383">
        <f>'Costs - DTE'!AH5</f>
        <v>122.11442815005586</v>
      </c>
      <c r="D5" s="367">
        <f>'Costs - SR - LEO'!AE6</f>
        <v>63000000</v>
      </c>
      <c r="E5" s="536">
        <f>'Costs - SR - LEO'!AL6</f>
        <v>13.395624892828341</v>
      </c>
      <c r="G5" s="367">
        <f>'Costs - SR - GEO'!AF6</f>
        <v>63000000</v>
      </c>
      <c r="H5" s="536">
        <f>'Costs - SR - GEO'!AM6</f>
        <v>37.877751532401753</v>
      </c>
    </row>
    <row r="6" spans="1:8" x14ac:dyDescent="0.3">
      <c r="A6" s="367">
        <f>'Costs - DTE'!AC6</f>
        <v>1576800</v>
      </c>
      <c r="B6" s="383">
        <f>'Costs - DTE'!AH6</f>
        <v>93.620959463235465</v>
      </c>
      <c r="D6" s="367">
        <f>'Costs - SR - LEO'!AE7</f>
        <v>84000000</v>
      </c>
      <c r="E6" s="536">
        <f>'Costs - SR - LEO'!AL7</f>
        <v>11.156716290214703</v>
      </c>
      <c r="G6" s="367">
        <f>'Costs - SR - GEO'!AF7</f>
        <v>84000000</v>
      </c>
      <c r="H6" s="536">
        <f>'Costs - SR - GEO'!AM7</f>
        <v>33.574213369293894</v>
      </c>
    </row>
    <row r="7" spans="1:8" x14ac:dyDescent="0.3">
      <c r="A7" s="367">
        <f>'Costs - DTE'!AC7</f>
        <v>2102400</v>
      </c>
      <c r="B7" s="383">
        <f>'Costs - DTE'!AH7</f>
        <v>79.374225119825269</v>
      </c>
      <c r="D7" s="367">
        <f>'Costs - SR - LEO'!AE8</f>
        <v>105000000</v>
      </c>
      <c r="E7" s="536">
        <f>'Costs - SR - LEO'!AL8</f>
        <v>9.8133711286465193</v>
      </c>
      <c r="G7" s="367">
        <f>'Costs - SR - GEO'!AF8</f>
        <v>105000000</v>
      </c>
      <c r="H7" s="536">
        <f>'Costs - SR - GEO'!AM8</f>
        <v>30.992090471429179</v>
      </c>
    </row>
    <row r="8" spans="1:8" x14ac:dyDescent="0.3">
      <c r="A8" s="367">
        <f>'Costs - DTE'!AC8</f>
        <v>2628000</v>
      </c>
      <c r="B8" s="383">
        <f>'Costs - DTE'!AH8</f>
        <v>70.82618451377914</v>
      </c>
      <c r="D8" s="367">
        <f>'Costs - SR - LEO'!AE9</f>
        <v>126000000</v>
      </c>
      <c r="E8" s="536">
        <f>'Costs - SR - LEO'!AL9</f>
        <v>8.9178076876010657</v>
      </c>
      <c r="G8" s="367">
        <f>'Costs - SR - GEO'!AF9</f>
        <v>126000000</v>
      </c>
      <c r="H8" s="536">
        <f>'Costs - SR - GEO'!AM9</f>
        <v>29.270675206186034</v>
      </c>
    </row>
    <row r="9" spans="1:8" x14ac:dyDescent="0.3">
      <c r="A9" s="367">
        <f>'Costs - DTE'!AC9</f>
        <v>3153600</v>
      </c>
      <c r="B9" s="383">
        <f>'Costs - DTE'!AH9</f>
        <v>65.127490776415073</v>
      </c>
      <c r="D9" s="367">
        <f>'Costs - SR - LEO'!AE10</f>
        <v>147000000</v>
      </c>
      <c r="E9" s="536">
        <f>'Costs - SR - LEO'!AL10</f>
        <v>8.2781195154257396</v>
      </c>
      <c r="G9" s="367">
        <f>'Costs - SR - GEO'!AF10</f>
        <v>147000000</v>
      </c>
      <c r="H9" s="536">
        <f>'Costs - SR - GEO'!AM10</f>
        <v>28.041092873869502</v>
      </c>
    </row>
    <row r="10" spans="1:8" x14ac:dyDescent="0.3">
      <c r="A10" s="367">
        <f>'Costs - DTE'!AC10</f>
        <v>3679200</v>
      </c>
      <c r="B10" s="383">
        <f>'Costs - DTE'!AH10</f>
        <v>61.056995249726441</v>
      </c>
      <c r="D10" s="367">
        <f>'Costs - SR - LEO'!AE11</f>
        <v>168000000</v>
      </c>
      <c r="E10" s="536">
        <f>'Costs - SR - LEO'!AL11</f>
        <v>7.7983533862942451</v>
      </c>
      <c r="G10" s="367">
        <f>'Costs - SR - GEO'!AF11</f>
        <v>168000000</v>
      </c>
      <c r="H10" s="536">
        <f>'Costs - SR - GEO'!AM11</f>
        <v>27.118906124632112</v>
      </c>
    </row>
    <row r="11" spans="1:8" x14ac:dyDescent="0.3">
      <c r="A11" s="367">
        <f>'Costs - DTE'!AC11</f>
        <v>4204800</v>
      </c>
      <c r="B11" s="383">
        <f>'Costs - DTE'!AH11</f>
        <v>58.004123604709974</v>
      </c>
      <c r="D11" s="367">
        <f>'Costs - SR - LEO'!AE12</f>
        <v>189000000</v>
      </c>
      <c r="E11" s="536">
        <f>'Costs - SR - LEO'!AL12</f>
        <v>7.4252019525253061</v>
      </c>
      <c r="G11" s="367">
        <f>'Costs - SR - GEO'!AF12</f>
        <v>189000000</v>
      </c>
      <c r="H11" s="536">
        <f>'Costs - SR - GEO'!AM12</f>
        <v>26.401649764114133</v>
      </c>
    </row>
    <row r="12" spans="1:8" x14ac:dyDescent="0.3">
      <c r="A12" s="367">
        <f>'Costs - DTE'!AC12</f>
        <v>4730400</v>
      </c>
      <c r="B12" s="383">
        <f>'Costs - DTE'!AH12</f>
        <v>55.62966788080827</v>
      </c>
      <c r="D12" s="367">
        <f>'Costs - SR - LEO'!AE13</f>
        <v>210000000</v>
      </c>
      <c r="E12" s="536">
        <f>'Costs - SR - LEO'!AL13</f>
        <v>7.126680805510154</v>
      </c>
      <c r="G12" s="367">
        <f>'Costs - SR - GEO'!AF13</f>
        <v>210000000</v>
      </c>
      <c r="H12" s="536">
        <f>'Costs - SR - GEO'!AM13</f>
        <v>25.827844675699751</v>
      </c>
    </row>
    <row r="13" spans="1:8" x14ac:dyDescent="0.3">
      <c r="A13" s="367">
        <f>'Costs - DTE'!AC13</f>
        <v>5256000</v>
      </c>
      <c r="B13" s="383">
        <f>'Costs - DTE'!AH13</f>
        <v>53.73010330168691</v>
      </c>
      <c r="D13" s="367">
        <f>'Costs - SR - LEO'!AE14</f>
        <v>231000000</v>
      </c>
      <c r="E13" s="536">
        <f>'Costs - SR - LEO'!AL14</f>
        <v>6.8824362306795752</v>
      </c>
      <c r="G13" s="367">
        <f>'Costs - SR - GEO'!AF14</f>
        <v>231000000</v>
      </c>
      <c r="H13" s="536">
        <f>'Costs - SR - GEO'!AM14</f>
        <v>25.358367785178892</v>
      </c>
    </row>
    <row r="14" spans="1:8" x14ac:dyDescent="0.3">
      <c r="A14" s="367">
        <f>'Costs - DTE'!AC14</f>
        <v>5781600</v>
      </c>
      <c r="B14" s="383">
        <f>'Costs - DTE'!AH14</f>
        <v>52.175914100587619</v>
      </c>
      <c r="D14" s="367">
        <f>'Costs - SR - LEO'!AE15</f>
        <v>252000000</v>
      </c>
      <c r="E14" s="536">
        <f>'Costs - SR - LEO'!AL15</f>
        <v>6.6788990849874263</v>
      </c>
      <c r="G14" s="367">
        <f>'Costs - SR - GEO'!AF15</f>
        <v>252000000</v>
      </c>
      <c r="H14" s="536">
        <f>'Costs - SR - GEO'!AM15</f>
        <v>24.967137043078178</v>
      </c>
    </row>
    <row r="15" spans="1:8" x14ac:dyDescent="0.3">
      <c r="A15" s="367">
        <f>'Costs - DTE'!AC15</f>
        <v>6307200</v>
      </c>
      <c r="B15" s="383">
        <f>'Costs - DTE'!AH15</f>
        <v>50.880756433004869</v>
      </c>
      <c r="D15" s="367">
        <f>'Costs - SR - LEO'!AE16</f>
        <v>273000000</v>
      </c>
      <c r="E15" s="536">
        <f>'Costs - SR - LEO'!AL16</f>
        <v>6.5066753463248386</v>
      </c>
      <c r="G15" s="367">
        <f>'Costs - SR - GEO'!AF16</f>
        <v>273000000</v>
      </c>
      <c r="H15" s="536">
        <f>'Costs - SR - GEO'!AM16</f>
        <v>24.636095645916029</v>
      </c>
    </row>
    <row r="16" spans="1:8" x14ac:dyDescent="0.3">
      <c r="A16" s="367">
        <f>'Costs - DTE'!AC16</f>
        <v>6832800</v>
      </c>
      <c r="B16" s="383">
        <f>'Costs - DTE'!AH16</f>
        <v>49.784853791204085</v>
      </c>
      <c r="D16" s="367">
        <f>'Costs - SR - LEO'!AE17</f>
        <v>294000000</v>
      </c>
      <c r="E16" s="536">
        <f>'Costs - SR - LEO'!AL17</f>
        <v>6.3590549988997633</v>
      </c>
      <c r="G16" s="367">
        <f>'Costs - SR - GEO'!AF17</f>
        <v>294000000</v>
      </c>
      <c r="H16" s="536">
        <f>'Costs - SR - GEO'!AM17</f>
        <v>24.352345876919905</v>
      </c>
    </row>
    <row r="17" spans="1:8" x14ac:dyDescent="0.3">
      <c r="A17" s="367">
        <f>'Costs - DTE'!AC17</f>
        <v>7358400</v>
      </c>
      <c r="B17" s="383">
        <f>'Costs - DTE'!AH17</f>
        <v>48.84550866966056</v>
      </c>
      <c r="D17" s="367">
        <f>'Costs - SR - LEO'!AE18</f>
        <v>315000000</v>
      </c>
      <c r="E17" s="536">
        <f>'Costs - SR - LEO'!AL18</f>
        <v>6.2311173644646978</v>
      </c>
      <c r="G17" s="367">
        <f>'Costs - SR - GEO'!AF18</f>
        <v>315000000</v>
      </c>
      <c r="H17" s="536">
        <f>'Costs - SR - GEO'!AM18</f>
        <v>24.106429410456599</v>
      </c>
    </row>
    <row r="18" spans="1:8" x14ac:dyDescent="0.3">
      <c r="A18" s="367">
        <f>'Costs - DTE'!AC18</f>
        <v>7884000</v>
      </c>
      <c r="B18" s="383">
        <f>'Costs - DTE'!AH18</f>
        <v>48.031409564322836</v>
      </c>
      <c r="D18" s="367">
        <f>'Costs - SR - LEO'!AE19</f>
        <v>336000000</v>
      </c>
      <c r="E18" s="536">
        <f>'Costs - SR - LEO'!AL19</f>
        <v>6.119171934334017</v>
      </c>
      <c r="G18" s="367">
        <f>'Costs - SR - GEO'!AF19</f>
        <v>336000000</v>
      </c>
      <c r="H18" s="536">
        <f>'Costs - SR - GEO'!AM19</f>
        <v>23.891252502301207</v>
      </c>
    </row>
    <row r="19" spans="1:8" x14ac:dyDescent="0.3">
      <c r="A19" s="367">
        <f>'Costs - DTE'!AC19</f>
        <v>8409600</v>
      </c>
      <c r="B19" s="383">
        <f>'Costs - DTE'!AH19</f>
        <v>47.319072847152327</v>
      </c>
      <c r="D19" s="367">
        <f>'Costs - SR - LEO'!AE20</f>
        <v>357000000</v>
      </c>
      <c r="E19" s="536">
        <f>'Costs - SR - LEO'!AL20</f>
        <v>6.0203965548069451</v>
      </c>
      <c r="G19" s="367">
        <f>'Costs - SR - GEO'!AF20</f>
        <v>357000000</v>
      </c>
      <c r="H19" s="536">
        <f>'Costs - SR - GEO'!AM20</f>
        <v>23.701390524517034</v>
      </c>
    </row>
    <row r="20" spans="1:8" x14ac:dyDescent="0.3">
      <c r="A20" s="367">
        <f>'Costs - DTE'!AC20</f>
        <v>8935200</v>
      </c>
      <c r="B20" s="383">
        <f>'Costs - DTE'!AH20</f>
        <v>46.690540449648935</v>
      </c>
      <c r="D20" s="367">
        <f>'Costs - SR - LEO'!AE21</f>
        <v>378000000</v>
      </c>
      <c r="E20" s="536">
        <f>'Costs - SR - LEO'!AL21</f>
        <v>5.9325962174495466</v>
      </c>
      <c r="G20" s="367">
        <f>'Costs - SR - GEO'!AF21</f>
        <v>378000000</v>
      </c>
      <c r="H20" s="536">
        <f>'Costs - SR - GEO'!AM21</f>
        <v>23.532624322042217</v>
      </c>
    </row>
    <row r="21" spans="1:8" x14ac:dyDescent="0.3">
      <c r="A21" s="367">
        <f>'Costs - DTE'!AC21</f>
        <v>9460800</v>
      </c>
      <c r="B21" s="383">
        <f>'Costs - DTE'!AH21</f>
        <v>46.131844985201475</v>
      </c>
      <c r="D21" s="367">
        <f>'Costs - SR - LEO'!AE22</f>
        <v>399000000</v>
      </c>
      <c r="E21" s="536">
        <f>'Costs - SR - LEO'!AL22</f>
        <v>5.8540380208666125</v>
      </c>
      <c r="G21" s="367">
        <f>'Costs - SR - GEO'!AF22</f>
        <v>399000000</v>
      </c>
      <c r="H21" s="536">
        <f>'Costs - SR - GEO'!AM22</f>
        <v>23.3816229829858</v>
      </c>
    </row>
    <row r="22" spans="1:8" x14ac:dyDescent="0.3">
      <c r="A22" s="367">
        <f>'Costs - DTE'!AC22</f>
        <v>9986400</v>
      </c>
      <c r="B22" s="383">
        <f>'Costs - DTE'!AH22</f>
        <v>45.631959569643222</v>
      </c>
      <c r="D22" s="367">
        <f>'Costs - SR - LEO'!AE23</f>
        <v>420000000</v>
      </c>
      <c r="E22" s="536">
        <f>'Costs - SR - LEO'!AL23</f>
        <v>5.7833356439419701</v>
      </c>
      <c r="G22" s="367">
        <f>'Costs - SR - GEO'!AF23</f>
        <v>420000000</v>
      </c>
      <c r="H22" s="536">
        <f>'Costs - SR - GEO'!AM23</f>
        <v>23.245721777835023</v>
      </c>
    </row>
    <row r="23" spans="1:8" x14ac:dyDescent="0.3">
      <c r="A23" s="367">
        <f>'Costs - DTE'!AC23</f>
        <v>10512000</v>
      </c>
      <c r="B23" s="383">
        <f>'Costs - DTE'!AH23</f>
        <v>45.182062695640802</v>
      </c>
      <c r="D23" s="367">
        <f>'Costs - SR - LEO'!AE24</f>
        <v>441000000</v>
      </c>
      <c r="E23" s="536">
        <f>'Costs - SR - LEO'!AL24</f>
        <v>5.7193668267244382</v>
      </c>
      <c r="G23" s="367">
        <f>'Costs - SR - GEO'!AF24</f>
        <v>441000000</v>
      </c>
      <c r="H23" s="536">
        <f>'Costs - SR - GEO'!AM24</f>
        <v>23.122763544603373</v>
      </c>
    </row>
    <row r="24" spans="1:8" x14ac:dyDescent="0.3">
      <c r="A24" s="367">
        <f>'Costs - DTE'!AC24</f>
        <v>11037600</v>
      </c>
      <c r="B24" s="383">
        <f>'Costs - DTE'!AH24</f>
        <v>44.775013142971943</v>
      </c>
      <c r="D24" s="367">
        <f>'Costs - SR - LEO'!AE25</f>
        <v>462000000</v>
      </c>
      <c r="E24" s="536">
        <f>'Costs - SR - LEO'!AL25</f>
        <v>5.6612133565266811</v>
      </c>
      <c r="G24" s="367">
        <f>'Costs - SR - GEO'!AF25</f>
        <v>462000000</v>
      </c>
      <c r="H24" s="536">
        <f>'Costs - SR - GEO'!AM25</f>
        <v>23.0109833325746</v>
      </c>
    </row>
    <row r="25" spans="1:8" x14ac:dyDescent="0.3">
      <c r="A25" s="367">
        <f>'Costs - DTE'!AC25</f>
        <v>11563200</v>
      </c>
      <c r="B25" s="383">
        <f>'Costs - DTE'!AH25</f>
        <v>44.404968095091164</v>
      </c>
      <c r="D25" s="367">
        <f>'Costs - SR - LEO'!AE26</f>
        <v>483000000</v>
      </c>
      <c r="E25" s="536">
        <f>'Costs - SR - LEO'!AL26</f>
        <v>5.6081167098243823</v>
      </c>
      <c r="G25" s="367">
        <f>'Costs - SR - GEO'!AF26</f>
        <v>483000000</v>
      </c>
      <c r="H25" s="536">
        <f>'Costs - SR - GEO'!AM26</f>
        <v>22.908923138983106</v>
      </c>
    </row>
    <row r="26" spans="1:8" x14ac:dyDescent="0.3">
      <c r="A26" s="367">
        <f>'Costs - DTE'!AC26</f>
        <v>12088800</v>
      </c>
      <c r="B26" s="383">
        <f>'Costs - DTE'!AH26</f>
        <v>44.067100877460888</v>
      </c>
      <c r="D26" s="367">
        <f>'Costs - SR - LEO'!AE27</f>
        <v>504000000</v>
      </c>
      <c r="E26" s="536">
        <f>'Costs - SR - LEO'!AL27</f>
        <v>5.5594447836806076</v>
      </c>
      <c r="G26" s="367">
        <f>'Costs - SR - GEO'!AF27</f>
        <v>504000000</v>
      </c>
      <c r="H26" s="536">
        <f>'Costs - SR - GEO'!AM27</f>
        <v>22.815367961524238</v>
      </c>
    </row>
    <row r="27" spans="1:8" x14ac:dyDescent="0.3">
      <c r="A27" s="367">
        <f>'Costs - DTE'!AC27</f>
        <v>12614400</v>
      </c>
      <c r="B27" s="383">
        <f>'Costs - DTE'!AH27</f>
        <v>43.757389261299792</v>
      </c>
      <c r="D27" s="367">
        <f>'Costs - SR - LEO'!AE28</f>
        <v>525000000</v>
      </c>
      <c r="E27" s="536">
        <f>'Costs - SR - LEO'!AL28</f>
        <v>5.5146666116283356</v>
      </c>
      <c r="G27" s="367">
        <f>'Costs - SR - GEO'!AF28</f>
        <v>525000000</v>
      </c>
      <c r="H27" s="536">
        <f>'Costs - SR - GEO'!AM28</f>
        <v>22.729297198262078</v>
      </c>
    </row>
    <row r="28" spans="1:8" ht="15" thickBot="1" x14ac:dyDescent="0.35">
      <c r="A28" s="375">
        <f>'Costs - DTE'!AC28</f>
        <v>13140000</v>
      </c>
      <c r="B28" s="538">
        <f>'Costs - DTE'!AH28</f>
        <v>43.472454574431595</v>
      </c>
      <c r="D28" s="367">
        <f>'Costs - SR - LEO'!AE29</f>
        <v>546000000</v>
      </c>
      <c r="E28" s="536">
        <f>'Costs - SR - LEO'!AL29</f>
        <v>5.4733329143493146</v>
      </c>
      <c r="G28" s="367">
        <f>'Costs - SR - GEO'!AF29</f>
        <v>546000000</v>
      </c>
      <c r="H28" s="536">
        <f>'Costs - SR - GEO'!AM29</f>
        <v>22.649847262943165</v>
      </c>
    </row>
    <row r="29" spans="1:8" x14ac:dyDescent="0.3">
      <c r="A29" s="539"/>
      <c r="D29" s="367">
        <f>'Costs - SR - LEO'!AE30</f>
        <v>567000000</v>
      </c>
      <c r="E29" s="536">
        <f>'Costs - SR - LEO'!AL30</f>
        <v>5.4350609724242958</v>
      </c>
      <c r="G29" s="367">
        <f>'Costs - SR - GEO'!AF30</f>
        <v>567000000</v>
      </c>
      <c r="H29" s="536">
        <f>'Costs - SR - GEO'!AM30</f>
        <v>22.576282508018245</v>
      </c>
    </row>
    <row r="30" spans="1:8" x14ac:dyDescent="0.3">
      <c r="A30" s="539"/>
      <c r="D30" s="367">
        <f>'Costs - SR - LEO'!AE31</f>
        <v>588000000</v>
      </c>
      <c r="E30" s="536">
        <f>'Costs - SR - LEO'!AL31</f>
        <v>5.3995227406367778</v>
      </c>
      <c r="G30" s="367">
        <f>'Costs - SR - GEO'!AF31</f>
        <v>588000000</v>
      </c>
      <c r="H30" s="536">
        <f>'Costs - SR - GEO'!AM31</f>
        <v>22.507972378445103</v>
      </c>
    </row>
    <row r="31" spans="1:8" x14ac:dyDescent="0.3">
      <c r="A31" s="539"/>
      <c r="D31" s="367">
        <f>'Costs - SR - LEO'!AE32</f>
        <v>609000000</v>
      </c>
      <c r="E31" s="536">
        <f>'Costs - SR - LEO'!AL32</f>
        <v>5.3664354213863303</v>
      </c>
      <c r="G31" s="367">
        <f>'Costs - SR - GEO'!AF32</f>
        <v>609000000</v>
      </c>
      <c r="H31" s="536">
        <f>'Costs - SR - GEO'!AM32</f>
        <v>22.444373292290802</v>
      </c>
    </row>
    <row r="32" spans="1:8" x14ac:dyDescent="0.3">
      <c r="A32" s="539"/>
      <c r="D32" s="367">
        <f>'Costs - SR - LEO'!AE33</f>
        <v>630000000</v>
      </c>
      <c r="E32" s="536">
        <f>'Costs - SR - LEO'!AL33</f>
        <v>5.3355539234192459</v>
      </c>
      <c r="G32" s="367">
        <f>'Costs - SR - GEO'!AF33</f>
        <v>630000000</v>
      </c>
      <c r="H32" s="536">
        <f>'Costs - SR - GEO'!AM33</f>
        <v>22.38501414521345</v>
      </c>
    </row>
    <row r="33" spans="1:8" x14ac:dyDescent="0.3">
      <c r="A33" s="539"/>
      <c r="D33" s="367">
        <f>'Costs - SR - LEO'!AE34</f>
        <v>651000000</v>
      </c>
      <c r="E33" s="536">
        <f>'Costs - SR - LEO'!AL34</f>
        <v>5.3066647801597151</v>
      </c>
      <c r="G33" s="367">
        <f>'Costs - SR - GEO'!AF34</f>
        <v>651000000</v>
      </c>
      <c r="H33" s="536">
        <f>'Costs - SR - GEO'!AM34</f>
        <v>22.329484620528188</v>
      </c>
    </row>
    <row r="34" spans="1:8" x14ac:dyDescent="0.3">
      <c r="A34" s="539"/>
      <c r="D34" s="367">
        <f>'Costs - SR - LEO'!AE35</f>
        <v>672000000</v>
      </c>
      <c r="E34" s="536">
        <f>'Costs - SR - LEO'!AL35</f>
        <v>5.2795812083539051</v>
      </c>
      <c r="G34" s="367">
        <f>'Costs - SR - GEO'!AF35</f>
        <v>672000000</v>
      </c>
      <c r="H34" s="536">
        <f>'Costs - SR - GEO'!AM35</f>
        <v>22.277425691135754</v>
      </c>
    </row>
    <row r="35" spans="1:8" x14ac:dyDescent="0.3">
      <c r="A35" s="539"/>
      <c r="D35" s="367">
        <f>'Costs - SR - LEO'!AE36</f>
        <v>693000000</v>
      </c>
      <c r="E35" s="536">
        <f>'Costs - SR - LEO'!AL36</f>
        <v>5.254139065142386</v>
      </c>
      <c r="G35" s="367">
        <f>'Costs - SR - GEO'!AF36</f>
        <v>693000000</v>
      </c>
      <c r="H35" s="536">
        <f>'Costs - SR - GEO'!AM36</f>
        <v>22.228521848373166</v>
      </c>
    </row>
    <row r="36" spans="1:8" x14ac:dyDescent="0.3">
      <c r="A36" s="539"/>
      <c r="D36" s="367">
        <f>'Costs - SR - LEO'!AE37</f>
        <v>714000000</v>
      </c>
      <c r="E36" s="536">
        <f>'Costs - SR - LEO'!AL37</f>
        <v>5.2301935185903696</v>
      </c>
      <c r="G36" s="367">
        <f>'Costs - SR - GEO'!AF37</f>
        <v>714000000</v>
      </c>
      <c r="H36" s="536">
        <f>'Costs - SR - GEO'!AM37</f>
        <v>22.182494702243666</v>
      </c>
    </row>
    <row r="37" spans="1:8" x14ac:dyDescent="0.3">
      <c r="A37" s="539"/>
      <c r="D37" s="367">
        <f>'Costs - SR - LEO'!AE38</f>
        <v>735000000</v>
      </c>
      <c r="E37" s="536">
        <f>'Costs - SR - LEO'!AL38</f>
        <v>5.2076162889841822</v>
      </c>
      <c r="G37" s="367">
        <f>'Costs - SR - GEO'!AF38</f>
        <v>735000000</v>
      </c>
      <c r="H37" s="536">
        <f>'Costs - SR - GEO'!AM38</f>
        <v>22.139097678750144</v>
      </c>
    </row>
    <row r="38" spans="1:8" x14ac:dyDescent="0.3">
      <c r="A38" s="539"/>
      <c r="D38" s="367">
        <f>'Costs - SR - LEO'!AE39</f>
        <v>756000000</v>
      </c>
      <c r="E38" s="536">
        <f>'Costs - SR - LEO'!AL39</f>
        <v>5.1862933499116712</v>
      </c>
      <c r="G38" s="367">
        <f>'Costs - SR - GEO'!AF39</f>
        <v>756000000</v>
      </c>
      <c r="H38" s="536">
        <f>'Costs - SR - GEO'!AM39</f>
        <v>22.098111601006259</v>
      </c>
    </row>
    <row r="39" spans="1:8" x14ac:dyDescent="0.3">
      <c r="A39" s="539"/>
      <c r="D39" s="367">
        <f>'Costs - SR - LEO'!AE40</f>
        <v>777000000</v>
      </c>
      <c r="E39" s="536">
        <f>'Costs - SR - LEO'!AL40</f>
        <v>5.1661230021403775</v>
      </c>
      <c r="G39" s="367">
        <f>'Costs - SR - GEO'!AF40</f>
        <v>777000000</v>
      </c>
      <c r="H39" s="536">
        <f>'Costs - SR - GEO'!AM40</f>
        <v>22.059340986924209</v>
      </c>
    </row>
    <row r="40" spans="1:8" x14ac:dyDescent="0.3">
      <c r="A40" s="539"/>
      <c r="D40" s="367">
        <f>'Costs - SR - LEO'!AE41</f>
        <v>798000000</v>
      </c>
      <c r="E40" s="536">
        <f>'Costs - SR - LEO'!AL41</f>
        <v>5.1470142516202042</v>
      </c>
      <c r="G40" s="367">
        <f>'Costs - SR - GEO'!AF41</f>
        <v>798000000</v>
      </c>
      <c r="H40" s="536">
        <f>'Costs - SR - GEO'!AM41</f>
        <v>22.022610931478052</v>
      </c>
    </row>
    <row r="41" spans="1:8" x14ac:dyDescent="0.3">
      <c r="A41" s="539"/>
      <c r="D41" s="367">
        <f>'Costs - SR - LEO'!AE42</f>
        <v>819000000</v>
      </c>
      <c r="E41" s="536">
        <f>'Costs - SR - LEO'!AL42</f>
        <v>5.1288854370241426</v>
      </c>
      <c r="G41" s="367">
        <f>'Costs - SR - GEO'!AF42</f>
        <v>819000000</v>
      </c>
      <c r="H41" s="536">
        <f>'Costs - SR - GEO'!AM42</f>
        <v>21.987764468618877</v>
      </c>
    </row>
    <row r="42" spans="1:8" x14ac:dyDescent="0.3">
      <c r="A42" s="539"/>
      <c r="D42" s="367">
        <f>'Costs - SR - LEO'!AE43</f>
        <v>840000000</v>
      </c>
      <c r="E42" s="536">
        <f>'Costs - SR - LEO'!AL43</f>
        <v>5.1116630631578834</v>
      </c>
      <c r="G42" s="367">
        <f>'Costs - SR - GEO'!AF43</f>
        <v>840000000</v>
      </c>
      <c r="H42" s="536">
        <f>'Costs - SR - GEO'!AM43</f>
        <v>21.954660328902666</v>
      </c>
    </row>
    <row r="43" spans="1:8" x14ac:dyDescent="0.3">
      <c r="A43" s="539"/>
      <c r="D43" s="367">
        <f>'Costs - SR - LEO'!AE44</f>
        <v>861000000</v>
      </c>
      <c r="E43" s="536">
        <f>'Costs - SR - LEO'!AL44</f>
        <v>5.0952808050899785</v>
      </c>
      <c r="G43" s="367">
        <f>'Costs - SR - GEO'!AF44</f>
        <v>861000000</v>
      </c>
      <c r="H43" s="536">
        <f>'Costs - SR - GEO'!AM44</f>
        <v>21.923171025270168</v>
      </c>
    </row>
    <row r="44" spans="1:8" x14ac:dyDescent="0.3">
      <c r="A44" s="539"/>
      <c r="D44" s="367">
        <f>'Costs - SR - LEO'!AE45</f>
        <v>882000000</v>
      </c>
      <c r="E44" s="536">
        <f>'Costs - SR - LEO'!AL45</f>
        <v>5.0796786545491184</v>
      </c>
      <c r="G44" s="367">
        <f>'Costs - SR - GEO'!AF45</f>
        <v>882000000</v>
      </c>
      <c r="H44" s="536">
        <f>'Costs - SR - GEO'!AM45</f>
        <v>21.893181212286837</v>
      </c>
    </row>
    <row r="45" spans="1:8" x14ac:dyDescent="0.3">
      <c r="A45" s="539"/>
      <c r="D45" s="367">
        <f>'Costs - SR - LEO'!AE46</f>
        <v>903000000</v>
      </c>
      <c r="E45" s="536">
        <f>'Costs - SR - LEO'!AL46</f>
        <v>5.0648021854287615</v>
      </c>
      <c r="G45" s="367">
        <f>'Costs - SR - GEO'!AF46</f>
        <v>903000000</v>
      </c>
      <c r="H45" s="536">
        <f>'Costs - SR - GEO'!AM46</f>
        <v>21.86458627432599</v>
      </c>
    </row>
    <row r="46" spans="1:8" x14ac:dyDescent="0.3">
      <c r="A46" s="539"/>
      <c r="D46" s="367">
        <f>'Costs - SR - LEO'!AE47</f>
        <v>924000000</v>
      </c>
      <c r="E46" s="536">
        <f>'Costs - SR - LEO'!AL47</f>
        <v>5.0506019194502398</v>
      </c>
      <c r="G46" s="367">
        <f>'Costs - SR - GEO'!AF47</f>
        <v>924000000</v>
      </c>
      <c r="H46" s="536">
        <f>'Costs - SR - GEO'!AM47</f>
        <v>21.837291106272449</v>
      </c>
    </row>
    <row r="47" spans="1:8" x14ac:dyDescent="0.3">
      <c r="D47" s="367">
        <f>'Costs - SR - LEO'!AE48</f>
        <v>945000000</v>
      </c>
      <c r="E47" s="536">
        <f>'Costs - SR - LEO'!AL48</f>
        <v>5.0370327764040956</v>
      </c>
      <c r="G47" s="367">
        <f>'Costs - SR - GEO'!AF48</f>
        <v>945000000</v>
      </c>
      <c r="H47" s="536">
        <f>'Costs - SR - GEO'!AM48</f>
        <v>21.811209056799068</v>
      </c>
    </row>
    <row r="48" spans="1:8" x14ac:dyDescent="0.3">
      <c r="D48" s="367">
        <f>'Costs - SR - LEO'!AE49</f>
        <v>966000000</v>
      </c>
      <c r="E48" s="536">
        <f>'Costs - SR - LEO'!AL49</f>
        <v>5.0240535960990904</v>
      </c>
      <c r="G48" s="367">
        <f>'Costs - SR - GEO'!AF49</f>
        <v>966000000</v>
      </c>
      <c r="H48" s="536">
        <f>'Costs - SR - GEO'!AM49</f>
        <v>21.786261009476704</v>
      </c>
    </row>
    <row r="49" spans="4:8" x14ac:dyDescent="0.3">
      <c r="D49" s="367">
        <f>'Costs - SR - LEO'!AE50</f>
        <v>987000000</v>
      </c>
      <c r="E49" s="536">
        <f>'Costs - SR - LEO'!AL50</f>
        <v>5.0116267213389776</v>
      </c>
      <c r="G49" s="367">
        <f>'Costs - SR - GEO'!AF50</f>
        <v>987000000</v>
      </c>
      <c r="H49" s="536">
        <f>'Costs - SR - GEO'!AM50</f>
        <v>21.762374581189331</v>
      </c>
    </row>
    <row r="50" spans="4:8" x14ac:dyDescent="0.3">
      <c r="D50" s="367">
        <f>'Costs - SR - LEO'!AE51</f>
        <v>1008000000</v>
      </c>
      <c r="E50" s="536">
        <f>'Costs - SR - LEO'!AL51</f>
        <v>4.9997176330272026</v>
      </c>
      <c r="G50" s="367">
        <f>'Costs - SR - GEO'!AF51</f>
        <v>1008000000</v>
      </c>
      <c r="H50" s="536">
        <f>'Costs - SR - GEO'!AM51</f>
        <v>21.73948342074727</v>
      </c>
    </row>
    <row r="51" spans="4:8" x14ac:dyDescent="0.3">
      <c r="D51" s="367">
        <f>'Costs - SR - LEO'!AE52</f>
        <v>1029000000</v>
      </c>
      <c r="E51" s="536">
        <f>'Costs - SR - LEO'!AL52</f>
        <v>4.9882946299526436</v>
      </c>
      <c r="G51" s="367">
        <f>'Costs - SR - GEO'!AF52</f>
        <v>1029000000</v>
      </c>
      <c r="H51" s="536">
        <f>'Costs - SR - GEO'!AM52</f>
        <v>21.717526593384473</v>
      </c>
    </row>
    <row r="52" spans="4:8" x14ac:dyDescent="0.3">
      <c r="D52" s="367">
        <f>'Costs - SR - LEO'!AE53</f>
        <v>1050000000</v>
      </c>
      <c r="E52" s="536">
        <f>'Costs - SR - LEO'!AL53</f>
        <v>4.9773285470010666</v>
      </c>
      <c r="G52" s="367">
        <f>'Costs - SR - GEO'!AF53</f>
        <v>1050000000</v>
      </c>
      <c r="H52" s="536">
        <f>'Costs - SR - GEO'!AM53</f>
        <v>21.696448039116195</v>
      </c>
    </row>
    <row r="53" spans="4:8" x14ac:dyDescent="0.3">
      <c r="D53" s="367">
        <f>'Costs - SR - LEO'!AE54</f>
        <v>1071000000</v>
      </c>
      <c r="E53" s="536">
        <f>'Costs - SR - LEO'!AL54</f>
        <v>4.9667925065181793</v>
      </c>
      <c r="G53" s="367">
        <f>'Costs - SR - GEO'!AF54</f>
        <v>1071000000</v>
      </c>
      <c r="H53" s="536">
        <f>'Costs - SR - GEO'!AM54</f>
        <v>21.676196094819215</v>
      </c>
    </row>
    <row r="54" spans="4:8" ht="15" thickBot="1" x14ac:dyDescent="0.35">
      <c r="D54" s="367">
        <f>'Costs - SR - LEO'!AE55</f>
        <v>1092000000</v>
      </c>
      <c r="E54" s="536">
        <f>'Costs - SR - LEO'!AL55</f>
        <v>4.9566616983615557</v>
      </c>
      <c r="G54" s="375">
        <f>'Costs - SR - GEO'!AF55</f>
        <v>1092000000</v>
      </c>
      <c r="H54" s="540">
        <f>'Costs - SR - GEO'!AM55</f>
        <v>21.656723071456732</v>
      </c>
    </row>
    <row r="55" spans="4:8" x14ac:dyDescent="0.3">
      <c r="D55" s="367">
        <f>'Costs - SR - LEO'!AE56</f>
        <v>1113000000</v>
      </c>
      <c r="E55" s="536">
        <f>'Costs - SR - LEO'!AL56</f>
        <v>4.9469131848523533</v>
      </c>
      <c r="G55" s="539"/>
      <c r="H55" s="539"/>
    </row>
    <row r="56" spans="4:8" x14ac:dyDescent="0.3">
      <c r="D56" s="367">
        <f>'Costs - SR - LEO'!AE57</f>
        <v>1134000000</v>
      </c>
      <c r="E56" s="536">
        <f>'Costs - SR - LEO'!AL57</f>
        <v>4.9375257273990467</v>
      </c>
      <c r="G56" s="539"/>
      <c r="H56" s="539"/>
    </row>
    <row r="57" spans="4:8" x14ac:dyDescent="0.3">
      <c r="D57" s="367">
        <f>'Costs - SR - LEO'!AE58</f>
        <v>1155000000</v>
      </c>
      <c r="E57" s="536">
        <f>'Costs - SR - LEO'!AL58</f>
        <v>4.9284796320349509</v>
      </c>
      <c r="G57" s="539"/>
      <c r="H57" s="539"/>
    </row>
    <row r="58" spans="4:8" x14ac:dyDescent="0.3">
      <c r="D58" s="367">
        <f>'Costs - SR - LEO'!AE59</f>
        <v>1176000000</v>
      </c>
      <c r="E58" s="536">
        <f>'Costs - SR - LEO'!AL59</f>
        <v>4.9197566115052878</v>
      </c>
      <c r="G58" s="539"/>
      <c r="H58" s="539"/>
    </row>
    <row r="59" spans="4:8" x14ac:dyDescent="0.3">
      <c r="D59" s="367">
        <f>'Costs - SR - LEO'!AE60</f>
        <v>1197000000</v>
      </c>
      <c r="E59" s="536">
        <f>'Costs - SR - LEO'!AL60</f>
        <v>4.911339661871402</v>
      </c>
      <c r="G59" s="539"/>
      <c r="H59" s="539"/>
    </row>
    <row r="60" spans="4:8" x14ac:dyDescent="0.3">
      <c r="D60" s="367">
        <f>'Costs - SR - LEO'!AE61</f>
        <v>1218000000</v>
      </c>
      <c r="E60" s="536">
        <f>'Costs - SR - LEO'!AL61</f>
        <v>4.9032129518800645</v>
      </c>
      <c r="G60" s="539"/>
      <c r="H60" s="539"/>
    </row>
    <row r="61" spans="4:8" x14ac:dyDescent="0.3">
      <c r="D61" s="367">
        <f>'Costs - SR - LEO'!AE62</f>
        <v>1239000000</v>
      </c>
      <c r="E61" s="536">
        <f>'Costs - SR - LEO'!AL62</f>
        <v>4.8953617235833482</v>
      </c>
      <c r="G61" s="539"/>
      <c r="H61" s="539"/>
    </row>
    <row r="62" spans="4:8" x14ac:dyDescent="0.3">
      <c r="D62" s="367">
        <f>'Costs - SR - LEO'!AE63</f>
        <v>1260000000</v>
      </c>
      <c r="E62" s="536">
        <f>'Costs - SR - LEO'!AL63</f>
        <v>4.8877722028965218</v>
      </c>
      <c r="G62" s="539"/>
      <c r="H62" s="539"/>
    </row>
    <row r="63" spans="4:8" x14ac:dyDescent="0.3">
      <c r="D63" s="367">
        <f>'Costs - SR - LEO'!AE64</f>
        <v>1281000000</v>
      </c>
      <c r="E63" s="536">
        <f>'Costs - SR - LEO'!AL64</f>
        <v>4.880431518953527</v>
      </c>
      <c r="G63" s="539"/>
      <c r="H63" s="539"/>
    </row>
    <row r="64" spans="4:8" x14ac:dyDescent="0.3">
      <c r="D64" s="367">
        <f>'Costs - SR - LEO'!AE65</f>
        <v>1302000000</v>
      </c>
      <c r="E64" s="536">
        <f>'Costs - SR - LEO'!AL65</f>
        <v>4.8733276312667568</v>
      </c>
      <c r="G64" s="539"/>
      <c r="H64" s="539"/>
    </row>
    <row r="65" spans="4:8" x14ac:dyDescent="0.3">
      <c r="D65" s="367">
        <f>'Costs - SR - LEO'!AE66</f>
        <v>1323000000</v>
      </c>
      <c r="E65" s="536">
        <f>'Costs - SR - LEO'!AL66</f>
        <v>4.8664492638240109</v>
      </c>
      <c r="G65" s="539"/>
      <c r="H65" s="539"/>
    </row>
    <row r="66" spans="4:8" x14ac:dyDescent="0.3">
      <c r="D66" s="367">
        <f>'Costs - SR - LEO'!AE67</f>
        <v>1344000000</v>
      </c>
      <c r="E66" s="536">
        <f>'Costs - SR - LEO'!AL67</f>
        <v>4.8597858453638514</v>
      </c>
      <c r="G66" s="539"/>
      <c r="H66" s="539"/>
    </row>
    <row r="67" spans="4:8" x14ac:dyDescent="0.3">
      <c r="D67" s="367">
        <f>'Costs - SR - LEO'!AE68</f>
        <v>1365000000</v>
      </c>
      <c r="E67" s="536">
        <f>'Costs - SR - LEO'!AL68</f>
        <v>4.8533274551640044</v>
      </c>
      <c r="G67" s="539"/>
      <c r="H67" s="539"/>
    </row>
    <row r="68" spans="4:8" x14ac:dyDescent="0.3">
      <c r="D68" s="367">
        <f>'Costs - SR - LEO'!AE69</f>
        <v>1386000000</v>
      </c>
      <c r="E68" s="536">
        <f>'Costs - SR - LEO'!AL69</f>
        <v>4.8470647737580927</v>
      </c>
      <c r="G68" s="539"/>
      <c r="H68" s="539"/>
    </row>
    <row r="69" spans="4:8" x14ac:dyDescent="0.3">
      <c r="D69" s="367">
        <f>'Costs - SR - LEO'!AE70</f>
        <v>1407000000</v>
      </c>
      <c r="E69" s="536">
        <f>'Costs - SR - LEO'!AL70</f>
        <v>4.8409890380657892</v>
      </c>
      <c r="G69" s="539"/>
      <c r="H69" s="539"/>
    </row>
    <row r="70" spans="4:8" x14ac:dyDescent="0.3">
      <c r="D70" s="367">
        <f>'Costs - SR - LEO'!AE71</f>
        <v>1428000000</v>
      </c>
      <c r="E70" s="536">
        <f>'Costs - SR - LEO'!AL71</f>
        <v>4.8350920004820841</v>
      </c>
      <c r="G70" s="539"/>
      <c r="H70" s="539"/>
    </row>
    <row r="71" spans="4:8" x14ac:dyDescent="0.3">
      <c r="D71" s="367">
        <f>'Costs - SR - LEO'!AE72</f>
        <v>1449000000</v>
      </c>
      <c r="E71" s="536">
        <f>'Costs - SR - LEO'!AL72</f>
        <v>4.8293658915239925</v>
      </c>
      <c r="G71" s="539"/>
      <c r="H71" s="539"/>
    </row>
    <row r="72" spans="4:8" x14ac:dyDescent="0.3">
      <c r="D72" s="367">
        <f>'Costs - SR - LEO'!AE73</f>
        <v>1470000000</v>
      </c>
      <c r="E72" s="536">
        <f>'Costs - SR - LEO'!AL73</f>
        <v>4.8238033856789899</v>
      </c>
      <c r="G72" s="539"/>
      <c r="H72" s="539"/>
    </row>
    <row r="73" spans="4:8" x14ac:dyDescent="0.3">
      <c r="D73" s="367">
        <f>'Costs - SR - LEO'!AE74</f>
        <v>1491000000</v>
      </c>
      <c r="E73" s="536">
        <f>'Costs - SR - LEO'!AL74</f>
        <v>4.8183975701394806</v>
      </c>
      <c r="G73" s="539"/>
      <c r="H73" s="539"/>
    </row>
    <row r="74" spans="4:8" x14ac:dyDescent="0.3">
      <c r="D74" s="367">
        <f>'Costs - SR - LEO'!AE75</f>
        <v>1512000000</v>
      </c>
      <c r="E74" s="536">
        <f>'Costs - SR - LEO'!AL75</f>
        <v>4.813141916142734</v>
      </c>
      <c r="G74" s="539"/>
      <c r="H74" s="539"/>
    </row>
    <row r="75" spans="4:8" x14ac:dyDescent="0.3">
      <c r="D75" s="367">
        <f>'Costs - SR - LEO'!AE76</f>
        <v>1533000000</v>
      </c>
      <c r="E75" s="536">
        <f>'Costs - SR - LEO'!AL76</f>
        <v>4.8080302526664482</v>
      </c>
      <c r="G75" s="539"/>
      <c r="H75" s="539"/>
    </row>
    <row r="76" spans="4:8" x14ac:dyDescent="0.3">
      <c r="D76" s="367">
        <f>'Costs - SR - LEO'!AE77</f>
        <v>1554000000</v>
      </c>
      <c r="E76" s="536">
        <f>'Costs - SR - LEO'!AL77</f>
        <v>4.8030567422570876</v>
      </c>
      <c r="G76" s="539"/>
      <c r="H76" s="539"/>
    </row>
    <row r="77" spans="4:8" x14ac:dyDescent="0.3">
      <c r="D77" s="367">
        <f>'Costs - SR - LEO'!AE78</f>
        <v>1575000000</v>
      </c>
      <c r="E77" s="536">
        <f>'Costs - SR - LEO'!AL78</f>
        <v>4.798215858791977</v>
      </c>
      <c r="G77" s="539"/>
      <c r="H77" s="539"/>
    </row>
    <row r="78" spans="4:8" x14ac:dyDescent="0.3">
      <c r="D78" s="367">
        <f>'Costs - SR - LEO'!AE79</f>
        <v>1596000000</v>
      </c>
      <c r="E78" s="536">
        <f>'Costs - SR - LEO'!AL79</f>
        <v>4.7935023669970001</v>
      </c>
      <c r="G78" s="539"/>
      <c r="H78" s="539"/>
    </row>
    <row r="79" spans="4:8" x14ac:dyDescent="0.3">
      <c r="D79" s="367">
        <f>'Costs - SR - LEO'!AE80</f>
        <v>1617000000</v>
      </c>
      <c r="E79" s="536">
        <f>'Costs - SR - LEO'!AL80</f>
        <v>4.7889113035603366</v>
      </c>
      <c r="G79" s="539"/>
      <c r="H79" s="539"/>
    </row>
    <row r="80" spans="4:8" x14ac:dyDescent="0.3">
      <c r="D80" s="367">
        <f>'Costs - SR - LEO'!AE81</f>
        <v>1638000000</v>
      </c>
      <c r="E80" s="536">
        <f>'Costs - SR - LEO'!AL81</f>
        <v>4.7844379596989706</v>
      </c>
      <c r="G80" s="539"/>
      <c r="H80" s="539"/>
    </row>
    <row r="81" spans="4:8" x14ac:dyDescent="0.3">
      <c r="D81" s="367">
        <f>'Costs - SR - LEO'!AE82</f>
        <v>1659000000</v>
      </c>
      <c r="E81" s="536">
        <f>'Costs - SR - LEO'!AL82</f>
        <v>4.7800778650492841</v>
      </c>
      <c r="G81" s="539"/>
      <c r="H81" s="539"/>
    </row>
    <row r="82" spans="4:8" x14ac:dyDescent="0.3">
      <c r="D82" s="367">
        <f>'Costs - SR - LEO'!AE83</f>
        <v>1680000000</v>
      </c>
      <c r="E82" s="536">
        <f>'Costs - SR - LEO'!AL83</f>
        <v>4.775826772765841</v>
      </c>
      <c r="G82" s="539"/>
      <c r="H82" s="539"/>
    </row>
    <row r="83" spans="4:8" x14ac:dyDescent="0.3">
      <c r="D83" s="367">
        <f>'Costs - SR - LEO'!AE84</f>
        <v>1701000000</v>
      </c>
      <c r="E83" s="536">
        <f>'Costs - SR - LEO'!AL84</f>
        <v>4.771680645723964</v>
      </c>
      <c r="G83" s="539"/>
      <c r="H83" s="539"/>
    </row>
    <row r="84" spans="4:8" x14ac:dyDescent="0.3">
      <c r="D84" s="367">
        <f>'Costs - SR - LEO'!AE85</f>
        <v>1722000000</v>
      </c>
      <c r="E84" s="536">
        <f>'Costs - SR - LEO'!AL85</f>
        <v>4.7676356437318894</v>
      </c>
      <c r="G84" s="539"/>
      <c r="H84" s="539"/>
    </row>
    <row r="85" spans="4:8" x14ac:dyDescent="0.3">
      <c r="D85" s="367">
        <f>'Costs - SR - LEO'!AE86</f>
        <v>1743000000</v>
      </c>
      <c r="E85" s="536">
        <f>'Costs - SR - LEO'!AL86</f>
        <v>4.7636881116673333</v>
      </c>
      <c r="G85" s="539"/>
      <c r="H85" s="539"/>
    </row>
    <row r="86" spans="4:8" x14ac:dyDescent="0.3">
      <c r="D86" s="367">
        <f>'Costs - SR - LEO'!AE87</f>
        <v>1764000000</v>
      </c>
      <c r="E86" s="536">
        <f>'Costs - SR - LEO'!AL87</f>
        <v>4.7598345684614571</v>
      </c>
      <c r="G86" s="539"/>
      <c r="H86" s="539"/>
    </row>
    <row r="87" spans="4:8" x14ac:dyDescent="0.3">
      <c r="D87" s="367">
        <f>'Costs - SR - LEO'!AE88</f>
        <v>1785000000</v>
      </c>
      <c r="E87" s="536">
        <f>'Costs - SR - LEO'!AL88</f>
        <v>4.7560716968604266</v>
      </c>
      <c r="G87" s="539"/>
      <c r="H87" s="539"/>
    </row>
    <row r="88" spans="4:8" x14ac:dyDescent="0.3">
      <c r="D88" s="367">
        <f>'Costs - SR - LEO'!AE89</f>
        <v>1806000000</v>
      </c>
      <c r="E88" s="536">
        <f>'Costs - SR - LEO'!AL89</f>
        <v>4.7523963339012791</v>
      </c>
      <c r="G88" s="539"/>
      <c r="H88" s="539"/>
    </row>
    <row r="89" spans="4:8" x14ac:dyDescent="0.3">
      <c r="D89" s="367">
        <f>'Costs - SR - LEO'!AE90</f>
        <v>1827000000</v>
      </c>
      <c r="E89" s="536">
        <f>'Costs - SR - LEO'!AL90</f>
        <v>4.7488054620446425</v>
      </c>
      <c r="G89" s="539"/>
      <c r="H89" s="539"/>
    </row>
    <row r="90" spans="4:8" x14ac:dyDescent="0.3">
      <c r="D90" s="367">
        <f>'Costs - SR - LEO'!AE91</f>
        <v>1848000000</v>
      </c>
      <c r="E90" s="536">
        <f>'Costs - SR - LEO'!AL91</f>
        <v>4.7452962009120183</v>
      </c>
      <c r="G90" s="539"/>
      <c r="H90" s="539"/>
    </row>
    <row r="91" spans="4:8" x14ac:dyDescent="0.3">
      <c r="D91" s="367">
        <f>'Costs - SR - LEO'!AE92</f>
        <v>1869000000</v>
      </c>
      <c r="E91" s="536">
        <f>'Costs - SR - LEO'!AL92</f>
        <v>4.7418657995801272</v>
      </c>
      <c r="G91" s="539"/>
      <c r="H91" s="539"/>
    </row>
    <row r="92" spans="4:8" x14ac:dyDescent="0.3">
      <c r="D92" s="367">
        <f>'Costs - SR - LEO'!AE93</f>
        <v>1890000000</v>
      </c>
      <c r="E92" s="536">
        <f>'Costs - SR - LEO'!AL93</f>
        <v>4.7385116293889462</v>
      </c>
      <c r="G92" s="539"/>
      <c r="H92" s="539"/>
    </row>
    <row r="93" spans="4:8" x14ac:dyDescent="0.3">
      <c r="D93" s="367">
        <f>'Costs - SR - LEO'!AE94</f>
        <v>1911000000</v>
      </c>
      <c r="E93" s="536">
        <f>'Costs - SR - LEO'!AL94</f>
        <v>4.7352311772239455</v>
      </c>
      <c r="G93" s="539"/>
      <c r="H93" s="539"/>
    </row>
    <row r="94" spans="4:8" x14ac:dyDescent="0.3">
      <c r="D94" s="367">
        <f>'Costs - SR - LEO'!AE95</f>
        <v>1932000000</v>
      </c>
      <c r="E94" s="536">
        <f>'Costs - SR - LEO'!AL95</f>
        <v>4.732022039236444</v>
      </c>
      <c r="G94" s="539"/>
      <c r="H94" s="539"/>
    </row>
    <row r="95" spans="4:8" x14ac:dyDescent="0.3">
      <c r="D95" s="367">
        <f>'Costs - SR - LEO'!AE96</f>
        <v>1953000000</v>
      </c>
      <c r="E95" s="536">
        <f>'Costs - SR - LEO'!AL96</f>
        <v>4.7288819149691026</v>
      </c>
      <c r="G95" s="539"/>
      <c r="H95" s="539"/>
    </row>
    <row r="96" spans="4:8" x14ac:dyDescent="0.3">
      <c r="D96" s="367">
        <f>'Costs - SR - LEO'!AE97</f>
        <v>1974000000</v>
      </c>
      <c r="E96" s="536">
        <f>'Costs - SR - LEO'!AL97</f>
        <v>4.7258086018563876</v>
      </c>
      <c r="G96" s="539"/>
      <c r="H96" s="539"/>
    </row>
    <row r="97" spans="4:8" x14ac:dyDescent="0.3">
      <c r="D97" s="367">
        <f>'Costs - SR - LEO'!AE98</f>
        <v>1995000000</v>
      </c>
      <c r="E97" s="536">
        <f>'Costs - SR - LEO'!AL98</f>
        <v>4.7227999900723603</v>
      </c>
      <c r="G97" s="539"/>
      <c r="H97" s="539"/>
    </row>
    <row r="98" spans="4:8" x14ac:dyDescent="0.3">
      <c r="D98" s="367">
        <f>'Costs - SR - LEO'!AE99</f>
        <v>2016000000</v>
      </c>
      <c r="E98" s="536">
        <f>'Costs - SR - LEO'!AL99</f>
        <v>4.7198540577004993</v>
      </c>
      <c r="G98" s="539"/>
      <c r="H98" s="539"/>
    </row>
    <row r="99" spans="4:8" x14ac:dyDescent="0.3">
      <c r="D99" s="367">
        <f>'Costs - SR - LEO'!AE100</f>
        <v>2037000000</v>
      </c>
      <c r="E99" s="536">
        <f>'Costs - SR - LEO'!AL100</f>
        <v>4.7169688662022864</v>
      </c>
      <c r="G99" s="539"/>
      <c r="H99" s="539"/>
    </row>
    <row r="100" spans="4:8" x14ac:dyDescent="0.3">
      <c r="D100" s="367">
        <f>'Costs - SR - LEO'!AE101</f>
        <v>2058000000</v>
      </c>
      <c r="E100" s="536">
        <f>'Costs - SR - LEO'!AL101</f>
        <v>4.7141425561632211</v>
      </c>
      <c r="G100" s="539"/>
      <c r="H100" s="539"/>
    </row>
    <row r="101" spans="4:8" x14ac:dyDescent="0.3">
      <c r="D101" s="367">
        <f>'Costs - SR - LEO'!AE102</f>
        <v>2079000000</v>
      </c>
      <c r="E101" s="536">
        <f>'Costs - SR - LEO'!AL102</f>
        <v>4.7113733432966605</v>
      </c>
      <c r="G101" s="539"/>
      <c r="H101" s="539"/>
    </row>
    <row r="102" spans="4:8" x14ac:dyDescent="0.3">
      <c r="D102" s="367">
        <f>'Costs - SR - LEO'!AE103</f>
        <v>2100000000</v>
      </c>
      <c r="E102" s="536">
        <f>'Costs - SR - LEO'!AL103</f>
        <v>4.7086595146874313</v>
      </c>
      <c r="G102" s="539"/>
      <c r="H102" s="539"/>
    </row>
    <row r="103" spans="4:8" x14ac:dyDescent="0.3">
      <c r="D103" s="367">
        <f>'Costs - SR - LEO'!AE104</f>
        <v>2121000000</v>
      </c>
      <c r="E103" s="536">
        <f>'Costs - SR - LEO'!AL104</f>
        <v>4.7059994252585833</v>
      </c>
      <c r="G103" s="539"/>
      <c r="H103" s="539"/>
    </row>
    <row r="104" spans="4:8" x14ac:dyDescent="0.3">
      <c r="D104" s="367">
        <f>'Costs - SR - LEO'!AE105</f>
        <v>2142000000</v>
      </c>
      <c r="E104" s="536">
        <f>'Costs - SR - LEO'!AL105</f>
        <v>4.7033914944459871</v>
      </c>
      <c r="G104" s="539"/>
      <c r="H104" s="539"/>
    </row>
    <row r="105" spans="4:8" x14ac:dyDescent="0.3">
      <c r="D105" s="367">
        <f>'Costs - SR - LEO'!AE106</f>
        <v>2163000000</v>
      </c>
      <c r="E105" s="536">
        <f>'Costs - SR - LEO'!AL106</f>
        <v>4.7008342030666466</v>
      </c>
      <c r="G105" s="539"/>
      <c r="H105" s="539"/>
    </row>
    <row r="106" spans="4:8" x14ac:dyDescent="0.3">
      <c r="D106" s="367">
        <f>'Costs - SR - LEO'!AE107</f>
        <v>2184000000</v>
      </c>
      <c r="E106" s="536">
        <f>'Costs - SR - LEO'!AL107</f>
        <v>4.6983260903676776</v>
      </c>
      <c r="G106" s="539"/>
      <c r="H106" s="539"/>
    </row>
    <row r="107" spans="4:8" x14ac:dyDescent="0.3">
      <c r="D107" s="367">
        <f>'Costs - SR - LEO'!AE108</f>
        <v>2205000000</v>
      </c>
      <c r="E107" s="536">
        <f>'Costs - SR - LEO'!AL108</f>
        <v>4.6958657512439261</v>
      </c>
      <c r="G107" s="539"/>
      <c r="H107" s="539"/>
    </row>
    <row r="108" spans="4:8" x14ac:dyDescent="0.3">
      <c r="D108" s="367">
        <f>'Costs - SR - LEO'!AE109</f>
        <v>2226000000</v>
      </c>
      <c r="E108" s="536">
        <f>'Costs - SR - LEO'!AL109</f>
        <v>4.6934518336130751</v>
      </c>
      <c r="G108" s="539"/>
      <c r="H108" s="539"/>
    </row>
    <row r="109" spans="4:8" x14ac:dyDescent="0.3">
      <c r="D109" s="367">
        <f>'Costs - SR - LEO'!AE110</f>
        <v>2247000000</v>
      </c>
      <c r="E109" s="536">
        <f>'Costs - SR - LEO'!AL110</f>
        <v>4.6910830359379414</v>
      </c>
      <c r="G109" s="539"/>
      <c r="H109" s="539"/>
    </row>
    <row r="110" spans="4:8" x14ac:dyDescent="0.3">
      <c r="D110" s="367">
        <f>'Costs - SR - LEO'!AE111</f>
        <v>2268000000</v>
      </c>
      <c r="E110" s="536">
        <f>'Costs - SR - LEO'!AL111</f>
        <v>4.6887581048864222</v>
      </c>
      <c r="G110" s="539"/>
      <c r="H110" s="539"/>
    </row>
    <row r="111" spans="4:8" x14ac:dyDescent="0.3">
      <c r="D111" s="367">
        <f>'Costs - SR - LEO'!AE112</f>
        <v>2289000000</v>
      </c>
      <c r="E111" s="536">
        <f>'Costs - SR - LEO'!AL112</f>
        <v>4.6864758331202507</v>
      </c>
      <c r="G111" s="539"/>
      <c r="H111" s="539"/>
    </row>
    <row r="112" spans="4:8" x14ac:dyDescent="0.3">
      <c r="D112" s="367">
        <f>'Costs - SR - LEO'!AE113</f>
        <v>2310000000</v>
      </c>
      <c r="E112" s="536">
        <f>'Costs - SR - LEO'!AL113</f>
        <v>4.6842350572043738</v>
      </c>
      <c r="G112" s="539"/>
      <c r="H112" s="539"/>
    </row>
    <row r="113" spans="4:8" x14ac:dyDescent="0.3">
      <c r="D113" s="367">
        <f>'Costs - SR - LEO'!AE114</f>
        <v>2331000000</v>
      </c>
      <c r="E113" s="536">
        <f>'Costs - SR - LEO'!AL114</f>
        <v>4.682034655629324</v>
      </c>
      <c r="G113" s="539"/>
      <c r="H113" s="541"/>
    </row>
    <row r="114" spans="4:8" x14ac:dyDescent="0.3">
      <c r="D114" s="367">
        <f>'Costs - SR - LEO'!AE115</f>
        <v>2352000000</v>
      </c>
      <c r="E114" s="536">
        <f>'Costs - SR - LEO'!AL115</f>
        <v>4.6798735469395423</v>
      </c>
      <c r="G114" s="539"/>
      <c r="H114" s="541"/>
    </row>
    <row r="115" spans="4:8" x14ac:dyDescent="0.3">
      <c r="D115" s="367">
        <f>'Costs - SR - LEO'!AE116</f>
        <v>2373000000</v>
      </c>
      <c r="E115" s="536">
        <f>'Costs - SR - LEO'!AL116</f>
        <v>4.6777506879610851</v>
      </c>
      <c r="G115" s="539"/>
      <c r="H115" s="541"/>
    </row>
    <row r="116" spans="4:8" x14ac:dyDescent="0.3">
      <c r="D116" s="367">
        <f>'Costs - SR - LEO'!AE117</f>
        <v>2394000000</v>
      </c>
      <c r="E116" s="536">
        <f>'Costs - SR - LEO'!AL117</f>
        <v>4.6756650721225999</v>
      </c>
      <c r="G116" s="539"/>
      <c r="H116" s="541"/>
    </row>
    <row r="117" spans="4:8" x14ac:dyDescent="0.3">
      <c r="D117" s="367">
        <f>'Costs - SR - LEO'!AE118</f>
        <v>2415000000</v>
      </c>
      <c r="E117" s="536">
        <f>'Costs - SR - LEO'!AL118</f>
        <v>4.6736157278639148</v>
      </c>
      <c r="G117" s="539"/>
      <c r="H117" s="541"/>
    </row>
    <row r="118" spans="4:8" x14ac:dyDescent="0.3">
      <c r="D118" s="367">
        <f>'Costs - SR - LEO'!AE119</f>
        <v>2436000000</v>
      </c>
      <c r="E118" s="536">
        <f>'Costs - SR - LEO'!AL119</f>
        <v>4.6716017171269311</v>
      </c>
      <c r="G118" s="539"/>
      <c r="H118" s="541"/>
    </row>
    <row r="119" spans="4:8" x14ac:dyDescent="0.3">
      <c r="D119" s="367">
        <f>'Costs - SR - LEO'!AE120</f>
        <v>2457000000</v>
      </c>
      <c r="E119" s="536">
        <f>'Costs - SR - LEO'!AL120</f>
        <v>4.6696221339239115</v>
      </c>
      <c r="G119" s="539"/>
      <c r="H119" s="541"/>
    </row>
    <row r="120" spans="4:8" x14ac:dyDescent="0.3">
      <c r="D120" s="367">
        <f>'Costs - SR - LEO'!AE121</f>
        <v>2478000000</v>
      </c>
      <c r="E120" s="536">
        <f>'Costs - SR - LEO'!AL121</f>
        <v>4.6676761029785734</v>
      </c>
      <c r="G120" s="539"/>
      <c r="H120" s="541"/>
    </row>
    <row r="121" spans="4:8" x14ac:dyDescent="0.3">
      <c r="D121" s="367">
        <f>'Costs - SR - LEO'!AE122</f>
        <v>2499000000</v>
      </c>
      <c r="E121" s="536">
        <f>'Costs - SR - LEO'!AL122</f>
        <v>4.6657627784356741</v>
      </c>
      <c r="G121" s="539"/>
      <c r="H121" s="541"/>
    </row>
    <row r="122" spans="4:8" x14ac:dyDescent="0.3">
      <c r="D122" s="367">
        <f>'Costs - SR - LEO'!AE123</f>
        <v>2520000000</v>
      </c>
      <c r="E122" s="536">
        <f>'Costs - SR - LEO'!AL123</f>
        <v>4.6638813426351602</v>
      </c>
      <c r="G122" s="539"/>
      <c r="H122" s="541"/>
    </row>
    <row r="123" spans="4:8" x14ac:dyDescent="0.3">
      <c r="D123" s="367">
        <f>'Costs - SR - LEO'!AE124</f>
        <v>2541000000</v>
      </c>
      <c r="E123" s="536">
        <f>'Costs - SR - LEO'!AL124</f>
        <v>4.6620310049470488</v>
      </c>
      <c r="G123" s="539"/>
      <c r="H123" s="541"/>
    </row>
    <row r="124" spans="4:8" x14ac:dyDescent="0.3">
      <c r="D124" s="367">
        <f>'Costs - SR - LEO'!AE125</f>
        <v>2562000000</v>
      </c>
      <c r="E124" s="536">
        <f>'Costs - SR - LEO'!AL125</f>
        <v>4.6602110006636623</v>
      </c>
      <c r="G124" s="539"/>
      <c r="H124" s="541"/>
    </row>
    <row r="125" spans="4:8" x14ac:dyDescent="0.3">
      <c r="D125" s="367">
        <f>'Costs - SR - LEO'!AE126</f>
        <v>2583000000</v>
      </c>
      <c r="E125" s="536">
        <f>'Costs - SR - LEO'!AL126</f>
        <v>4.6584205899458579</v>
      </c>
      <c r="G125" s="539"/>
      <c r="H125" s="541"/>
    </row>
    <row r="126" spans="4:8" x14ac:dyDescent="0.3">
      <c r="D126" s="367">
        <f>'Costs - SR - LEO'!AE127</f>
        <v>2604000000</v>
      </c>
      <c r="E126" s="536">
        <f>'Costs - SR - LEO'!AL127</f>
        <v>4.6566590568202768</v>
      </c>
      <c r="G126" s="539"/>
      <c r="H126" s="541"/>
    </row>
    <row r="127" spans="4:8" x14ac:dyDescent="0.3">
      <c r="D127" s="367">
        <f>'Costs - SR - LEO'!AE128</f>
        <v>2625000000</v>
      </c>
      <c r="E127" s="536">
        <f>'Costs - SR - LEO'!AL128</f>
        <v>4.6549257082247051</v>
      </c>
      <c r="G127" s="539"/>
      <c r="H127" s="541"/>
    </row>
    <row r="128" spans="4:8" x14ac:dyDescent="0.3">
      <c r="D128" s="367">
        <f>'Costs - SR - LEO'!AE129</f>
        <v>2646000000</v>
      </c>
      <c r="E128" s="536">
        <f>'Costs - SR - LEO'!AL129</f>
        <v>4.6532198730989034</v>
      </c>
      <c r="G128" s="539"/>
      <c r="H128" s="541"/>
    </row>
    <row r="129" spans="4:8" x14ac:dyDescent="0.3">
      <c r="D129" s="367">
        <f>'Costs - SR - LEO'!AE130</f>
        <v>2667000000</v>
      </c>
      <c r="E129" s="536">
        <f>'Costs - SR - LEO'!AL130</f>
        <v>4.6515409015183913</v>
      </c>
      <c r="G129" s="539"/>
      <c r="H129" s="541"/>
    </row>
    <row r="130" spans="4:8" x14ac:dyDescent="0.3">
      <c r="D130" s="367">
        <f>'Costs - SR - LEO'!AE131</f>
        <v>2688000000</v>
      </c>
      <c r="E130" s="536">
        <f>'Costs - SR - LEO'!AL131</f>
        <v>4.649888163868825</v>
      </c>
      <c r="G130" s="539"/>
      <c r="H130" s="541"/>
    </row>
    <row r="131" spans="4:8" x14ac:dyDescent="0.3">
      <c r="D131" s="367">
        <f>'Costs - SR - LEO'!AE132</f>
        <v>2709000000</v>
      </c>
      <c r="E131" s="536">
        <f>'Costs - SR - LEO'!AL132</f>
        <v>4.6482610500587853</v>
      </c>
      <c r="G131" s="539"/>
      <c r="H131" s="541"/>
    </row>
    <row r="132" spans="4:8" x14ac:dyDescent="0.3">
      <c r="D132" s="367">
        <f>'Costs - SR - LEO'!AE133</f>
        <v>2730000000</v>
      </c>
      <c r="E132" s="536">
        <f>'Costs - SR - LEO'!AL133</f>
        <v>4.6466589687689011</v>
      </c>
      <c r="G132" s="539"/>
      <c r="H132" s="541"/>
    </row>
    <row r="133" spans="4:8" x14ac:dyDescent="0.3">
      <c r="D133" s="367">
        <f>'Costs - SR - LEO'!AE134</f>
        <v>2751000000</v>
      </c>
      <c r="E133" s="536">
        <f>'Costs - SR - LEO'!AL134</f>
        <v>4.6450813467353509</v>
      </c>
      <c r="G133" s="539"/>
      <c r="H133" s="541"/>
    </row>
    <row r="134" spans="4:8" x14ac:dyDescent="0.3">
      <c r="D134" s="367">
        <f>'Costs - SR - LEO'!AE135</f>
        <v>2772000000</v>
      </c>
      <c r="E134" s="536">
        <f>'Costs - SR - LEO'!AL135</f>
        <v>4.6435276280659448</v>
      </c>
      <c r="G134" s="539"/>
      <c r="H134" s="541"/>
    </row>
    <row r="135" spans="4:8" x14ac:dyDescent="0.3">
      <c r="D135" s="367">
        <f>'Costs - SR - LEO'!AE136</f>
        <v>2793000000</v>
      </c>
      <c r="E135" s="536">
        <f>'Costs - SR - LEO'!AL136</f>
        <v>4.6419972735870569</v>
      </c>
      <c r="G135" s="539"/>
      <c r="H135" s="541"/>
    </row>
    <row r="136" spans="4:8" x14ac:dyDescent="0.3">
      <c r="D136" s="367">
        <f>'Costs - SR - LEO'!AE137</f>
        <v>2814000000</v>
      </c>
      <c r="E136" s="536">
        <f>'Costs - SR - LEO'!AL137</f>
        <v>4.6404897602197934</v>
      </c>
      <c r="G136" s="539"/>
      <c r="H136" s="541"/>
    </row>
    <row r="137" spans="4:8" x14ac:dyDescent="0.3">
      <c r="D137" s="367">
        <f>'Costs - SR - LEO'!AE138</f>
        <v>2835000000</v>
      </c>
      <c r="E137" s="536">
        <f>'Costs - SR - LEO'!AL138</f>
        <v>4.6390045803838964</v>
      </c>
    </row>
    <row r="138" spans="4:8" x14ac:dyDescent="0.3">
      <c r="D138" s="367">
        <f>'Costs - SR - LEO'!AE139</f>
        <v>2856000000</v>
      </c>
      <c r="E138" s="536">
        <f>'Costs - SR - LEO'!AL139</f>
        <v>4.6375412414279404</v>
      </c>
    </row>
    <row r="139" spans="4:8" x14ac:dyDescent="0.3">
      <c r="D139" s="367">
        <f>'Costs - SR - LEO'!AE140</f>
        <v>2877000000</v>
      </c>
      <c r="E139" s="536">
        <f>'Costs - SR - LEO'!AL140</f>
        <v>4.6360992650844794</v>
      </c>
    </row>
    <row r="140" spans="4:8" x14ac:dyDescent="0.3">
      <c r="D140" s="367">
        <f>'Costs - SR - LEO'!AE141</f>
        <v>2898000000</v>
      </c>
      <c r="E140" s="536">
        <f>'Costs - SR - LEO'!AL141</f>
        <v>4.6346781869488947</v>
      </c>
    </row>
    <row r="141" spans="4:8" x14ac:dyDescent="0.3">
      <c r="D141" s="367">
        <f>'Costs - SR - LEO'!AE142</f>
        <v>2919000000</v>
      </c>
      <c r="E141" s="536">
        <f>'Costs - SR - LEO'!AL142</f>
        <v>4.6332775559807287</v>
      </c>
    </row>
    <row r="142" spans="4:8" x14ac:dyDescent="0.3">
      <c r="D142" s="367">
        <f>'Costs - SR - LEO'!AE143</f>
        <v>2940000000</v>
      </c>
      <c r="E142" s="536">
        <f>'Costs - SR - LEO'!AL143</f>
        <v>4.6318969340263925</v>
      </c>
    </row>
    <row r="143" spans="4:8" x14ac:dyDescent="0.3">
      <c r="D143" s="367">
        <f>'Costs - SR - LEO'!AE144</f>
        <v>2961000000</v>
      </c>
      <c r="E143" s="536">
        <f>'Costs - SR - LEO'!AL144</f>
        <v>4.6305358953621907</v>
      </c>
    </row>
    <row r="144" spans="4:8" x14ac:dyDescent="0.3">
      <c r="D144" s="367">
        <f>'Costs - SR - LEO'!AE145</f>
        <v>2982000000</v>
      </c>
      <c r="E144" s="536">
        <f>'Costs - SR - LEO'!AL145</f>
        <v>4.6291940262566387</v>
      </c>
    </row>
    <row r="145" spans="4:5" x14ac:dyDescent="0.3">
      <c r="D145" s="367">
        <f>'Costs - SR - LEO'!AE146</f>
        <v>3003000000</v>
      </c>
      <c r="E145" s="536">
        <f>'Costs - SR - LEO'!AL146</f>
        <v>4.6278709245511642</v>
      </c>
    </row>
    <row r="146" spans="4:5" x14ac:dyDescent="0.3">
      <c r="D146" s="367">
        <f>'Costs - SR - LEO'!AE147</f>
        <v>3024000000</v>
      </c>
      <c r="E146" s="536">
        <f>'Costs - SR - LEO'!AL147</f>
        <v>4.6265661992582663</v>
      </c>
    </row>
    <row r="147" spans="4:5" x14ac:dyDescent="0.3">
      <c r="D147" s="367">
        <f>'Costs - SR - LEO'!AE148</f>
        <v>3045000000</v>
      </c>
      <c r="E147" s="536">
        <f>'Costs - SR - LEO'!AL148</f>
        <v>4.625279470176304</v>
      </c>
    </row>
    <row r="148" spans="4:5" x14ac:dyDescent="0.3">
      <c r="D148" s="367">
        <f>'Costs - SR - LEO'!AE149</f>
        <v>3066000000</v>
      </c>
      <c r="E148" s="536">
        <f>'Costs - SR - LEO'!AL149</f>
        <v>4.624010367520123</v>
      </c>
    </row>
    <row r="149" spans="4:5" x14ac:dyDescent="0.3">
      <c r="D149" s="367">
        <f>'Costs - SR - LEO'!AE150</f>
        <v>3087000000</v>
      </c>
      <c r="E149" s="536">
        <f>'Costs - SR - LEO'!AL150</f>
        <v>4.6227585315667454</v>
      </c>
    </row>
    <row r="150" spans="4:5" x14ac:dyDescent="0.3">
      <c r="D150" s="367">
        <f>'Costs - SR - LEO'!AE151</f>
        <v>3108000000</v>
      </c>
      <c r="E150" s="536">
        <f>'Costs - SR - LEO'!AL151</f>
        <v>4.6215236123154426</v>
      </c>
    </row>
    <row r="151" spans="4:5" x14ac:dyDescent="0.3">
      <c r="D151" s="367">
        <f>'Costs - SR - LEO'!AE152</f>
        <v>3129000000</v>
      </c>
      <c r="E151" s="536">
        <f>'Costs - SR - LEO'!AL152</f>
        <v>4.620305269161471</v>
      </c>
    </row>
    <row r="152" spans="4:5" x14ac:dyDescent="0.3">
      <c r="D152" s="367">
        <f>'Costs - SR - LEO'!AE153</f>
        <v>3150000000</v>
      </c>
      <c r="E152" s="536">
        <f>'Costs - SR - LEO'!AL153</f>
        <v>4.6191031705828873</v>
      </c>
    </row>
    <row r="153" spans="4:5" x14ac:dyDescent="0.3">
      <c r="D153" s="367">
        <f>'Costs - SR - LEO'!AE154</f>
        <v>3171000000</v>
      </c>
      <c r="E153" s="536">
        <f>'Costs - SR - LEO'!AL154</f>
        <v>4.6179169938397804</v>
      </c>
    </row>
    <row r="154" spans="4:5" x14ac:dyDescent="0.3">
      <c r="D154" s="367">
        <f>'Costs - SR - LEO'!AE155</f>
        <v>3192000000</v>
      </c>
      <c r="E154" s="536">
        <f>'Costs - SR - LEO'!AL155</f>
        <v>4.6167464246853989</v>
      </c>
    </row>
    <row r="155" spans="4:5" x14ac:dyDescent="0.3">
      <c r="D155" s="367">
        <f>'Costs - SR - LEO'!AE156</f>
        <v>3213000000</v>
      </c>
      <c r="E155" s="536">
        <f>'Costs - SR - LEO'!AL156</f>
        <v>4.6155911570885912</v>
      </c>
    </row>
    <row r="156" spans="4:5" x14ac:dyDescent="0.3">
      <c r="D156" s="367">
        <f>'Costs - SR - LEO'!AE157</f>
        <v>3234000000</v>
      </c>
      <c r="E156" s="536">
        <f>'Costs - SR - LEO'!AL157</f>
        <v>4.6144508929670662</v>
      </c>
    </row>
    <row r="157" spans="4:5" x14ac:dyDescent="0.3">
      <c r="D157" s="367">
        <f>'Costs - SR - LEO'!AE158</f>
        <v>3255000000</v>
      </c>
      <c r="E157" s="536">
        <f>'Costs - SR - LEO'!AL158</f>
        <v>4.613325341930981</v>
      </c>
    </row>
    <row r="158" spans="4:5" x14ac:dyDescent="0.3">
      <c r="D158" s="367">
        <f>'Costs - SR - LEO'!AE159</f>
        <v>3276000000</v>
      </c>
      <c r="E158" s="536">
        <f>'Costs - SR - LEO'!AL159</f>
        <v>4.6122142210363837</v>
      </c>
    </row>
    <row r="159" spans="4:5" x14ac:dyDescent="0.3">
      <c r="D159" s="367">
        <f>'Costs - SR - LEO'!AE160</f>
        <v>3297000000</v>
      </c>
      <c r="E159" s="536">
        <f>'Costs - SR - LEO'!AL160</f>
        <v>4.6111172545480876</v>
      </c>
    </row>
    <row r="160" spans="4:5" x14ac:dyDescent="0.3">
      <c r="D160" s="367">
        <f>'Costs - SR - LEO'!AE161</f>
        <v>3318000000</v>
      </c>
      <c r="E160" s="536">
        <f>'Costs - SR - LEO'!AL161</f>
        <v>4.61003417371154</v>
      </c>
    </row>
    <row r="161" spans="4:5" x14ac:dyDescent="0.3">
      <c r="D161" s="367">
        <f>'Costs - SR - LEO'!AE162</f>
        <v>3339000000</v>
      </c>
      <c r="E161" s="536">
        <f>'Costs - SR - LEO'!AL162</f>
        <v>4.6089647165333165</v>
      </c>
    </row>
    <row r="162" spans="4:5" x14ac:dyDescent="0.3">
      <c r="D162" s="367">
        <f>'Costs - SR - LEO'!AE163</f>
        <v>3360000000</v>
      </c>
      <c r="E162" s="536">
        <f>'Costs - SR - LEO'!AL163</f>
        <v>4.6079086275698193</v>
      </c>
    </row>
    <row r="163" spans="4:5" x14ac:dyDescent="0.3">
      <c r="D163" s="367">
        <f>'Costs - SR - LEO'!AE164</f>
        <v>3381000000</v>
      </c>
      <c r="E163" s="536">
        <f>'Costs - SR - LEO'!AL164</f>
        <v>4.6068656577238807</v>
      </c>
    </row>
    <row r="164" spans="4:5" x14ac:dyDescent="0.3">
      <c r="D164" s="367">
        <f>'Costs - SR - LEO'!AE165</f>
        <v>3402000000</v>
      </c>
      <c r="E164" s="536">
        <f>'Costs - SR - LEO'!AL165</f>
        <v>4.6058355640488804</v>
      </c>
    </row>
    <row r="165" spans="4:5" x14ac:dyDescent="0.3">
      <c r="D165" s="367">
        <f>'Costs - SR - LEO'!AE166</f>
        <v>3423000000</v>
      </c>
      <c r="E165" s="536">
        <f>'Costs - SR - LEO'!AL166</f>
        <v>4.6048181095600764</v>
      </c>
    </row>
    <row r="166" spans="4:5" x14ac:dyDescent="0.3">
      <c r="D166" s="367">
        <f>'Costs - SR - LEO'!AE167</f>
        <v>3444000000</v>
      </c>
      <c r="E166" s="536">
        <f>'Costs - SR - LEO'!AL167</f>
        <v>4.6038130630528435</v>
      </c>
    </row>
    <row r="167" spans="4:5" x14ac:dyDescent="0.3">
      <c r="D167" s="367">
        <f>'Costs - SR - LEO'!AE168</f>
        <v>3465000000</v>
      </c>
      <c r="E167" s="536">
        <f>'Costs - SR - LEO'!AL168</f>
        <v>4.6028201989275157</v>
      </c>
    </row>
    <row r="168" spans="4:5" x14ac:dyDescent="0.3">
      <c r="D168" s="367">
        <f>'Costs - SR - LEO'!AE169</f>
        <v>3486000000</v>
      </c>
      <c r="E168" s="536">
        <f>'Costs - SR - LEO'!AL169</f>
        <v>4.6018392970205655</v>
      </c>
    </row>
    <row r="169" spans="4:5" x14ac:dyDescent="0.3">
      <c r="D169" s="367">
        <f>'Costs - SR - LEO'!AE170</f>
        <v>3507000000</v>
      </c>
      <c r="E169" s="536">
        <f>'Costs - SR - LEO'!AL170</f>
        <v>4.6008701424418419</v>
      </c>
    </row>
    <row r="170" spans="4:5" x14ac:dyDescent="0.3">
      <c r="D170" s="367">
        <f>'Costs - SR - LEO'!AE171</f>
        <v>3528000000</v>
      </c>
      <c r="E170" s="536">
        <f>'Costs - SR - LEO'!AL171</f>
        <v>4.5999125254176274</v>
      </c>
    </row>
    <row r="171" spans="4:5" x14ac:dyDescent="0.3">
      <c r="D171" s="367">
        <f>'Costs - SR - LEO'!AE172</f>
        <v>3549000000</v>
      </c>
      <c r="E171" s="536">
        <f>'Costs - SR - LEO'!AL172</f>
        <v>4.5989662411392622</v>
      </c>
    </row>
    <row r="172" spans="4:5" x14ac:dyDescent="0.3">
      <c r="D172" s="367">
        <f>'Costs - SR - LEO'!AE173</f>
        <v>3570000000</v>
      </c>
      <c r="E172" s="536">
        <f>'Costs - SR - LEO'!AL173</f>
        <v>4.5980310896171117</v>
      </c>
    </row>
    <row r="173" spans="4:5" x14ac:dyDescent="0.3">
      <c r="D173" s="367">
        <f>'Costs - SR - LEO'!AE174</f>
        <v>3591000000</v>
      </c>
      <c r="E173" s="536">
        <f>'Costs - SR - LEO'!AL174</f>
        <v>4.5971068755396658</v>
      </c>
    </row>
    <row r="174" spans="4:5" x14ac:dyDescent="0.3">
      <c r="D174" s="367">
        <f>'Costs - SR - LEO'!AE175</f>
        <v>3612000000</v>
      </c>
      <c r="E174" s="536">
        <f>'Costs - SR - LEO'!AL175</f>
        <v>4.5961934081375393</v>
      </c>
    </row>
    <row r="175" spans="4:5" x14ac:dyDescent="0.3">
      <c r="D175" s="367">
        <f>'Costs - SR - LEO'!AE176</f>
        <v>3633000000</v>
      </c>
      <c r="E175" s="536">
        <f>'Costs - SR - LEO'!AL176</f>
        <v>4.5952905010521992</v>
      </c>
    </row>
    <row r="176" spans="4:5" x14ac:dyDescent="0.3">
      <c r="D176" s="367">
        <f>'Costs - SR - LEO'!AE177</f>
        <v>3654000000</v>
      </c>
      <c r="E176" s="536">
        <f>'Costs - SR - LEO'!AL177</f>
        <v>4.5943979722092188</v>
      </c>
    </row>
    <row r="177" spans="4:5" x14ac:dyDescent="0.3">
      <c r="D177" s="367">
        <f>'Costs - SR - LEO'!AE178</f>
        <v>3675000000</v>
      </c>
      <c r="E177" s="536">
        <f>'Costs - SR - LEO'!AL178</f>
        <v>4.5935156436958744</v>
      </c>
    </row>
    <row r="178" spans="4:5" x14ac:dyDescent="0.3">
      <c r="D178" s="367">
        <f>'Costs - SR - LEO'!AE179</f>
        <v>3696000000</v>
      </c>
      <c r="E178" s="536">
        <f>'Costs - SR - LEO'!AL179</f>
        <v>4.5926433416429084</v>
      </c>
    </row>
    <row r="179" spans="4:5" ht="15" thickBot="1" x14ac:dyDescent="0.35">
      <c r="D179" s="375">
        <f>'Costs - SR - LEO'!AE180</f>
        <v>3717000000</v>
      </c>
      <c r="E179" s="540">
        <f>'Costs - SR - LEO'!AL180</f>
        <v>4.591780896110313</v>
      </c>
    </row>
    <row r="180" spans="4:5" x14ac:dyDescent="0.3">
      <c r="D180" s="539"/>
      <c r="E180" s="539"/>
    </row>
    <row r="181" spans="4:5" x14ac:dyDescent="0.3">
      <c r="D181" s="543"/>
      <c r="E181" s="541"/>
    </row>
    <row r="182" spans="4:5" x14ac:dyDescent="0.3">
      <c r="D182" s="543"/>
      <c r="E182" s="541"/>
    </row>
    <row r="183" spans="4:5" x14ac:dyDescent="0.3">
      <c r="D183" s="543"/>
      <c r="E183" s="541"/>
    </row>
    <row r="184" spans="4:5" x14ac:dyDescent="0.3">
      <c r="D184" s="543"/>
      <c r="E184" s="541"/>
    </row>
    <row r="185" spans="4:5" x14ac:dyDescent="0.3">
      <c r="D185" s="543"/>
      <c r="E185" s="541"/>
    </row>
    <row r="186" spans="4:5" x14ac:dyDescent="0.3">
      <c r="D186" s="543"/>
      <c r="E186" s="541"/>
    </row>
    <row r="187" spans="4:5" x14ac:dyDescent="0.3">
      <c r="D187" s="543"/>
      <c r="E187" s="541"/>
    </row>
    <row r="188" spans="4:5" x14ac:dyDescent="0.3">
      <c r="D188" s="543"/>
      <c r="E188" s="541"/>
    </row>
    <row r="189" spans="4:5" x14ac:dyDescent="0.3">
      <c r="D189" s="543"/>
      <c r="E189" s="541"/>
    </row>
    <row r="190" spans="4:5" x14ac:dyDescent="0.3">
      <c r="D190" s="543"/>
      <c r="E190" s="541"/>
    </row>
    <row r="191" spans="4:5" x14ac:dyDescent="0.3">
      <c r="D191" s="543"/>
      <c r="E191" s="541"/>
    </row>
    <row r="192" spans="4:5" x14ac:dyDescent="0.3">
      <c r="D192" s="543"/>
      <c r="E192" s="541"/>
    </row>
    <row r="193" spans="4:5" x14ac:dyDescent="0.3">
      <c r="D193" s="543"/>
      <c r="E193" s="541"/>
    </row>
    <row r="194" spans="4:5" x14ac:dyDescent="0.3">
      <c r="D194" s="543"/>
      <c r="E194" s="541"/>
    </row>
    <row r="195" spans="4:5" x14ac:dyDescent="0.3">
      <c r="D195" s="543"/>
      <c r="E195" s="541"/>
    </row>
    <row r="196" spans="4:5" x14ac:dyDescent="0.3">
      <c r="D196" s="543"/>
      <c r="E196" s="541"/>
    </row>
    <row r="197" spans="4:5" x14ac:dyDescent="0.3">
      <c r="D197" s="543"/>
      <c r="E197" s="541"/>
    </row>
    <row r="198" spans="4:5" x14ac:dyDescent="0.3">
      <c r="D198" s="543"/>
      <c r="E198" s="541"/>
    </row>
    <row r="199" spans="4:5" x14ac:dyDescent="0.3">
      <c r="D199" s="543"/>
      <c r="E199" s="541"/>
    </row>
    <row r="200" spans="4:5" x14ac:dyDescent="0.3">
      <c r="D200" s="543"/>
      <c r="E200" s="541"/>
    </row>
    <row r="201" spans="4:5" x14ac:dyDescent="0.3">
      <c r="D201" s="543"/>
      <c r="E201" s="541"/>
    </row>
    <row r="202" spans="4:5" x14ac:dyDescent="0.3">
      <c r="D202" s="543"/>
      <c r="E202" s="541"/>
    </row>
    <row r="203" spans="4:5" x14ac:dyDescent="0.3">
      <c r="D203" s="543"/>
      <c r="E203" s="541"/>
    </row>
    <row r="204" spans="4:5" x14ac:dyDescent="0.3">
      <c r="D204" s="543"/>
      <c r="E204" s="541"/>
    </row>
    <row r="205" spans="4:5" x14ac:dyDescent="0.3">
      <c r="D205" s="543"/>
      <c r="E205" s="541"/>
    </row>
    <row r="206" spans="4:5" x14ac:dyDescent="0.3">
      <c r="D206" s="543"/>
      <c r="E206" s="541"/>
    </row>
    <row r="207" spans="4:5" x14ac:dyDescent="0.3">
      <c r="D207" s="543"/>
      <c r="E207" s="541"/>
    </row>
    <row r="208" spans="4:5" x14ac:dyDescent="0.3">
      <c r="D208" s="543"/>
      <c r="E208" s="541"/>
    </row>
    <row r="209" spans="4:5" x14ac:dyDescent="0.3">
      <c r="D209" s="543"/>
      <c r="E209" s="541"/>
    </row>
    <row r="210" spans="4:5" x14ac:dyDescent="0.3">
      <c r="D210" s="543"/>
      <c r="E210" s="541"/>
    </row>
    <row r="211" spans="4:5" x14ac:dyDescent="0.3">
      <c r="D211" s="543"/>
      <c r="E211" s="541"/>
    </row>
    <row r="212" spans="4:5" x14ac:dyDescent="0.3">
      <c r="D212" s="543"/>
      <c r="E212" s="541"/>
    </row>
    <row r="213" spans="4:5" x14ac:dyDescent="0.3">
      <c r="D213" s="543"/>
      <c r="E213" s="541"/>
    </row>
    <row r="214" spans="4:5" x14ac:dyDescent="0.3">
      <c r="D214" s="543"/>
      <c r="E214" s="541"/>
    </row>
    <row r="215" spans="4:5" x14ac:dyDescent="0.3">
      <c r="D215" s="543"/>
      <c r="E215" s="541"/>
    </row>
    <row r="216" spans="4:5" x14ac:dyDescent="0.3">
      <c r="D216" s="543"/>
      <c r="E216" s="541"/>
    </row>
    <row r="217" spans="4:5" x14ac:dyDescent="0.3">
      <c r="D217" s="543"/>
      <c r="E217" s="541"/>
    </row>
    <row r="218" spans="4:5" x14ac:dyDescent="0.3">
      <c r="D218" s="543"/>
      <c r="E218" s="541"/>
    </row>
    <row r="219" spans="4:5" x14ac:dyDescent="0.3">
      <c r="D219" s="543"/>
      <c r="E219" s="541"/>
    </row>
    <row r="220" spans="4:5" x14ac:dyDescent="0.3">
      <c r="D220" s="543"/>
      <c r="E220" s="541"/>
    </row>
    <row r="221" spans="4:5" x14ac:dyDescent="0.3">
      <c r="D221" s="543"/>
      <c r="E221" s="541"/>
    </row>
    <row r="222" spans="4:5" x14ac:dyDescent="0.3">
      <c r="D222" s="543"/>
      <c r="E222" s="541"/>
    </row>
    <row r="223" spans="4:5" x14ac:dyDescent="0.3">
      <c r="D223" s="543"/>
      <c r="E223" s="541"/>
    </row>
    <row r="224" spans="4:5" x14ac:dyDescent="0.3">
      <c r="D224" s="543"/>
      <c r="E224" s="541"/>
    </row>
    <row r="225" spans="4:5" x14ac:dyDescent="0.3">
      <c r="D225" s="543"/>
      <c r="E225" s="541"/>
    </row>
    <row r="226" spans="4:5" x14ac:dyDescent="0.3">
      <c r="D226" s="543"/>
      <c r="E226" s="541"/>
    </row>
    <row r="227" spans="4:5" x14ac:dyDescent="0.3">
      <c r="D227" s="543"/>
      <c r="E227" s="541"/>
    </row>
    <row r="228" spans="4:5" x14ac:dyDescent="0.3">
      <c r="D228" s="543"/>
      <c r="E228" s="541"/>
    </row>
    <row r="229" spans="4:5" x14ac:dyDescent="0.3">
      <c r="D229" s="543"/>
      <c r="E229" s="541"/>
    </row>
    <row r="230" spans="4:5" x14ac:dyDescent="0.3">
      <c r="D230" s="543"/>
      <c r="E230" s="541"/>
    </row>
    <row r="231" spans="4:5" x14ac:dyDescent="0.3">
      <c r="D231" s="543"/>
      <c r="E231" s="541"/>
    </row>
    <row r="232" spans="4:5" x14ac:dyDescent="0.3">
      <c r="D232" s="543"/>
      <c r="E232" s="541"/>
    </row>
    <row r="233" spans="4:5" x14ac:dyDescent="0.3">
      <c r="D233" s="543"/>
      <c r="E233" s="541"/>
    </row>
    <row r="234" spans="4:5" x14ac:dyDescent="0.3">
      <c r="D234" s="543"/>
      <c r="E234" s="541"/>
    </row>
    <row r="235" spans="4:5" x14ac:dyDescent="0.3">
      <c r="D235" s="543"/>
      <c r="E235" s="541"/>
    </row>
    <row r="236" spans="4:5" x14ac:dyDescent="0.3">
      <c r="D236" s="543"/>
      <c r="E236" s="541"/>
    </row>
    <row r="237" spans="4:5" x14ac:dyDescent="0.3">
      <c r="D237" s="543"/>
      <c r="E237" s="541"/>
    </row>
    <row r="238" spans="4:5" x14ac:dyDescent="0.3">
      <c r="D238" s="543"/>
      <c r="E238" s="541"/>
    </row>
    <row r="239" spans="4:5" x14ac:dyDescent="0.3">
      <c r="D239" s="543"/>
      <c r="E239" s="541"/>
    </row>
    <row r="240" spans="4:5" x14ac:dyDescent="0.3">
      <c r="D240" s="543"/>
      <c r="E240" s="541"/>
    </row>
    <row r="241" spans="4:5" x14ac:dyDescent="0.3">
      <c r="D241" s="543"/>
      <c r="E241" s="541"/>
    </row>
    <row r="242" spans="4:5" x14ac:dyDescent="0.3">
      <c r="D242" s="543"/>
      <c r="E242" s="541"/>
    </row>
    <row r="243" spans="4:5" x14ac:dyDescent="0.3">
      <c r="D243" s="543"/>
      <c r="E243" s="541"/>
    </row>
    <row r="244" spans="4:5" x14ac:dyDescent="0.3">
      <c r="D244" s="543"/>
      <c r="E244" s="541"/>
    </row>
    <row r="245" spans="4:5" x14ac:dyDescent="0.3">
      <c r="D245" s="543"/>
      <c r="E245" s="541"/>
    </row>
    <row r="246" spans="4:5" x14ac:dyDescent="0.3">
      <c r="D246" s="543"/>
      <c r="E246" s="541"/>
    </row>
    <row r="247" spans="4:5" x14ac:dyDescent="0.3">
      <c r="D247" s="543"/>
      <c r="E247" s="541"/>
    </row>
    <row r="248" spans="4:5" x14ac:dyDescent="0.3">
      <c r="D248" s="543"/>
      <c r="E248" s="541"/>
    </row>
    <row r="249" spans="4:5" x14ac:dyDescent="0.3">
      <c r="D249" s="543"/>
      <c r="E249" s="541"/>
    </row>
    <row r="250" spans="4:5" x14ac:dyDescent="0.3">
      <c r="D250" s="543"/>
      <c r="E250" s="541"/>
    </row>
    <row r="251" spans="4:5" x14ac:dyDescent="0.3">
      <c r="D251" s="543"/>
      <c r="E251" s="541"/>
    </row>
    <row r="252" spans="4:5" x14ac:dyDescent="0.3">
      <c r="D252" s="543"/>
      <c r="E252" s="541"/>
    </row>
    <row r="253" spans="4:5" x14ac:dyDescent="0.3">
      <c r="D253" s="543"/>
      <c r="E253" s="541"/>
    </row>
    <row r="254" spans="4:5" x14ac:dyDescent="0.3">
      <c r="D254" s="543"/>
      <c r="E254" s="541"/>
    </row>
    <row r="255" spans="4:5" x14ac:dyDescent="0.3">
      <c r="D255" s="543"/>
      <c r="E255" s="541"/>
    </row>
    <row r="256" spans="4:5" x14ac:dyDescent="0.3">
      <c r="D256" s="543"/>
      <c r="E256" s="541"/>
    </row>
  </sheetData>
  <mergeCells count="3">
    <mergeCell ref="G1:H1"/>
    <mergeCell ref="A1:B1"/>
    <mergeCell ref="D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0FC01-2C16-4BB9-9334-CFE7F9A27988}">
  <sheetPr>
    <tabColor theme="8"/>
  </sheetPr>
  <dimension ref="A1:AF109"/>
  <sheetViews>
    <sheetView tabSelected="1" zoomScale="70" zoomScaleNormal="70" workbookViewId="0">
      <selection activeCell="G43" sqref="G43"/>
    </sheetView>
  </sheetViews>
  <sheetFormatPr defaultRowHeight="14.4" x14ac:dyDescent="0.3"/>
  <cols>
    <col min="1" max="1" width="21.88671875" style="2" customWidth="1"/>
    <col min="2" max="2" width="29.109375" style="2" customWidth="1"/>
    <col min="3" max="3" width="19.5546875" style="2" customWidth="1"/>
    <col min="4" max="4" width="23.21875" style="2" customWidth="1"/>
    <col min="5" max="5" width="25.77734375" style="2" bestFit="1" customWidth="1"/>
    <col min="6" max="6" width="11.21875" style="2" bestFit="1" customWidth="1"/>
    <col min="7" max="7" width="12.44140625" style="2" bestFit="1" customWidth="1"/>
    <col min="8" max="10" width="13.5546875" style="2" bestFit="1" customWidth="1"/>
    <col min="11" max="11" width="15.44140625" style="2" customWidth="1"/>
    <col min="12" max="12" width="14.33203125" style="2" customWidth="1"/>
    <col min="13" max="23" width="8.88671875" style="2"/>
    <col min="24" max="24" width="13" style="2" customWidth="1"/>
    <col min="33" max="16384" width="8.88671875" style="2"/>
  </cols>
  <sheetData>
    <row r="1" spans="1:32" ht="15" thickBot="1" x14ac:dyDescent="0.35">
      <c r="A1" s="509" t="s">
        <v>542</v>
      </c>
      <c r="B1" s="509"/>
      <c r="C1" s="509"/>
      <c r="D1" s="509"/>
      <c r="E1" s="509"/>
    </row>
    <row r="2" spans="1:32" ht="27.6" x14ac:dyDescent="0.3">
      <c r="A2" s="359" t="s">
        <v>323</v>
      </c>
      <c r="B2" s="360" t="s">
        <v>324</v>
      </c>
      <c r="C2" s="360" t="s">
        <v>325</v>
      </c>
      <c r="D2" s="360" t="s">
        <v>326</v>
      </c>
      <c r="E2" s="361" t="s">
        <v>327</v>
      </c>
    </row>
    <row r="3" spans="1:32" ht="15" thickBot="1" x14ac:dyDescent="0.35">
      <c r="A3" s="250">
        <f>Current_Cost!C23</f>
        <v>634476.7416666667</v>
      </c>
      <c r="B3" s="242">
        <f>Current_Cost!C24</f>
        <v>3581065</v>
      </c>
      <c r="C3" s="242">
        <f>Current_Cost!C25</f>
        <v>1672</v>
      </c>
      <c r="D3" s="242">
        <f>Current_Cost!C26</f>
        <v>634476.7416666667</v>
      </c>
      <c r="E3" s="295">
        <f>Current_Cost!C27</f>
        <v>3581065</v>
      </c>
    </row>
    <row r="4" spans="1:32" x14ac:dyDescent="0.3">
      <c r="B4" s="247"/>
      <c r="C4" s="247"/>
      <c r="D4" s="247"/>
      <c r="E4" s="247"/>
    </row>
    <row r="5" spans="1:32" ht="14.4" customHeight="1" thickBot="1" x14ac:dyDescent="0.35">
      <c r="A5" s="508" t="s">
        <v>510</v>
      </c>
      <c r="B5" s="508"/>
      <c r="C5" s="508"/>
      <c r="D5" s="379"/>
      <c r="E5" s="507" t="s">
        <v>541</v>
      </c>
      <c r="F5" s="507"/>
      <c r="G5" s="507"/>
      <c r="H5" s="507"/>
      <c r="J5" s="532" t="s">
        <v>571</v>
      </c>
      <c r="K5" s="532"/>
      <c r="L5" s="532"/>
    </row>
    <row r="6" spans="1:32" ht="27.6" x14ac:dyDescent="0.3">
      <c r="A6" s="360" t="s">
        <v>505</v>
      </c>
      <c r="B6" s="360" t="s">
        <v>329</v>
      </c>
      <c r="C6" s="361" t="s">
        <v>330</v>
      </c>
      <c r="E6" s="359" t="s">
        <v>505</v>
      </c>
      <c r="F6" s="360" t="s">
        <v>329</v>
      </c>
      <c r="G6" s="360" t="s">
        <v>476</v>
      </c>
      <c r="H6" s="361" t="s">
        <v>539</v>
      </c>
      <c r="J6" s="359" t="s">
        <v>506</v>
      </c>
      <c r="K6" s="360" t="s">
        <v>567</v>
      </c>
      <c r="L6" s="361" t="s">
        <v>568</v>
      </c>
    </row>
    <row r="7" spans="1:32" x14ac:dyDescent="0.3">
      <c r="A7" s="41">
        <v>1</v>
      </c>
      <c r="B7" s="362">
        <f>SUM($A$3,$D$3)/A7</f>
        <v>1268953.4833333334</v>
      </c>
      <c r="C7" s="363">
        <f>SUM($B$3,C3,$E$3)/A7</f>
        <v>7163802</v>
      </c>
      <c r="E7" s="223">
        <v>1</v>
      </c>
      <c r="F7" s="362" cm="1">
        <f t="array" ref="F7">MIN(IF(Lookups!$A$4:$A$11&lt;B7,Lookups!$B$4:$B$11,Lookups!$B$4))</f>
        <v>122.11442815005586</v>
      </c>
      <c r="G7" s="362" cm="1">
        <f t="array" ref="G7">MAX(IF(Lookups!$D$3:$D$178&lt;C7,Lookups!$E$3:$E$178,Lookups!$E$3))</f>
        <v>31.306893713737452</v>
      </c>
      <c r="H7" s="363" cm="1">
        <f t="array" ref="H7">MIN(IF(Lookups!$G$3:$G$53&lt;C7,Lookups!$H$3:$H$53,Lookups!$H$3))</f>
        <v>72.30605683726462</v>
      </c>
      <c r="J7" s="223" t="s">
        <v>501</v>
      </c>
      <c r="K7" s="25">
        <f>F7*(1+(Current_Cost!$E$12/100))</f>
        <v>134.32587096506145</v>
      </c>
      <c r="L7" s="283">
        <f>ROUND((G8+G8)/E8,0)*(1+(Current_Cost!$E$13/100))</f>
        <v>34.1</v>
      </c>
    </row>
    <row r="8" spans="1:32" x14ac:dyDescent="0.3">
      <c r="A8" s="41">
        <v>2</v>
      </c>
      <c r="B8" s="362">
        <f>SUM($A$3,$D$3)/A8</f>
        <v>634476.7416666667</v>
      </c>
      <c r="C8" s="363">
        <f>SUM($B$3,C4,$E$3)/A8</f>
        <v>3581065</v>
      </c>
      <c r="E8" s="223">
        <v>2</v>
      </c>
      <c r="F8" s="362" cm="1">
        <f t="array" ref="F8">MIN(IF(Lookups!$A$4:$A$11&lt;B8,Lookups!$B$4:$B$11,Lookups!$B$4))</f>
        <v>207.59483421051704</v>
      </c>
      <c r="G8" s="362" cm="1">
        <f t="array" ref="G8">MAX(IF(Lookups!$D$3:$D$178&lt;C8,Lookups!$E$3:$E$178,Lookups!$E$3))</f>
        <v>31.306893713737452</v>
      </c>
      <c r="H8" s="363" cm="1">
        <f t="array" ref="H8">MIN(IF(Lookups!$G$3:$G$53&lt;C8,Lookups!$H$3:$H$53,Lookups!$H$3))</f>
        <v>72.30605683726462</v>
      </c>
      <c r="J8" s="223" t="s">
        <v>502</v>
      </c>
      <c r="K8" s="25">
        <f>F8*(1+(Current_Cost!$E$12/100))</f>
        <v>228.35431763156876</v>
      </c>
      <c r="L8" s="283">
        <f>ROUND((H8+G8)/E8,0)*(1+(Current_Cost!$E$13/100))</f>
        <v>57.2</v>
      </c>
    </row>
    <row r="9" spans="1:32" x14ac:dyDescent="0.3">
      <c r="A9" s="41">
        <v>3</v>
      </c>
      <c r="B9" s="362">
        <f>SUM($A$3,$D$3)/A9</f>
        <v>422984.49444444448</v>
      </c>
      <c r="C9" s="363">
        <f>SUM($B$3,C5,$E$3)/A9</f>
        <v>2387376.6666666665</v>
      </c>
      <c r="E9" s="223">
        <v>3</v>
      </c>
      <c r="F9" s="362" cm="1">
        <f t="array" ref="F9">MIN(IF(Lookups!$A$4:$A$11&lt;B9,Lookups!$B$4:$B$11,Lookups!$B$4))</f>
        <v>207.59483421051704</v>
      </c>
      <c r="G9" s="362" cm="1">
        <f t="array" ref="G9">MAX(IF(Lookups!$D$3:$D$178&lt;C9,Lookups!$E$3:$E$178,Lookups!$E$3))</f>
        <v>31.306893713737452</v>
      </c>
      <c r="H9" s="363" cm="1">
        <f t="array" ref="H9">MIN(IF(Lookups!$G$3:$G$53&lt;C9,Lookups!$H$3:$H$53,Lookups!$H$3))</f>
        <v>72.30605683726462</v>
      </c>
      <c r="J9" s="223" t="s">
        <v>503</v>
      </c>
      <c r="K9" s="25">
        <f>F9*(1+(Current_Cost!$E$12/100))</f>
        <v>228.35431763156876</v>
      </c>
      <c r="L9" s="283">
        <f>ROUND((G10+G10+H10+H10)/E10,0)*(1+(Current_Cost!$E$13/100))</f>
        <v>57.2</v>
      </c>
    </row>
    <row r="10" spans="1:32" x14ac:dyDescent="0.3">
      <c r="A10" s="41">
        <v>4</v>
      </c>
      <c r="B10" s="362">
        <f>SUM($A$3,$D$3)/A10</f>
        <v>317238.37083333335</v>
      </c>
      <c r="C10" s="363">
        <f>SUM($B$3,B6,$E$3)/A10</f>
        <v>1790532.5</v>
      </c>
      <c r="E10" s="223">
        <v>4</v>
      </c>
      <c r="F10" s="362" cm="1">
        <f t="array" ref="F10">MIN(IF(Lookups!$A$4:$A$11&lt;B10,Lookups!$B$4:$B$11,Lookups!$B$4))</f>
        <v>207.59483421051704</v>
      </c>
      <c r="G10" s="362" cm="1">
        <f t="array" ref="G10">MAX(IF(Lookups!$D$3:$D$178&lt;C10,Lookups!$E$3:$E$178,Lookups!$E$3))</f>
        <v>31.306893713737452</v>
      </c>
      <c r="H10" s="363" cm="1">
        <f t="array" ref="H10">MIN(IF(Lookups!$G$3:$G$53&lt;C10,Lookups!$H$3:$H$53,Lookups!$H$3))</f>
        <v>72.30605683726462</v>
      </c>
      <c r="J10" s="223" t="s">
        <v>507</v>
      </c>
      <c r="K10" s="25">
        <f>F10*(1+(Current_Cost!$E$12/100))</f>
        <v>228.35431763156876</v>
      </c>
      <c r="L10" s="283">
        <f>ROUND((G12+G12+G12+H12+H12+H12)/E12,0)*(1+(Current_Cost!$E$13/100))</f>
        <v>57.2</v>
      </c>
    </row>
    <row r="11" spans="1:32" x14ac:dyDescent="0.3">
      <c r="A11" s="41">
        <v>5</v>
      </c>
      <c r="B11" s="362">
        <f>SUM($A$3,$D$3)/A11</f>
        <v>253790.69666666668</v>
      </c>
      <c r="C11" s="363">
        <f>SUM($B$3,B7,$E$3)/A11</f>
        <v>1686216.6966666668</v>
      </c>
      <c r="E11" s="223">
        <v>5</v>
      </c>
      <c r="F11" s="362" cm="1">
        <f t="array" ref="F11">MIN(IF(Lookups!$A$4:$A$11&lt;B11,Lookups!$B$4:$B$11,Lookups!$B$4))</f>
        <v>207.59483421051704</v>
      </c>
      <c r="G11" s="362" cm="1">
        <f t="array" ref="G11">MAX(IF(Lookups!$D$3:$D$178&lt;C11,Lookups!$E$3:$E$178,Lookups!$E$3))</f>
        <v>31.306893713737452</v>
      </c>
      <c r="H11" s="363" cm="1">
        <f t="array" ref="H11">MIN(IF(Lookups!$G$3:$G$53&lt;C11,Lookups!$H$3:$H$53,Lookups!$H$3))</f>
        <v>72.30605683726462</v>
      </c>
      <c r="J11" s="223" t="s">
        <v>508</v>
      </c>
      <c r="K11" s="25">
        <f>F11*(1+(Current_Cost!$E$12/100))</f>
        <v>228.35431763156876</v>
      </c>
      <c r="L11" s="283">
        <f>ROUND((G12+G12+G12+G12+H12+H12)/E12,0)*(1+(Current_Cost!$E$13/100))</f>
        <v>49.500000000000007</v>
      </c>
    </row>
    <row r="12" spans="1:32" ht="15" thickBot="1" x14ac:dyDescent="0.35">
      <c r="A12" s="41">
        <v>6</v>
      </c>
      <c r="B12" s="362">
        <f>SUM($A$3,$D$3)/A12</f>
        <v>211492.24722222224</v>
      </c>
      <c r="C12" s="363">
        <f>SUM($B$3,B8,$E$3)/A12</f>
        <v>1299434.4569444444</v>
      </c>
      <c r="E12" s="223">
        <v>6</v>
      </c>
      <c r="F12" s="362" cm="1">
        <f t="array" ref="F12">MIN(IF(Lookups!$A$4:$A$11&lt;B12,Lookups!$B$4:$B$11,Lookups!$B$4))</f>
        <v>207.59483421051704</v>
      </c>
      <c r="G12" s="362" cm="1">
        <f t="array" ref="G12">MAX(IF(Lookups!$D$3:$D$178&lt;C12,Lookups!$E$3:$E$178,Lookups!$E$3))</f>
        <v>31.306893713737452</v>
      </c>
      <c r="H12" s="363" cm="1">
        <f t="array" ref="H12">MIN(IF(Lookups!$G$3:$G$53&lt;C12,Lookups!$H$3:$H$53,Lookups!$H$3))</f>
        <v>72.30605683726462</v>
      </c>
      <c r="J12" s="228" t="s">
        <v>509</v>
      </c>
      <c r="K12" s="244">
        <f>F12*(1+(Current_Cost!$E$12/100))</f>
        <v>228.35431763156876</v>
      </c>
      <c r="L12" s="410">
        <f>ROUND((G12+G12+H12+H12+H12+H12)/E12,0)*(1+(Current_Cost!$E$13/100))</f>
        <v>64.900000000000006</v>
      </c>
    </row>
    <row r="13" spans="1:32" x14ac:dyDescent="0.3">
      <c r="A13" s="41">
        <v>7</v>
      </c>
      <c r="B13" s="362">
        <f>SUM($A$3,$D$3)/A13</f>
        <v>181279.06904761906</v>
      </c>
      <c r="C13" s="363">
        <f>SUM($B$3,B9,$E$3)/A13</f>
        <v>1083587.7849206349</v>
      </c>
      <c r="E13" s="223">
        <v>7</v>
      </c>
      <c r="F13" s="362" cm="1">
        <f t="array" ref="F13">MIN(IF(Lookups!$A$4:$A$11&lt;B13,Lookups!$B$4:$B$11,Lookups!$B$4))</f>
        <v>207.59483421051704</v>
      </c>
      <c r="G13" s="362" cm="1">
        <f t="array" ref="G13">MAX(IF(Lookups!$D$3:$D$178&lt;C13,Lookups!$E$3:$E$178,Lookups!$E$3))</f>
        <v>31.306893713737452</v>
      </c>
      <c r="H13" s="363" cm="1">
        <f t="array" ref="H13">MIN(IF(Lookups!$G$3:$G$53&lt;C13,Lookups!$H$3:$H$53,Lookups!$H$3))</f>
        <v>72.30605683726462</v>
      </c>
    </row>
    <row r="14" spans="1:32" ht="15" thickBot="1" x14ac:dyDescent="0.35">
      <c r="A14" s="229">
        <v>8</v>
      </c>
      <c r="B14" s="364">
        <f>SUM($A$3,$D$3)/A14</f>
        <v>158619.18541666667</v>
      </c>
      <c r="C14" s="365">
        <f>SUM($B$3,B10,$E$3)/A14</f>
        <v>934921.0463541667</v>
      </c>
      <c r="E14" s="228">
        <v>8</v>
      </c>
      <c r="F14" s="364" cm="1">
        <f t="array" ref="F14">MIN(IF(Lookups!$A$4:$A$11&lt;B14,Lookups!$B$4:$B$11,Lookups!$B$4))</f>
        <v>207.59483421051704</v>
      </c>
      <c r="G14" s="364" cm="1">
        <f t="array" ref="G14">MAX(IF(Lookups!$D$3:$D$178&lt;C14,Lookups!$E$3:$E$178,Lookups!$E$3))</f>
        <v>31.306893713737452</v>
      </c>
      <c r="H14" s="365" cm="1">
        <f t="array" ref="H14">MIN(IF(Lookups!$G$3:$G$53&lt;C14,Lookups!$H$3:$H$53,Lookups!$H$3))</f>
        <v>72.30605683726462</v>
      </c>
    </row>
    <row r="16" spans="1:32" s="533" customFormat="1" ht="15" thickBot="1" x14ac:dyDescent="0.35">
      <c r="X16" s="547"/>
      <c r="Y16" s="548"/>
      <c r="Z16" s="548"/>
      <c r="AA16" s="548"/>
      <c r="AB16" s="548"/>
      <c r="AC16" s="548"/>
      <c r="AD16" s="548"/>
      <c r="AE16" s="548"/>
      <c r="AF16" s="548"/>
    </row>
    <row r="17" spans="1:32" s="45" customFormat="1" x14ac:dyDescent="0.3">
      <c r="X17" s="249"/>
      <c r="Y17" s="376"/>
      <c r="Z17" s="376"/>
      <c r="AA17" s="376"/>
      <c r="AB17" s="376"/>
      <c r="AC17" s="376"/>
      <c r="AD17" s="376"/>
      <c r="AE17" s="376"/>
      <c r="AF17" s="376"/>
    </row>
    <row r="18" spans="1:32" ht="15" thickBot="1" x14ac:dyDescent="0.35">
      <c r="A18" s="45"/>
      <c r="B18" s="45"/>
      <c r="C18" s="45"/>
      <c r="D18" s="45"/>
      <c r="E18" s="45"/>
      <c r="G18" s="501" t="s">
        <v>549</v>
      </c>
      <c r="H18" s="501"/>
      <c r="I18" s="501"/>
      <c r="J18" s="501"/>
      <c r="X18" s="222"/>
    </row>
    <row r="19" spans="1:32" x14ac:dyDescent="0.3">
      <c r="A19" s="452" t="s">
        <v>308</v>
      </c>
      <c r="B19" s="453"/>
      <c r="C19" s="453"/>
      <c r="D19" s="453"/>
      <c r="E19" s="454"/>
      <c r="G19" s="417" t="s">
        <v>322</v>
      </c>
      <c r="H19" s="417" t="s">
        <v>7</v>
      </c>
      <c r="I19" s="417" t="s">
        <v>76</v>
      </c>
      <c r="J19" s="417" t="s">
        <v>6</v>
      </c>
      <c r="X19" s="222"/>
    </row>
    <row r="20" spans="1:32" x14ac:dyDescent="0.3">
      <c r="A20" s="421" t="s">
        <v>321</v>
      </c>
      <c r="B20" s="422" t="s">
        <v>322</v>
      </c>
      <c r="C20" s="417" t="s">
        <v>7</v>
      </c>
      <c r="D20" s="417" t="s">
        <v>76</v>
      </c>
      <c r="E20" s="171" t="s">
        <v>6</v>
      </c>
      <c r="G20" s="529" t="s">
        <v>329</v>
      </c>
      <c r="H20" s="215">
        <f>SUM(C21,C24)</f>
        <v>24974313.126543209</v>
      </c>
      <c r="I20" s="215">
        <f>SUM(D21,D24)</f>
        <v>33995338.770987652</v>
      </c>
      <c r="J20" s="215">
        <f>SUM(E21,E24)</f>
        <v>43675783.598765425</v>
      </c>
      <c r="X20" s="222"/>
    </row>
    <row r="21" spans="1:32" x14ac:dyDescent="0.3">
      <c r="A21" s="462" t="s">
        <v>319</v>
      </c>
      <c r="B21" s="419" t="s">
        <v>323</v>
      </c>
      <c r="C21" s="180">
        <f>Future_Cost!C25</f>
        <v>24034347.583333332</v>
      </c>
      <c r="D21" s="180">
        <f>Future_Cost!D25</f>
        <v>32632388.733333334</v>
      </c>
      <c r="E21" s="181">
        <f>Future_Cost!E25</f>
        <v>41889849.066666663</v>
      </c>
      <c r="G21" s="529" t="s">
        <v>330</v>
      </c>
      <c r="H21" s="215">
        <f>SUM(C22,C25)</f>
        <v>119577226.65185185</v>
      </c>
      <c r="I21" s="215">
        <f>SUM(D22,D25)</f>
        <v>163306543.56203705</v>
      </c>
      <c r="J21" s="215">
        <f>SUM(E22,E25)</f>
        <v>207070891.61080247</v>
      </c>
      <c r="X21" s="222"/>
    </row>
    <row r="22" spans="1:32" x14ac:dyDescent="0.3">
      <c r="A22" s="462"/>
      <c r="B22" s="419" t="s">
        <v>324</v>
      </c>
      <c r="C22" s="180">
        <f>Future_Cost!C26</f>
        <v>118449268</v>
      </c>
      <c r="D22" s="180">
        <f>Future_Cost!D26</f>
        <v>161685103</v>
      </c>
      <c r="E22" s="181">
        <f>Future_Cost!E26</f>
        <v>204932470</v>
      </c>
      <c r="G22" s="529" t="s">
        <v>504</v>
      </c>
      <c r="H22" s="215">
        <f>SUM(C23)</f>
        <v>2138947.4626865671</v>
      </c>
      <c r="I22" s="215">
        <f>SUM(D23)</f>
        <v>3422315.9402985075</v>
      </c>
      <c r="J22" s="215">
        <f>SUM(E23)</f>
        <v>4812631.7910447763</v>
      </c>
    </row>
    <row r="23" spans="1:32" ht="14.4" customHeight="1" x14ac:dyDescent="0.3">
      <c r="A23" s="462"/>
      <c r="B23" s="419" t="s">
        <v>325</v>
      </c>
      <c r="C23" s="180">
        <f>Future_Cost!C27</f>
        <v>2138947.4626865671</v>
      </c>
      <c r="D23" s="180">
        <f>Future_Cost!D27</f>
        <v>3422315.9402985075</v>
      </c>
      <c r="E23" s="181">
        <f>Future_Cost!E27</f>
        <v>4812631.7910447763</v>
      </c>
    </row>
    <row r="24" spans="1:32" x14ac:dyDescent="0.3">
      <c r="A24" s="462" t="s">
        <v>320</v>
      </c>
      <c r="B24" s="419" t="s">
        <v>326</v>
      </c>
      <c r="C24" s="180">
        <f>Future_Cost!C28</f>
        <v>939965.54320987663</v>
      </c>
      <c r="D24" s="180">
        <f>Future_Cost!D28</f>
        <v>1362950.0376543212</v>
      </c>
      <c r="E24" s="181">
        <f>Future_Cost!E28</f>
        <v>1785934.5320987657</v>
      </c>
    </row>
    <row r="25" spans="1:32" x14ac:dyDescent="0.3">
      <c r="A25" s="462"/>
      <c r="B25" s="419" t="s">
        <v>327</v>
      </c>
      <c r="C25" s="180">
        <f>Future_Cost!C29</f>
        <v>1127958.651851852</v>
      </c>
      <c r="D25" s="180">
        <f>Future_Cost!D29</f>
        <v>1621440.562037037</v>
      </c>
      <c r="E25" s="181">
        <f>Future_Cost!E29</f>
        <v>2138421.6108024688</v>
      </c>
    </row>
    <row r="26" spans="1:32" ht="15" thickBot="1" x14ac:dyDescent="0.35">
      <c r="A26" s="544"/>
      <c r="B26" s="182" t="s">
        <v>84</v>
      </c>
      <c r="C26" s="545">
        <f>SUM(C21:C25)</f>
        <v>146690487.24108166</v>
      </c>
      <c r="D26" s="545">
        <f>SUM(D21:D25)</f>
        <v>200724198.27332321</v>
      </c>
      <c r="E26" s="546">
        <f>SUM(E21:E25)</f>
        <v>255559307.00061268</v>
      </c>
    </row>
    <row r="29" spans="1:32" ht="15" customHeight="1" x14ac:dyDescent="0.3">
      <c r="A29" s="507" t="s">
        <v>572</v>
      </c>
      <c r="B29" s="507"/>
      <c r="C29" s="507"/>
      <c r="D29" s="507"/>
      <c r="F29" s="507" t="s">
        <v>572</v>
      </c>
      <c r="G29" s="507"/>
      <c r="H29" s="507"/>
      <c r="I29" s="507"/>
    </row>
    <row r="30" spans="1:32" ht="14.4" customHeight="1" x14ac:dyDescent="0.3">
      <c r="A30" s="529" t="s">
        <v>505</v>
      </c>
      <c r="B30" s="529" t="s">
        <v>7</v>
      </c>
      <c r="C30" s="417" t="s">
        <v>76</v>
      </c>
      <c r="D30" s="529" t="s">
        <v>6</v>
      </c>
      <c r="F30" s="529" t="s">
        <v>505</v>
      </c>
      <c r="G30" s="529" t="s">
        <v>7</v>
      </c>
      <c r="H30" s="417" t="s">
        <v>76</v>
      </c>
      <c r="I30" s="529" t="s">
        <v>6</v>
      </c>
    </row>
    <row r="31" spans="1:32" x14ac:dyDescent="0.3">
      <c r="A31" s="41">
        <v>1</v>
      </c>
      <c r="B31" s="362">
        <f>$H$20/A31</f>
        <v>24974313.126543209</v>
      </c>
      <c r="C31" s="362">
        <f>$I$20/A31</f>
        <v>33995338.770987652</v>
      </c>
      <c r="D31" s="362">
        <f>$J$20/A31</f>
        <v>43675783.598765425</v>
      </c>
      <c r="F31" s="41">
        <v>1</v>
      </c>
      <c r="G31" s="362" cm="1">
        <f t="array" ref="G31">MIN(IF('Costs - DTE'!$AC$4:$AC$28&lt;B31,'Costs - DTE'!$AH$4:$AH$28,'Costs - DTE'!$AH$4))</f>
        <v>43.472454574431595</v>
      </c>
      <c r="H31" s="362" cm="1">
        <f t="array" ref="H31">MIN(IF('Costs - DTE'!$AC$4:$AC$28&lt;C31,'Costs - DTE'!$AH$4:$AH$28,'Costs - DTE'!$AH$4))</f>
        <v>43.472454574431595</v>
      </c>
      <c r="I31" s="362" cm="1">
        <f t="array" ref="I31">MIN(IF('Costs - DTE'!$AC$4:$AC$28&lt;D31,'Costs - DTE'!$AH$4:$AH$28,'Costs - DTE'!$AH$4))</f>
        <v>43.472454574431595</v>
      </c>
    </row>
    <row r="32" spans="1:32" x14ac:dyDescent="0.3">
      <c r="A32" s="41">
        <v>2</v>
      </c>
      <c r="B32" s="362">
        <f>$H$20/A32</f>
        <v>12487156.563271604</v>
      </c>
      <c r="C32" s="362">
        <f>$I$20/A32</f>
        <v>16997669.385493826</v>
      </c>
      <c r="D32" s="362">
        <f>$J$20/A32</f>
        <v>21837891.799382713</v>
      </c>
      <c r="F32" s="41">
        <v>2</v>
      </c>
      <c r="G32" s="362" cm="1">
        <f t="array" ref="G32">MIN(IF('Costs - DTE'!$AC$4:$AC$28&lt;B32,'Costs - DTE'!$AH$4:$AH$28,'Costs - DTE'!$AH$4))</f>
        <v>44.067100877460888</v>
      </c>
      <c r="H32" s="362" cm="1">
        <f t="array" ref="H32">MIN(IF('Costs - DTE'!$AC$4:$AC$28&lt;C32,'Costs - DTE'!$AH$4:$AH$28,'Costs - DTE'!$AH$4))</f>
        <v>43.472454574431595</v>
      </c>
      <c r="I32" s="362" cm="1">
        <f t="array" ref="I32">MIN(IF('Costs - DTE'!$AC$4:$AC$28&lt;D32,'Costs - DTE'!$AH$4:$AH$28,'Costs - DTE'!$AH$4))</f>
        <v>43.472454574431595</v>
      </c>
    </row>
    <row r="33" spans="1:9" x14ac:dyDescent="0.3">
      <c r="A33" s="41">
        <v>3</v>
      </c>
      <c r="B33" s="362">
        <f>$H$20/A33</f>
        <v>8324771.04218107</v>
      </c>
      <c r="C33" s="362">
        <f>$I$20/A33</f>
        <v>11331779.590329217</v>
      </c>
      <c r="D33" s="362">
        <f>$J$20/A33</f>
        <v>14558594.532921808</v>
      </c>
      <c r="F33" s="41">
        <v>3</v>
      </c>
      <c r="G33" s="362" cm="1">
        <f t="array" ref="G33">MIN(IF('Costs - DTE'!$AC$4:$AC$28&lt;B33,'Costs - DTE'!$AH$4:$AH$28,'Costs - DTE'!$AH$4))</f>
        <v>48.031409564322836</v>
      </c>
      <c r="H33" s="362" cm="1">
        <f t="array" ref="H33">MIN(IF('Costs - DTE'!$AC$4:$AC$28&lt;C33,'Costs - DTE'!$AH$4:$AH$28,'Costs - DTE'!$AH$4))</f>
        <v>44.775013142971943</v>
      </c>
      <c r="I33" s="362" cm="1">
        <f t="array" ref="I33">MIN(IF('Costs - DTE'!$AC$4:$AC$28&lt;D33,'Costs - DTE'!$AH$4:$AH$28,'Costs - DTE'!$AH$4))</f>
        <v>43.472454574431595</v>
      </c>
    </row>
    <row r="34" spans="1:9" x14ac:dyDescent="0.3">
      <c r="A34" s="41">
        <v>4</v>
      </c>
      <c r="B34" s="362">
        <f>$H$20/A34</f>
        <v>6243578.2816358022</v>
      </c>
      <c r="C34" s="362">
        <f>$I$20/A34</f>
        <v>8498834.6927469131</v>
      </c>
      <c r="D34" s="362">
        <f>$J$20/A34</f>
        <v>10918945.899691356</v>
      </c>
      <c r="F34" s="41">
        <v>4</v>
      </c>
      <c r="G34" s="362" cm="1">
        <f t="array" ref="G34">MIN(IF('Costs - DTE'!$AC$4:$AC$28&lt;B34,'Costs - DTE'!$AH$4:$AH$28,'Costs - DTE'!$AH$4))</f>
        <v>52.175914100587619</v>
      </c>
      <c r="H34" s="362" cm="1">
        <f t="array" ref="H34">MIN(IF('Costs - DTE'!$AC$4:$AC$28&lt;C34,'Costs - DTE'!$AH$4:$AH$28,'Costs - DTE'!$AH$4))</f>
        <v>47.319072847152327</v>
      </c>
      <c r="I34" s="362" cm="1">
        <f t="array" ref="I34">MIN(IF('Costs - DTE'!$AC$4:$AC$28&lt;D34,'Costs - DTE'!$AH$4:$AH$28,'Costs - DTE'!$AH$4))</f>
        <v>45.182062695640802</v>
      </c>
    </row>
    <row r="35" spans="1:9" x14ac:dyDescent="0.3">
      <c r="A35" s="41">
        <v>5</v>
      </c>
      <c r="B35" s="362">
        <f>$H$20/A35</f>
        <v>4994862.6253086422</v>
      </c>
      <c r="C35" s="362">
        <f>$I$20/A35</f>
        <v>6799067.7541975304</v>
      </c>
      <c r="D35" s="362">
        <f>$J$20/A35</f>
        <v>8735156.7197530847</v>
      </c>
      <c r="F35" s="41">
        <v>5</v>
      </c>
      <c r="G35" s="362" cm="1">
        <f t="array" ref="G35">MIN(IF('Costs - DTE'!$AC$4:$AC$28&lt;B35,'Costs - DTE'!$AH$4:$AH$28,'Costs - DTE'!$AH$4))</f>
        <v>55.62966788080827</v>
      </c>
      <c r="H35" s="362" cm="1">
        <f t="array" ref="H35">MIN(IF('Costs - DTE'!$AC$4:$AC$28&lt;C35,'Costs - DTE'!$AH$4:$AH$28,'Costs - DTE'!$AH$4))</f>
        <v>50.880756433004869</v>
      </c>
      <c r="I35" s="362" cm="1">
        <f t="array" ref="I35">MIN(IF('Costs - DTE'!$AC$4:$AC$28&lt;D35,'Costs - DTE'!$AH$4:$AH$28,'Costs - DTE'!$AH$4))</f>
        <v>47.319072847152327</v>
      </c>
    </row>
    <row r="36" spans="1:9" x14ac:dyDescent="0.3">
      <c r="A36" s="41">
        <v>6</v>
      </c>
      <c r="B36" s="362">
        <f>$H$20/A36</f>
        <v>4162385.521090535</v>
      </c>
      <c r="C36" s="362">
        <f>$I$20/A36</f>
        <v>5665889.7951646084</v>
      </c>
      <c r="D36" s="362">
        <f>$J$20/A36</f>
        <v>7279297.2664609039</v>
      </c>
      <c r="F36" s="41">
        <v>6</v>
      </c>
      <c r="G36" s="362" cm="1">
        <f t="array" ref="G36">MIN(IF('Costs - DTE'!$AC$4:$AC$28&lt;B36,'Costs - DTE'!$AH$4:$AH$28,'Costs - DTE'!$AH$4))</f>
        <v>61.056995249726441</v>
      </c>
      <c r="H36" s="362" cm="1">
        <f t="array" ref="H36">MIN(IF('Costs - DTE'!$AC$4:$AC$28&lt;C36,'Costs - DTE'!$AH$4:$AH$28,'Costs - DTE'!$AH$4))</f>
        <v>53.73010330168691</v>
      </c>
      <c r="I36" s="362" cm="1">
        <f t="array" ref="I36">MIN(IF('Costs - DTE'!$AC$4:$AC$28&lt;D36,'Costs - DTE'!$AH$4:$AH$28,'Costs - DTE'!$AH$4))</f>
        <v>49.784853791204085</v>
      </c>
    </row>
    <row r="37" spans="1:9" x14ac:dyDescent="0.3">
      <c r="A37" s="41">
        <v>7</v>
      </c>
      <c r="B37" s="362">
        <f>$H$20/A37</f>
        <v>3567759.0180776012</v>
      </c>
      <c r="C37" s="362">
        <f>$I$20/A37</f>
        <v>4856476.9672839502</v>
      </c>
      <c r="D37" s="362">
        <f>$J$20/A37</f>
        <v>6239397.6569664897</v>
      </c>
      <c r="F37" s="41">
        <v>7</v>
      </c>
      <c r="G37" s="362" cm="1">
        <f t="array" ref="G37">MIN(IF('Costs - DTE'!$AC$4:$AC$28&lt;B37,'Costs - DTE'!$AH$4:$AH$28,'Costs - DTE'!$AH$4))</f>
        <v>65.127490776415073</v>
      </c>
      <c r="H37" s="362" cm="1">
        <f t="array" ref="H37">MIN(IF('Costs - DTE'!$AC$4:$AC$28&lt;C37,'Costs - DTE'!$AH$4:$AH$28,'Costs - DTE'!$AH$4))</f>
        <v>55.62966788080827</v>
      </c>
      <c r="I37" s="362" cm="1">
        <f t="array" ref="I37">MIN(IF('Costs - DTE'!$AC$4:$AC$28&lt;D37,'Costs - DTE'!$AH$4:$AH$28,'Costs - DTE'!$AH$4))</f>
        <v>52.175914100587619</v>
      </c>
    </row>
    <row r="38" spans="1:9" x14ac:dyDescent="0.3">
      <c r="A38" s="41">
        <v>8</v>
      </c>
      <c r="B38" s="362">
        <f>$H$20/A38</f>
        <v>3121789.1408179011</v>
      </c>
      <c r="C38" s="362">
        <f>$I$20/A38</f>
        <v>4249417.3463734565</v>
      </c>
      <c r="D38" s="362">
        <f>$J$20/A38</f>
        <v>5459472.9498456782</v>
      </c>
      <c r="F38" s="41">
        <v>8</v>
      </c>
      <c r="G38" s="362" cm="1">
        <f t="array" ref="G38">MIN(IF('Costs - DTE'!$AC$4:$AC$28&lt;B38,'Costs - DTE'!$AH$4:$AH$28,'Costs - DTE'!$AH$4))</f>
        <v>70.82618451377914</v>
      </c>
      <c r="H38" s="362" cm="1">
        <f t="array" ref="H38">MIN(IF('Costs - DTE'!$AC$4:$AC$28&lt;C38,'Costs - DTE'!$AH$4:$AH$28,'Costs - DTE'!$AH$4))</f>
        <v>58.004123604709974</v>
      </c>
      <c r="I38" s="362" cm="1">
        <f t="array" ref="I38">MIN(IF('Costs - DTE'!$AC$4:$AC$28&lt;D38,'Costs - DTE'!$AH$4:$AH$28,'Costs - DTE'!$AH$4))</f>
        <v>53.73010330168691</v>
      </c>
    </row>
    <row r="77" spans="1:5" ht="15" thickBot="1" x14ac:dyDescent="0.35">
      <c r="A77" s="509" t="s">
        <v>549</v>
      </c>
      <c r="B77" s="509"/>
      <c r="C77" s="509"/>
      <c r="D77" s="509"/>
      <c r="E77" s="509"/>
    </row>
    <row r="78" spans="1:5" ht="27.6" x14ac:dyDescent="0.3">
      <c r="A78" s="359" t="s">
        <v>323</v>
      </c>
      <c r="B78" s="360" t="s">
        <v>324</v>
      </c>
      <c r="C78" s="360" t="s">
        <v>325</v>
      </c>
      <c r="D78" s="360" t="s">
        <v>326</v>
      </c>
      <c r="E78" s="361" t="s">
        <v>327</v>
      </c>
    </row>
    <row r="79" spans="1:5" ht="15" thickBot="1" x14ac:dyDescent="0.35">
      <c r="A79" s="250">
        <f>Future_Cost!D25</f>
        <v>32632388.733333334</v>
      </c>
      <c r="B79" s="242">
        <f>Future_Cost!D26</f>
        <v>161685103</v>
      </c>
      <c r="C79" s="242">
        <f>Future_Cost!D27</f>
        <v>3422315.9402985075</v>
      </c>
      <c r="D79" s="242">
        <f>Future_Cost!D28</f>
        <v>1362950.0376543212</v>
      </c>
      <c r="E79" s="295">
        <f>Future_Cost!D29</f>
        <v>1621440.562037037</v>
      </c>
    </row>
    <row r="80" spans="1:5" x14ac:dyDescent="0.3">
      <c r="B80" s="247"/>
      <c r="C80" s="247"/>
      <c r="D80" s="247"/>
      <c r="E80" s="247"/>
    </row>
    <row r="81" spans="1:5" ht="15" thickBot="1" x14ac:dyDescent="0.35">
      <c r="A81" s="508" t="s">
        <v>510</v>
      </c>
      <c r="B81" s="508"/>
      <c r="C81" s="508"/>
      <c r="D81" s="379"/>
      <c r="E81" s="379"/>
    </row>
    <row r="82" spans="1:5" x14ac:dyDescent="0.3">
      <c r="A82" s="359" t="s">
        <v>505</v>
      </c>
      <c r="B82" s="360" t="s">
        <v>329</v>
      </c>
      <c r="C82" s="361" t="s">
        <v>330</v>
      </c>
      <c r="E82" s="376"/>
    </row>
    <row r="83" spans="1:5" x14ac:dyDescent="0.3">
      <c r="A83" s="223">
        <v>1</v>
      </c>
      <c r="B83" s="362">
        <f>SUM($A$79,$D$79)/A83</f>
        <v>33995338.770987652</v>
      </c>
      <c r="C83" s="363">
        <f>SUM($B$79,$C$79,$E$79)/A83</f>
        <v>166728859.50233555</v>
      </c>
      <c r="E83" s="145"/>
    </row>
    <row r="84" spans="1:5" x14ac:dyDescent="0.3">
      <c r="A84" s="223">
        <v>2</v>
      </c>
      <c r="B84" s="362">
        <f>SUM($A$79,$D$79)/A84</f>
        <v>16997669.385493826</v>
      </c>
      <c r="C84" s="363">
        <f>SUM($B$79,$C$79,$E$79)/A84</f>
        <v>83364429.751167774</v>
      </c>
      <c r="E84" s="145"/>
    </row>
    <row r="85" spans="1:5" x14ac:dyDescent="0.3">
      <c r="A85" s="223">
        <v>3</v>
      </c>
      <c r="B85" s="362">
        <f>SUM($A$79,$D$79)/A85</f>
        <v>11331779.590329217</v>
      </c>
      <c r="C85" s="363">
        <f>SUM($B$79,$C$79,$E$79)/A85</f>
        <v>55576286.500778519</v>
      </c>
      <c r="E85" s="145"/>
    </row>
    <row r="86" spans="1:5" x14ac:dyDescent="0.3">
      <c r="A86" s="223">
        <v>4</v>
      </c>
      <c r="B86" s="362">
        <f>SUM($A$79,$D$79)/A86</f>
        <v>8498834.6927469131</v>
      </c>
      <c r="C86" s="363">
        <f>SUM($B$79,$C$79,$E$79)/A86</f>
        <v>41682214.875583887</v>
      </c>
      <c r="E86" s="145"/>
    </row>
    <row r="87" spans="1:5" x14ac:dyDescent="0.3">
      <c r="A87" s="223">
        <v>5</v>
      </c>
      <c r="B87" s="362">
        <f>SUM($A$79,$D$79)/A87</f>
        <v>6799067.7541975304</v>
      </c>
      <c r="C87" s="363">
        <f>SUM($B$79,$C$79,$E$79)/A87</f>
        <v>33345771.900467109</v>
      </c>
      <c r="E87" s="145"/>
    </row>
    <row r="88" spans="1:5" x14ac:dyDescent="0.3">
      <c r="A88" s="223">
        <v>6</v>
      </c>
      <c r="B88" s="362">
        <f>SUM($A$79,$D$79)/A88</f>
        <v>5665889.7951646084</v>
      </c>
      <c r="C88" s="363">
        <f>SUM($B$79,$C$79,$E$79)/A88</f>
        <v>27788143.250389259</v>
      </c>
      <c r="E88" s="145"/>
    </row>
    <row r="89" spans="1:5" x14ac:dyDescent="0.3">
      <c r="A89" s="223">
        <v>7</v>
      </c>
      <c r="B89" s="362">
        <f>SUM($A$79,$D$79)/A89</f>
        <v>4856476.9672839502</v>
      </c>
      <c r="C89" s="363">
        <f>SUM($B$79,$C$79,$E$79)/A89</f>
        <v>23818408.500333648</v>
      </c>
      <c r="E89" s="145"/>
    </row>
    <row r="90" spans="1:5" ht="15" thickBot="1" x14ac:dyDescent="0.35">
      <c r="A90" s="228">
        <v>8</v>
      </c>
      <c r="B90" s="364">
        <f>SUM($A$79,$D$79)/A90</f>
        <v>4249417.3463734565</v>
      </c>
      <c r="C90" s="365">
        <f>SUM($B$79,$C$79,$E$79)/A90</f>
        <v>20841107.437791944</v>
      </c>
      <c r="E90" s="145"/>
    </row>
    <row r="92" spans="1:5" ht="15" thickBot="1" x14ac:dyDescent="0.35">
      <c r="A92" s="508" t="s">
        <v>541</v>
      </c>
      <c r="B92" s="508"/>
      <c r="C92" s="508"/>
      <c r="D92" s="508"/>
      <c r="E92" s="379"/>
    </row>
    <row r="93" spans="1:5" x14ac:dyDescent="0.3">
      <c r="A93" s="360" t="s">
        <v>505</v>
      </c>
      <c r="B93" s="360" t="s">
        <v>329</v>
      </c>
      <c r="C93" s="360" t="s">
        <v>476</v>
      </c>
      <c r="D93" s="361" t="s">
        <v>539</v>
      </c>
    </row>
    <row r="94" spans="1:5" x14ac:dyDescent="0.3">
      <c r="A94" s="41">
        <v>1</v>
      </c>
      <c r="B94" s="362" cm="1">
        <f t="array" ref="B94">MIN(IF(Lookups!$A$4:$A$11&lt;B83,Lookups!$B$4:$B$11,Lookups!$B$4))</f>
        <v>58.004123604709974</v>
      </c>
      <c r="C94" s="362" cm="1">
        <f t="array" ref="C94">MIN(IF(Lookups!$D$2:$D$21&lt;C83,Lookups!$E$2:$E$21))</f>
        <v>8.2781195154257396</v>
      </c>
      <c r="D94" s="363" cm="1">
        <f t="array" ref="D94">MIN(IF(Lookups!$G$2:$G$21&lt;C83,Lookups!$H$2:$H$21))</f>
        <v>28.041092873869502</v>
      </c>
    </row>
    <row r="95" spans="1:5" x14ac:dyDescent="0.3">
      <c r="A95" s="41">
        <v>2</v>
      </c>
      <c r="B95" s="362" cm="1">
        <f t="array" ref="B95">MIN(IF(Lookups!$A$4:$A$11&lt;B84,Lookups!$B$4:$B$11,Lookups!$B$4))</f>
        <v>58.004123604709974</v>
      </c>
      <c r="C95" s="362" cm="1">
        <f t="array" ref="C95">MIN(IF(Lookups!$D$4:$D$21&lt;C84,Lookups!$E$4:$E$21))</f>
        <v>13.395624892828341</v>
      </c>
      <c r="D95" s="363" cm="1">
        <f t="array" ref="D95">MIN(IF(Lookups!$G$2:$G$21&lt;C84,Lookups!$H$2:$H$21))</f>
        <v>37.877751532401753</v>
      </c>
    </row>
    <row r="96" spans="1:5" x14ac:dyDescent="0.3">
      <c r="A96" s="41">
        <v>3</v>
      </c>
      <c r="B96" s="362" cm="1">
        <f t="array" ref="B96">MIN(IF(Lookups!$A$4:$A$11&lt;B85,Lookups!$B$4:$B$11,Lookups!$B$4))</f>
        <v>58.004123604709974</v>
      </c>
      <c r="C96" s="362" cm="1">
        <f t="array" ref="C96">MIN(IF(Lookups!$D$4:$D$21&lt;C85,Lookups!$E$4:$E$21))</f>
        <v>17.873442098055619</v>
      </c>
      <c r="D96" s="363" cm="1">
        <f t="array" ref="D96">MIN(IF(Lookups!$G$2:$G$21&lt;C85,Lookups!$H$2:$H$21))</f>
        <v>46.484827858617464</v>
      </c>
    </row>
    <row r="97" spans="1:4" x14ac:dyDescent="0.3">
      <c r="A97" s="41">
        <v>4</v>
      </c>
      <c r="B97" s="362" cm="1">
        <f t="array" ref="B97">MIN(IF(Lookups!$A$4:$A$11&lt;B86,Lookups!$B$4:$B$11,Lookups!$B$4))</f>
        <v>58.004123604709974</v>
      </c>
      <c r="C97" s="362" cm="1">
        <f t="array" ref="C97">MIN(IF(Lookups!$D$4:$D$21&lt;C86,Lookups!$E$4:$E$21))</f>
        <v>0</v>
      </c>
      <c r="D97" s="363" cm="1">
        <f t="array" ref="D97">MIN(IF(Lookups!$G$2:$G$21&lt;C86,Lookups!$H$2:$H$21))</f>
        <v>72.30605683726462</v>
      </c>
    </row>
    <row r="98" spans="1:4" x14ac:dyDescent="0.3">
      <c r="A98" s="41">
        <v>5</v>
      </c>
      <c r="B98" s="362" cm="1">
        <f t="array" ref="B98">MIN(IF(Lookups!$A$4:$A$11&lt;B87,Lookups!$B$4:$B$11,Lookups!$B$4))</f>
        <v>58.004123604709974</v>
      </c>
      <c r="C98" s="362" cm="1">
        <f t="array" ref="C98">MIN(IF(Lookups!$D$4:$D$21&lt;C87,Lookups!$E$4:$E$21))</f>
        <v>0</v>
      </c>
      <c r="D98" s="363" cm="1">
        <f t="array" ref="D98">MIN(IF(Lookups!$G$2:$G$21&lt;C87,Lookups!$H$2:$H$21))</f>
        <v>72.30605683726462</v>
      </c>
    </row>
    <row r="99" spans="1:4" x14ac:dyDescent="0.3">
      <c r="A99" s="41">
        <v>6</v>
      </c>
      <c r="B99" s="362" cm="1">
        <f t="array" ref="B99">MIN(IF(Lookups!$A$4:$A$11&lt;B88,Lookups!$B$4:$B$11,Lookups!$B$4))</f>
        <v>58.004123604709974</v>
      </c>
      <c r="C99" s="362" cm="1">
        <f t="array" ref="C99">MIN(IF(Lookups!$D$4:$D$21&lt;C88,Lookups!$E$4:$E$21))</f>
        <v>0</v>
      </c>
      <c r="D99" s="363" cm="1">
        <f t="array" ref="D99">MIN(IF(Lookups!$G$2:$G$21&lt;C88,Lookups!$H$2:$H$21))</f>
        <v>72.30605683726462</v>
      </c>
    </row>
    <row r="100" spans="1:4" x14ac:dyDescent="0.3">
      <c r="A100" s="41">
        <v>7</v>
      </c>
      <c r="B100" s="362" cm="1">
        <f t="array" ref="B100">MIN(IF(Lookups!$A$4:$A$11&lt;B89,Lookups!$B$4:$B$11,Lookups!$B$4))</f>
        <v>58.004123604709974</v>
      </c>
      <c r="C100" s="362" cm="1">
        <f t="array" ref="C100">MIN(IF(Lookups!$D$4:$D$21&lt;C89,Lookups!$E$4:$E$21))</f>
        <v>0</v>
      </c>
      <c r="D100" s="363" cm="1">
        <f t="array" ref="D100">MIN(IF(Lookups!$G$2:$G$21&lt;C89,Lookups!$H$2:$H$21))</f>
        <v>72.30605683726462</v>
      </c>
    </row>
    <row r="101" spans="1:4" ht="15" thickBot="1" x14ac:dyDescent="0.35">
      <c r="A101" s="229">
        <v>8</v>
      </c>
      <c r="B101" s="364" cm="1">
        <f t="array" ref="B101">MIN(IF(Lookups!$A$4:$A$11&lt;B90,Lookups!$B$4:$B$11,Lookups!$B$4))</f>
        <v>58.004123604709974</v>
      </c>
      <c r="C101" s="364" cm="1">
        <f t="array" ref="C101">MIN(IF(Lookups!$D$4:$D$21&lt;C90,Lookups!$E$4:$E$21))</f>
        <v>0</v>
      </c>
      <c r="D101" s="365" cm="1">
        <f t="array" ref="D101">MIN(IF(Lookups!$G$2:$G$21&lt;C90,Lookups!$H$2:$H$21))</f>
        <v>0</v>
      </c>
    </row>
    <row r="102" spans="1:4" ht="15" thickBot="1" x14ac:dyDescent="0.35">
      <c r="A102" s="404"/>
      <c r="B102" s="405"/>
      <c r="C102" s="405"/>
      <c r="D102" s="405"/>
    </row>
    <row r="103" spans="1:4" x14ac:dyDescent="0.3">
      <c r="A103" s="359" t="s">
        <v>506</v>
      </c>
      <c r="B103" s="360" t="s">
        <v>547</v>
      </c>
      <c r="C103" s="361" t="s">
        <v>548</v>
      </c>
    </row>
    <row r="104" spans="1:4" x14ac:dyDescent="0.3">
      <c r="A104" s="223" t="s">
        <v>501</v>
      </c>
      <c r="B104" s="41" t="s">
        <v>543</v>
      </c>
      <c r="C104" s="283">
        <f>ROUND((C95+C95)/A95,0)</f>
        <v>13</v>
      </c>
    </row>
    <row r="105" spans="1:4" x14ac:dyDescent="0.3">
      <c r="A105" s="223" t="s">
        <v>502</v>
      </c>
      <c r="B105" s="41" t="s">
        <v>544</v>
      </c>
      <c r="C105" s="283">
        <f>ROUND((D95+C95)/A95,0)</f>
        <v>26</v>
      </c>
    </row>
    <row r="106" spans="1:4" x14ac:dyDescent="0.3">
      <c r="A106" s="223" t="s">
        <v>503</v>
      </c>
      <c r="B106" s="41" t="s">
        <v>545</v>
      </c>
      <c r="C106" s="283">
        <f>ROUND((C97+C97+D97+D97)/A97,0)</f>
        <v>36</v>
      </c>
    </row>
    <row r="107" spans="1:4" x14ac:dyDescent="0.3">
      <c r="A107" s="223" t="s">
        <v>507</v>
      </c>
      <c r="B107" s="41" t="s">
        <v>550</v>
      </c>
      <c r="C107" s="283">
        <f>ROUND((C99+C99+C99+D99+D99+D99)/A99,0)</f>
        <v>36</v>
      </c>
    </row>
    <row r="108" spans="1:4" x14ac:dyDescent="0.3">
      <c r="A108" s="223" t="s">
        <v>508</v>
      </c>
      <c r="B108" s="41" t="s">
        <v>551</v>
      </c>
      <c r="C108" s="283">
        <f>ROUND((C99+C99+C99+C99+D99+D99)/A99,0)</f>
        <v>24</v>
      </c>
    </row>
    <row r="109" spans="1:4" ht="15" thickBot="1" x14ac:dyDescent="0.35">
      <c r="A109" s="228" t="s">
        <v>509</v>
      </c>
      <c r="B109" s="229" t="s">
        <v>546</v>
      </c>
      <c r="C109" s="410">
        <f>ROUND((C99+C99+D99+D99+D99+D99)/A99,0)</f>
        <v>48</v>
      </c>
    </row>
  </sheetData>
  <mergeCells count="13">
    <mergeCell ref="A5:C5"/>
    <mergeCell ref="E5:H5"/>
    <mergeCell ref="A77:E77"/>
    <mergeCell ref="J5:L5"/>
    <mergeCell ref="A19:E19"/>
    <mergeCell ref="A21:A23"/>
    <mergeCell ref="A24:A25"/>
    <mergeCell ref="A29:D29"/>
    <mergeCell ref="G18:J18"/>
    <mergeCell ref="F29:I29"/>
    <mergeCell ref="A81:C81"/>
    <mergeCell ref="A92:D92"/>
    <mergeCell ref="A1:E1"/>
  </mergeCells>
  <phoneticPr fontId="42" type="noConversion"/>
  <conditionalFormatting sqref="C21:E25">
    <cfRule type="dataBar" priority="1">
      <dataBar>
        <cfvo type="min"/>
        <cfvo type="max"/>
        <color rgb="FF638EC6"/>
      </dataBar>
      <extLst>
        <ext xmlns:x14="http://schemas.microsoft.com/office/spreadsheetml/2009/9/main" uri="{B025F937-C7B1-47D3-B67F-A62EFF666E3E}">
          <x14:id>{7658936D-297A-4284-A54F-9AE1ADE01C56}</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7658936D-297A-4284-A54F-9AE1ADE01C56}">
            <x14:dataBar minLength="0" maxLength="100" border="1" negativeBarBorderColorSameAsPositive="0">
              <x14:cfvo type="autoMin"/>
              <x14:cfvo type="autoMax"/>
              <x14:borderColor rgb="FF638EC6"/>
              <x14:negativeFillColor rgb="FFFF0000"/>
              <x14:negativeBorderColor rgb="FFFF0000"/>
              <x14:axisColor rgb="FF000000"/>
            </x14:dataBar>
          </x14:cfRule>
          <xm:sqref>C21:E25</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E294B-60BA-4FED-8465-44DC13ADF919}">
  <sheetPr>
    <tabColor theme="8"/>
  </sheetPr>
  <dimension ref="A1:E101"/>
  <sheetViews>
    <sheetView zoomScale="205" zoomScaleNormal="205" workbookViewId="0">
      <selection activeCell="C14" sqref="C14"/>
    </sheetView>
  </sheetViews>
  <sheetFormatPr defaultRowHeight="13.8" x14ac:dyDescent="0.25"/>
  <cols>
    <col min="1" max="1" width="25.5546875" style="2" customWidth="1"/>
    <col min="2" max="2" width="26.88671875" style="2" customWidth="1"/>
    <col min="3" max="16384" width="8.88671875" style="2"/>
  </cols>
  <sheetData>
    <row r="1" spans="1:5" x14ac:dyDescent="0.25">
      <c r="A1" s="2" t="s">
        <v>453</v>
      </c>
      <c r="B1" s="2" t="s">
        <v>454</v>
      </c>
      <c r="C1" s="2" t="s">
        <v>485</v>
      </c>
      <c r="D1" s="2">
        <v>0</v>
      </c>
      <c r="E1" s="2">
        <v>10</v>
      </c>
    </row>
    <row r="2" spans="1:5" x14ac:dyDescent="0.25">
      <c r="A2" s="2" t="s">
        <v>469</v>
      </c>
      <c r="B2" s="2" t="s">
        <v>469</v>
      </c>
      <c r="C2" s="2" t="s">
        <v>487</v>
      </c>
      <c r="D2" s="2">
        <v>1</v>
      </c>
      <c r="E2" s="2">
        <v>15</v>
      </c>
    </row>
    <row r="3" spans="1:5" x14ac:dyDescent="0.25">
      <c r="A3" s="2" t="s">
        <v>467</v>
      </c>
      <c r="B3" s="2" t="s">
        <v>468</v>
      </c>
      <c r="D3" s="2">
        <v>2</v>
      </c>
      <c r="E3" s="2">
        <v>20</v>
      </c>
    </row>
    <row r="4" spans="1:5" x14ac:dyDescent="0.25">
      <c r="A4" s="2" t="s">
        <v>555</v>
      </c>
      <c r="B4" s="2" t="s">
        <v>561</v>
      </c>
      <c r="D4" s="2">
        <v>3</v>
      </c>
      <c r="E4" s="2">
        <v>25</v>
      </c>
    </row>
    <row r="5" spans="1:5" x14ac:dyDescent="0.25">
      <c r="A5" s="2" t="s">
        <v>556</v>
      </c>
      <c r="B5" s="2" t="s">
        <v>562</v>
      </c>
      <c r="D5" s="2">
        <v>4</v>
      </c>
      <c r="E5" s="2">
        <v>30</v>
      </c>
    </row>
    <row r="6" spans="1:5" x14ac:dyDescent="0.25">
      <c r="A6" s="2" t="s">
        <v>557</v>
      </c>
      <c r="B6" s="2" t="s">
        <v>566</v>
      </c>
      <c r="D6" s="2">
        <v>5</v>
      </c>
      <c r="E6" s="2">
        <v>35</v>
      </c>
    </row>
    <row r="7" spans="1:5" x14ac:dyDescent="0.25">
      <c r="A7" s="2" t="s">
        <v>558</v>
      </c>
      <c r="B7" s="2" t="s">
        <v>563</v>
      </c>
      <c r="D7" s="2">
        <v>6</v>
      </c>
      <c r="E7" s="2">
        <v>40</v>
      </c>
    </row>
    <row r="8" spans="1:5" x14ac:dyDescent="0.25">
      <c r="A8" s="2" t="s">
        <v>559</v>
      </c>
      <c r="B8" s="2" t="s">
        <v>564</v>
      </c>
      <c r="D8" s="2">
        <v>7</v>
      </c>
      <c r="E8" s="2">
        <v>45</v>
      </c>
    </row>
    <row r="9" spans="1:5" x14ac:dyDescent="0.25">
      <c r="A9" s="2" t="s">
        <v>560</v>
      </c>
      <c r="B9" s="2" t="s">
        <v>565</v>
      </c>
      <c r="D9" s="2">
        <v>8</v>
      </c>
      <c r="E9" s="2">
        <v>50</v>
      </c>
    </row>
    <row r="10" spans="1:5" x14ac:dyDescent="0.25">
      <c r="D10" s="2">
        <v>9</v>
      </c>
      <c r="E10" s="2">
        <v>55</v>
      </c>
    </row>
    <row r="11" spans="1:5" x14ac:dyDescent="0.25">
      <c r="D11" s="2">
        <v>10</v>
      </c>
      <c r="E11" s="2">
        <v>60</v>
      </c>
    </row>
    <row r="12" spans="1:5" x14ac:dyDescent="0.25">
      <c r="D12" s="2">
        <v>11</v>
      </c>
      <c r="E12" s="2">
        <v>65</v>
      </c>
    </row>
    <row r="13" spans="1:5" ht="14.4" x14ac:dyDescent="0.3">
      <c r="A13"/>
      <c r="B13"/>
      <c r="D13" s="2">
        <v>12</v>
      </c>
      <c r="E13" s="2">
        <v>70</v>
      </c>
    </row>
    <row r="14" spans="1:5" ht="14.4" x14ac:dyDescent="0.3">
      <c r="A14"/>
      <c r="B14"/>
      <c r="D14" s="2">
        <v>13</v>
      </c>
      <c r="E14" s="2">
        <v>75</v>
      </c>
    </row>
    <row r="15" spans="1:5" ht="14.4" x14ac:dyDescent="0.3">
      <c r="A15"/>
      <c r="B15"/>
      <c r="D15" s="2">
        <v>14</v>
      </c>
      <c r="E15" s="2">
        <v>80</v>
      </c>
    </row>
    <row r="16" spans="1:5" ht="14.4" x14ac:dyDescent="0.3">
      <c r="A16"/>
      <c r="B16"/>
      <c r="D16" s="2">
        <v>15</v>
      </c>
      <c r="E16" s="2">
        <v>85</v>
      </c>
    </row>
    <row r="17" spans="1:5" ht="14.4" x14ac:dyDescent="0.3">
      <c r="A17"/>
      <c r="B17"/>
      <c r="D17" s="2">
        <v>16</v>
      </c>
      <c r="E17" s="2">
        <v>90</v>
      </c>
    </row>
    <row r="18" spans="1:5" ht="14.4" x14ac:dyDescent="0.3">
      <c r="A18"/>
      <c r="B18"/>
      <c r="D18" s="2">
        <v>17</v>
      </c>
      <c r="E18" s="2">
        <v>95</v>
      </c>
    </row>
    <row r="19" spans="1:5" ht="14.4" x14ac:dyDescent="0.3">
      <c r="A19"/>
      <c r="B19"/>
      <c r="D19" s="2">
        <v>18</v>
      </c>
      <c r="E19" s="2">
        <v>100</v>
      </c>
    </row>
    <row r="20" spans="1:5" x14ac:dyDescent="0.25">
      <c r="D20" s="2">
        <v>19</v>
      </c>
    </row>
    <row r="21" spans="1:5" x14ac:dyDescent="0.25">
      <c r="D21" s="2">
        <v>20</v>
      </c>
    </row>
    <row r="22" spans="1:5" x14ac:dyDescent="0.25">
      <c r="D22" s="2">
        <v>21</v>
      </c>
    </row>
    <row r="23" spans="1:5" x14ac:dyDescent="0.25">
      <c r="D23" s="2">
        <v>22</v>
      </c>
    </row>
    <row r="24" spans="1:5" x14ac:dyDescent="0.25">
      <c r="D24" s="2">
        <v>23</v>
      </c>
    </row>
    <row r="25" spans="1:5" x14ac:dyDescent="0.25">
      <c r="D25" s="2">
        <v>24</v>
      </c>
    </row>
    <row r="26" spans="1:5" x14ac:dyDescent="0.25">
      <c r="D26" s="2">
        <v>25</v>
      </c>
    </row>
    <row r="27" spans="1:5" x14ac:dyDescent="0.25">
      <c r="D27" s="2">
        <v>26</v>
      </c>
    </row>
    <row r="28" spans="1:5" x14ac:dyDescent="0.25">
      <c r="D28" s="2">
        <v>27</v>
      </c>
    </row>
    <row r="29" spans="1:5" x14ac:dyDescent="0.25">
      <c r="D29" s="2">
        <v>28</v>
      </c>
    </row>
    <row r="30" spans="1:5" x14ac:dyDescent="0.25">
      <c r="D30" s="2">
        <v>29</v>
      </c>
    </row>
    <row r="31" spans="1:5" x14ac:dyDescent="0.25">
      <c r="D31" s="2">
        <v>30</v>
      </c>
    </row>
    <row r="32" spans="1:5" x14ac:dyDescent="0.25">
      <c r="D32" s="2">
        <v>31</v>
      </c>
    </row>
    <row r="33" spans="4:4" x14ac:dyDescent="0.25">
      <c r="D33" s="2">
        <v>32</v>
      </c>
    </row>
    <row r="34" spans="4:4" x14ac:dyDescent="0.25">
      <c r="D34" s="2">
        <v>33</v>
      </c>
    </row>
    <row r="35" spans="4:4" x14ac:dyDescent="0.25">
      <c r="D35" s="2">
        <v>34</v>
      </c>
    </row>
    <row r="36" spans="4:4" x14ac:dyDescent="0.25">
      <c r="D36" s="2">
        <v>35</v>
      </c>
    </row>
    <row r="37" spans="4:4" x14ac:dyDescent="0.25">
      <c r="D37" s="2">
        <v>36</v>
      </c>
    </row>
    <row r="38" spans="4:4" x14ac:dyDescent="0.25">
      <c r="D38" s="2">
        <v>37</v>
      </c>
    </row>
    <row r="39" spans="4:4" x14ac:dyDescent="0.25">
      <c r="D39" s="2">
        <v>38</v>
      </c>
    </row>
    <row r="40" spans="4:4" x14ac:dyDescent="0.25">
      <c r="D40" s="2">
        <v>39</v>
      </c>
    </row>
    <row r="41" spans="4:4" x14ac:dyDescent="0.25">
      <c r="D41" s="2">
        <v>40</v>
      </c>
    </row>
    <row r="42" spans="4:4" x14ac:dyDescent="0.25">
      <c r="D42" s="2">
        <v>41</v>
      </c>
    </row>
    <row r="43" spans="4:4" x14ac:dyDescent="0.25">
      <c r="D43" s="2">
        <v>42</v>
      </c>
    </row>
    <row r="44" spans="4:4" x14ac:dyDescent="0.25">
      <c r="D44" s="2">
        <v>43</v>
      </c>
    </row>
    <row r="45" spans="4:4" x14ac:dyDescent="0.25">
      <c r="D45" s="2">
        <v>44</v>
      </c>
    </row>
    <row r="46" spans="4:4" x14ac:dyDescent="0.25">
      <c r="D46" s="2">
        <v>45</v>
      </c>
    </row>
    <row r="47" spans="4:4" x14ac:dyDescent="0.25">
      <c r="D47" s="2">
        <v>46</v>
      </c>
    </row>
    <row r="48" spans="4:4" x14ac:dyDescent="0.25">
      <c r="D48" s="2">
        <v>47</v>
      </c>
    </row>
    <row r="49" spans="4:4" x14ac:dyDescent="0.25">
      <c r="D49" s="2">
        <v>48</v>
      </c>
    </row>
    <row r="50" spans="4:4" x14ac:dyDescent="0.25">
      <c r="D50" s="2">
        <v>49</v>
      </c>
    </row>
    <row r="51" spans="4:4" x14ac:dyDescent="0.25">
      <c r="D51" s="2">
        <v>50</v>
      </c>
    </row>
    <row r="52" spans="4:4" x14ac:dyDescent="0.25">
      <c r="D52" s="2">
        <v>51</v>
      </c>
    </row>
    <row r="53" spans="4:4" x14ac:dyDescent="0.25">
      <c r="D53" s="2">
        <v>52</v>
      </c>
    </row>
    <row r="54" spans="4:4" x14ac:dyDescent="0.25">
      <c r="D54" s="2">
        <v>53</v>
      </c>
    </row>
    <row r="55" spans="4:4" x14ac:dyDescent="0.25">
      <c r="D55" s="2">
        <v>54</v>
      </c>
    </row>
    <row r="56" spans="4:4" x14ac:dyDescent="0.25">
      <c r="D56" s="2">
        <v>55</v>
      </c>
    </row>
    <row r="57" spans="4:4" x14ac:dyDescent="0.25">
      <c r="D57" s="2">
        <v>56</v>
      </c>
    </row>
    <row r="58" spans="4:4" x14ac:dyDescent="0.25">
      <c r="D58" s="2">
        <v>57</v>
      </c>
    </row>
    <row r="59" spans="4:4" x14ac:dyDescent="0.25">
      <c r="D59" s="2">
        <v>58</v>
      </c>
    </row>
    <row r="60" spans="4:4" x14ac:dyDescent="0.25">
      <c r="D60" s="2">
        <v>59</v>
      </c>
    </row>
    <row r="61" spans="4:4" x14ac:dyDescent="0.25">
      <c r="D61" s="2">
        <v>60</v>
      </c>
    </row>
    <row r="62" spans="4:4" x14ac:dyDescent="0.25">
      <c r="D62" s="2">
        <v>61</v>
      </c>
    </row>
    <row r="63" spans="4:4" x14ac:dyDescent="0.25">
      <c r="D63" s="2">
        <v>62</v>
      </c>
    </row>
    <row r="64" spans="4:4" x14ac:dyDescent="0.25">
      <c r="D64" s="2">
        <v>63</v>
      </c>
    </row>
    <row r="65" spans="4:4" x14ac:dyDescent="0.25">
      <c r="D65" s="2">
        <v>64</v>
      </c>
    </row>
    <row r="66" spans="4:4" x14ac:dyDescent="0.25">
      <c r="D66" s="2">
        <v>65</v>
      </c>
    </row>
    <row r="67" spans="4:4" x14ac:dyDescent="0.25">
      <c r="D67" s="2">
        <v>66</v>
      </c>
    </row>
    <row r="68" spans="4:4" x14ac:dyDescent="0.25">
      <c r="D68" s="2">
        <v>67</v>
      </c>
    </row>
    <row r="69" spans="4:4" x14ac:dyDescent="0.25">
      <c r="D69" s="2">
        <v>68</v>
      </c>
    </row>
    <row r="70" spans="4:4" x14ac:dyDescent="0.25">
      <c r="D70" s="2">
        <v>69</v>
      </c>
    </row>
    <row r="71" spans="4:4" x14ac:dyDescent="0.25">
      <c r="D71" s="2">
        <v>70</v>
      </c>
    </row>
    <row r="72" spans="4:4" x14ac:dyDescent="0.25">
      <c r="D72" s="2">
        <v>71</v>
      </c>
    </row>
    <row r="73" spans="4:4" x14ac:dyDescent="0.25">
      <c r="D73" s="2">
        <v>72</v>
      </c>
    </row>
    <row r="74" spans="4:4" x14ac:dyDescent="0.25">
      <c r="D74" s="2">
        <v>73</v>
      </c>
    </row>
    <row r="75" spans="4:4" x14ac:dyDescent="0.25">
      <c r="D75" s="2">
        <v>74</v>
      </c>
    </row>
    <row r="76" spans="4:4" x14ac:dyDescent="0.25">
      <c r="D76" s="2">
        <v>75</v>
      </c>
    </row>
    <row r="77" spans="4:4" x14ac:dyDescent="0.25">
      <c r="D77" s="2">
        <v>76</v>
      </c>
    </row>
    <row r="78" spans="4:4" x14ac:dyDescent="0.25">
      <c r="D78" s="2">
        <v>77</v>
      </c>
    </row>
    <row r="79" spans="4:4" x14ac:dyDescent="0.25">
      <c r="D79" s="2">
        <v>78</v>
      </c>
    </row>
    <row r="80" spans="4:4" x14ac:dyDescent="0.25">
      <c r="D80" s="2">
        <v>79</v>
      </c>
    </row>
    <row r="81" spans="4:4" x14ac:dyDescent="0.25">
      <c r="D81" s="2">
        <v>80</v>
      </c>
    </row>
    <row r="82" spans="4:4" x14ac:dyDescent="0.25">
      <c r="D82" s="2">
        <v>81</v>
      </c>
    </row>
    <row r="83" spans="4:4" x14ac:dyDescent="0.25">
      <c r="D83" s="2">
        <v>82</v>
      </c>
    </row>
    <row r="84" spans="4:4" x14ac:dyDescent="0.25">
      <c r="D84" s="2">
        <v>83</v>
      </c>
    </row>
    <row r="85" spans="4:4" x14ac:dyDescent="0.25">
      <c r="D85" s="2">
        <v>84</v>
      </c>
    </row>
    <row r="86" spans="4:4" x14ac:dyDescent="0.25">
      <c r="D86" s="2">
        <v>85</v>
      </c>
    </row>
    <row r="87" spans="4:4" x14ac:dyDescent="0.25">
      <c r="D87" s="2">
        <v>86</v>
      </c>
    </row>
    <row r="88" spans="4:4" x14ac:dyDescent="0.25">
      <c r="D88" s="2">
        <v>87</v>
      </c>
    </row>
    <row r="89" spans="4:4" x14ac:dyDescent="0.25">
      <c r="D89" s="2">
        <v>88</v>
      </c>
    </row>
    <row r="90" spans="4:4" x14ac:dyDescent="0.25">
      <c r="D90" s="2">
        <v>89</v>
      </c>
    </row>
    <row r="91" spans="4:4" x14ac:dyDescent="0.25">
      <c r="D91" s="2">
        <v>90</v>
      </c>
    </row>
    <row r="92" spans="4:4" x14ac:dyDescent="0.25">
      <c r="D92" s="2">
        <v>91</v>
      </c>
    </row>
    <row r="93" spans="4:4" x14ac:dyDescent="0.25">
      <c r="D93" s="2">
        <v>92</v>
      </c>
    </row>
    <row r="94" spans="4:4" x14ac:dyDescent="0.25">
      <c r="D94" s="2">
        <v>93</v>
      </c>
    </row>
    <row r="95" spans="4:4" x14ac:dyDescent="0.25">
      <c r="D95" s="2">
        <v>94</v>
      </c>
    </row>
    <row r="96" spans="4:4" x14ac:dyDescent="0.25">
      <c r="D96" s="2">
        <v>95</v>
      </c>
    </row>
    <row r="97" spans="4:4" x14ac:dyDescent="0.25">
      <c r="D97" s="2">
        <v>96</v>
      </c>
    </row>
    <row r="98" spans="4:4" x14ac:dyDescent="0.25">
      <c r="D98" s="2">
        <v>97</v>
      </c>
    </row>
    <row r="99" spans="4:4" x14ac:dyDescent="0.25">
      <c r="D99" s="2">
        <v>98</v>
      </c>
    </row>
    <row r="100" spans="4:4" x14ac:dyDescent="0.25">
      <c r="D100" s="2">
        <v>99</v>
      </c>
    </row>
    <row r="101" spans="4:4" x14ac:dyDescent="0.25">
      <c r="D101" s="2">
        <v>100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33700-C910-465F-9A08-EFEB3D0FAB3D}">
  <sheetPr>
    <tabColor theme="5"/>
  </sheetPr>
  <dimension ref="A1:V224"/>
  <sheetViews>
    <sheetView zoomScaleNormal="100" workbookViewId="0">
      <selection activeCell="D24" sqref="D24"/>
    </sheetView>
  </sheetViews>
  <sheetFormatPr defaultRowHeight="14.4" x14ac:dyDescent="0.3"/>
  <cols>
    <col min="1" max="1" width="8.88671875" style="32"/>
    <col min="2" max="2" width="57.21875" style="32" customWidth="1"/>
    <col min="3" max="3" width="16.5546875" style="17" bestFit="1" customWidth="1"/>
    <col min="4" max="12" width="16.77734375" style="17" bestFit="1" customWidth="1"/>
    <col min="13" max="13" width="16.5546875" style="17" bestFit="1" customWidth="1"/>
    <col min="14" max="22" width="16.77734375" style="17" bestFit="1" customWidth="1"/>
    <col min="23" max="16384" width="8.88671875" style="32"/>
  </cols>
  <sheetData>
    <row r="1" spans="1:22" x14ac:dyDescent="0.3">
      <c r="A1" s="510">
        <v>0.2</v>
      </c>
      <c r="B1" s="32" t="s">
        <v>149</v>
      </c>
      <c r="L1" s="18"/>
      <c r="M1" s="18"/>
    </row>
    <row r="2" spans="1:22" x14ac:dyDescent="0.3">
      <c r="A2" s="511"/>
      <c r="B2" s="75" t="s">
        <v>82</v>
      </c>
      <c r="C2" s="75">
        <v>2021</v>
      </c>
      <c r="D2" s="76">
        <v>2022</v>
      </c>
      <c r="E2" s="75">
        <v>2023</v>
      </c>
      <c r="F2" s="76">
        <v>2024</v>
      </c>
      <c r="G2" s="75">
        <v>2025</v>
      </c>
      <c r="H2" s="76">
        <v>2026</v>
      </c>
      <c r="I2" s="75">
        <v>2027</v>
      </c>
      <c r="J2" s="76">
        <v>2028</v>
      </c>
      <c r="K2" s="75">
        <v>2029</v>
      </c>
      <c r="L2" s="76">
        <v>2030</v>
      </c>
      <c r="M2" s="75">
        <v>2031</v>
      </c>
      <c r="N2" s="76">
        <v>2032</v>
      </c>
      <c r="O2" s="75">
        <v>2033</v>
      </c>
      <c r="P2" s="76">
        <v>2034</v>
      </c>
      <c r="Q2" s="75">
        <v>2035</v>
      </c>
      <c r="R2" s="76">
        <v>2036</v>
      </c>
      <c r="S2" s="75">
        <v>2037</v>
      </c>
      <c r="T2" s="76">
        <v>2038</v>
      </c>
      <c r="U2" s="75">
        <v>2039</v>
      </c>
      <c r="V2" s="76">
        <v>2040</v>
      </c>
    </row>
    <row r="3" spans="1:22" x14ac:dyDescent="0.3">
      <c r="A3" s="511"/>
      <c r="B3" s="30" t="str">
        <f>DTE_demand_forecast!B62</f>
        <v>Human Space Flight</v>
      </c>
      <c r="C3" s="78" t="str">
        <f>IFERROR(DTE_demand_forecast!C62*#REF!,"-")</f>
        <v>-</v>
      </c>
      <c r="D3" s="78" t="str">
        <f>IFERROR(DTE_demand_forecast!D62*#REF!,"-")</f>
        <v>-</v>
      </c>
      <c r="E3" s="78" t="str">
        <f>IFERROR(DTE_demand_forecast!E62*#REF!,"-")</f>
        <v>-</v>
      </c>
      <c r="F3" s="78" t="str">
        <f>IFERROR(DTE_demand_forecast!F62*#REF!,"-")</f>
        <v>-</v>
      </c>
      <c r="G3" s="78" t="str">
        <f>IFERROR(DTE_demand_forecast!G62*#REF!,"-")</f>
        <v>-</v>
      </c>
      <c r="H3" s="78" t="str">
        <f>IFERROR(DTE_demand_forecast!H62*#REF!,"-")</f>
        <v>-</v>
      </c>
      <c r="I3" s="78" t="str">
        <f>IFERROR(DTE_demand_forecast!I62*#REF!,"-")</f>
        <v>-</v>
      </c>
      <c r="J3" s="78" t="str">
        <f>IFERROR(DTE_demand_forecast!J62*#REF!,"-")</f>
        <v>-</v>
      </c>
      <c r="K3" s="78" t="str">
        <f>IFERROR(DTE_demand_forecast!K62*#REF!,"-")</f>
        <v>-</v>
      </c>
      <c r="L3" s="78" t="str">
        <f>IFERROR(DTE_demand_forecast!L62*#REF!,"-")</f>
        <v>-</v>
      </c>
      <c r="M3" s="78" t="str">
        <f>IFERROR(DTE_demand_forecast!M62*#REF!,"-")</f>
        <v>-</v>
      </c>
      <c r="N3" s="78" t="str">
        <f>IFERROR(DTE_demand_forecast!N62*#REF!,"-")</f>
        <v>-</v>
      </c>
      <c r="O3" s="78" t="str">
        <f>IFERROR(DTE_demand_forecast!O62*#REF!,"-")</f>
        <v>-</v>
      </c>
      <c r="P3" s="78" t="str">
        <f>IFERROR(DTE_demand_forecast!P62*#REF!,"-")</f>
        <v>-</v>
      </c>
      <c r="Q3" s="78" t="str">
        <f>IFERROR(DTE_demand_forecast!Q62*#REF!,"-")</f>
        <v>-</v>
      </c>
      <c r="R3" s="78" t="str">
        <f>IFERROR(DTE_demand_forecast!R62*#REF!,"-")</f>
        <v>-</v>
      </c>
      <c r="S3" s="78" t="str">
        <f>IFERROR(DTE_demand_forecast!S62*#REF!,"-")</f>
        <v>-</v>
      </c>
      <c r="T3" s="78" t="str">
        <f>IFERROR(DTE_demand_forecast!T62*#REF!,"-")</f>
        <v>-</v>
      </c>
      <c r="U3" s="78" t="str">
        <f>IFERROR(DTE_demand_forecast!U62*#REF!,"-")</f>
        <v>-</v>
      </c>
      <c r="V3" s="78" t="str">
        <f>IFERROR(DTE_demand_forecast!V62*#REF!,"-")</f>
        <v>-</v>
      </c>
    </row>
    <row r="4" spans="1:22" x14ac:dyDescent="0.3">
      <c r="A4" s="511"/>
      <c r="B4" s="30" t="str">
        <f>DTE_demand_forecast!B63</f>
        <v>Near Earth Robotic - LEO Science</v>
      </c>
      <c r="C4" s="78" t="str">
        <f>IFERROR(DTE_demand_forecast!C63*#REF!,"-")</f>
        <v>-</v>
      </c>
      <c r="D4" s="78" t="str">
        <f>IFERROR(DTE_demand_forecast!D63*#REF!,"-")</f>
        <v>-</v>
      </c>
      <c r="E4" s="78" t="str">
        <f>IFERROR(DTE_demand_forecast!E63*#REF!,"-")</f>
        <v>-</v>
      </c>
      <c r="F4" s="78" t="str">
        <f>IFERROR(DTE_demand_forecast!F63*#REF!,"-")</f>
        <v>-</v>
      </c>
      <c r="G4" s="78" t="str">
        <f>IFERROR(DTE_demand_forecast!G63*#REF!,"-")</f>
        <v>-</v>
      </c>
      <c r="H4" s="78" t="str">
        <f>IFERROR(DTE_demand_forecast!H63*#REF!,"-")</f>
        <v>-</v>
      </c>
      <c r="I4" s="78" t="str">
        <f>IFERROR(DTE_demand_forecast!I63*#REF!,"-")</f>
        <v>-</v>
      </c>
      <c r="J4" s="78" t="str">
        <f>IFERROR(DTE_demand_forecast!J63*#REF!,"-")</f>
        <v>-</v>
      </c>
      <c r="K4" s="78" t="str">
        <f>IFERROR(DTE_demand_forecast!K63*#REF!,"-")</f>
        <v>-</v>
      </c>
      <c r="L4" s="78" t="str">
        <f>IFERROR(DTE_demand_forecast!L63*#REF!,"-")</f>
        <v>-</v>
      </c>
      <c r="M4" s="78" t="str">
        <f>IFERROR(DTE_demand_forecast!M63*#REF!,"-")</f>
        <v>-</v>
      </c>
      <c r="N4" s="78" t="str">
        <f>IFERROR(DTE_demand_forecast!N63*#REF!,"-")</f>
        <v>-</v>
      </c>
      <c r="O4" s="78" t="str">
        <f>IFERROR(DTE_demand_forecast!O63*#REF!,"-")</f>
        <v>-</v>
      </c>
      <c r="P4" s="78" t="str">
        <f>IFERROR(DTE_demand_forecast!P63*#REF!,"-")</f>
        <v>-</v>
      </c>
      <c r="Q4" s="78" t="str">
        <f>IFERROR(DTE_demand_forecast!Q63*#REF!,"-")</f>
        <v>-</v>
      </c>
      <c r="R4" s="78" t="str">
        <f>IFERROR(DTE_demand_forecast!R63*#REF!,"-")</f>
        <v>-</v>
      </c>
      <c r="S4" s="78" t="str">
        <f>IFERROR(DTE_demand_forecast!S63*#REF!,"-")</f>
        <v>-</v>
      </c>
      <c r="T4" s="78" t="str">
        <f>IFERROR(DTE_demand_forecast!T63*#REF!,"-")</f>
        <v>-</v>
      </c>
      <c r="U4" s="78" t="str">
        <f>IFERROR(DTE_demand_forecast!U63*#REF!,"-")</f>
        <v>-</v>
      </c>
      <c r="V4" s="78" t="str">
        <f>IFERROR(DTE_demand_forecast!V63*#REF!,"-")</f>
        <v>-</v>
      </c>
    </row>
    <row r="5" spans="1:22" x14ac:dyDescent="0.3">
      <c r="A5" s="511"/>
      <c r="B5" s="30" t="str">
        <f>DTE_demand_forecast!B64</f>
        <v>Near Earth Robotic - GEO and Near Earth</v>
      </c>
      <c r="C5" s="78" t="str">
        <f>IFERROR(DTE_demand_forecast!C64*#REF!,"-")</f>
        <v>-</v>
      </c>
      <c r="D5" s="78" t="str">
        <f>IFERROR(DTE_demand_forecast!D64*#REF!,"-")</f>
        <v>-</v>
      </c>
      <c r="E5" s="78" t="str">
        <f>IFERROR(DTE_demand_forecast!E64*#REF!,"-")</f>
        <v>-</v>
      </c>
      <c r="F5" s="78" t="str">
        <f>IFERROR(DTE_demand_forecast!F64*#REF!,"-")</f>
        <v>-</v>
      </c>
      <c r="G5" s="78" t="str">
        <f>IFERROR(DTE_demand_forecast!G64*#REF!,"-")</f>
        <v>-</v>
      </c>
      <c r="H5" s="78" t="str">
        <f>IFERROR(DTE_demand_forecast!H64*#REF!,"-")</f>
        <v>-</v>
      </c>
      <c r="I5" s="78" t="str">
        <f>IFERROR(DTE_demand_forecast!I64*#REF!,"-")</f>
        <v>-</v>
      </c>
      <c r="J5" s="78" t="str">
        <f>IFERROR(DTE_demand_forecast!J64*#REF!,"-")</f>
        <v>-</v>
      </c>
      <c r="K5" s="78" t="str">
        <f>IFERROR(DTE_demand_forecast!K64*#REF!,"-")</f>
        <v>-</v>
      </c>
      <c r="L5" s="78" t="str">
        <f>IFERROR(DTE_demand_forecast!L64*#REF!,"-")</f>
        <v>-</v>
      </c>
      <c r="M5" s="78" t="str">
        <f>IFERROR(DTE_demand_forecast!M64*#REF!,"-")</f>
        <v>-</v>
      </c>
      <c r="N5" s="78" t="str">
        <f>IFERROR(DTE_demand_forecast!N64*#REF!,"-")</f>
        <v>-</v>
      </c>
      <c r="O5" s="78" t="str">
        <f>IFERROR(DTE_demand_forecast!O64*#REF!,"-")</f>
        <v>-</v>
      </c>
      <c r="P5" s="78" t="str">
        <f>IFERROR(DTE_demand_forecast!P64*#REF!,"-")</f>
        <v>-</v>
      </c>
      <c r="Q5" s="78" t="str">
        <f>IFERROR(DTE_demand_forecast!Q64*#REF!,"-")</f>
        <v>-</v>
      </c>
      <c r="R5" s="78" t="str">
        <f>IFERROR(DTE_demand_forecast!R64*#REF!,"-")</f>
        <v>-</v>
      </c>
      <c r="S5" s="78" t="str">
        <f>IFERROR(DTE_demand_forecast!S64*#REF!,"-")</f>
        <v>-</v>
      </c>
      <c r="T5" s="78" t="str">
        <f>IFERROR(DTE_demand_forecast!T64*#REF!,"-")</f>
        <v>-</v>
      </c>
      <c r="U5" s="78" t="str">
        <f>IFERROR(DTE_demand_forecast!U64*#REF!,"-")</f>
        <v>-</v>
      </c>
      <c r="V5" s="78" t="str">
        <f>IFERROR(DTE_demand_forecast!V64*#REF!,"-")</f>
        <v>-</v>
      </c>
    </row>
    <row r="6" spans="1:22" x14ac:dyDescent="0.3">
      <c r="A6" s="511"/>
      <c r="B6" s="30" t="str">
        <f>DTE_demand_forecast!B65</f>
        <v>Deep Space Robotic</v>
      </c>
      <c r="C6" s="78" t="str">
        <f>IFERROR(DTE_demand_forecast!C65*#REF!,"-")</f>
        <v>-</v>
      </c>
      <c r="D6" s="78" t="str">
        <f>IFERROR(DTE_demand_forecast!D65*#REF!,"-")</f>
        <v>-</v>
      </c>
      <c r="E6" s="78" t="str">
        <f>IFERROR(DTE_demand_forecast!E65*#REF!,"-")</f>
        <v>-</v>
      </c>
      <c r="F6" s="78" t="str">
        <f>IFERROR(DTE_demand_forecast!F65*#REF!,"-")</f>
        <v>-</v>
      </c>
      <c r="G6" s="78" t="str">
        <f>IFERROR(DTE_demand_forecast!G65*#REF!,"-")</f>
        <v>-</v>
      </c>
      <c r="H6" s="78" t="str">
        <f>IFERROR(DTE_demand_forecast!H65*#REF!,"-")</f>
        <v>-</v>
      </c>
      <c r="I6" s="78" t="str">
        <f>IFERROR(DTE_demand_forecast!I65*#REF!,"-")</f>
        <v>-</v>
      </c>
      <c r="J6" s="78" t="str">
        <f>IFERROR(DTE_demand_forecast!J65*#REF!,"-")</f>
        <v>-</v>
      </c>
      <c r="K6" s="78" t="str">
        <f>IFERROR(DTE_demand_forecast!K65*#REF!,"-")</f>
        <v>-</v>
      </c>
      <c r="L6" s="78" t="str">
        <f>IFERROR(DTE_demand_forecast!L65*#REF!,"-")</f>
        <v>-</v>
      </c>
      <c r="M6" s="78" t="str">
        <f>IFERROR(DTE_demand_forecast!M65*#REF!,"-")</f>
        <v>-</v>
      </c>
      <c r="N6" s="78" t="str">
        <f>IFERROR(DTE_demand_forecast!N65*#REF!,"-")</f>
        <v>-</v>
      </c>
      <c r="O6" s="78" t="str">
        <f>IFERROR(DTE_demand_forecast!O65*#REF!,"-")</f>
        <v>-</v>
      </c>
      <c r="P6" s="78" t="str">
        <f>IFERROR(DTE_demand_forecast!P65*#REF!,"-")</f>
        <v>-</v>
      </c>
      <c r="Q6" s="78" t="str">
        <f>IFERROR(DTE_demand_forecast!Q65*#REF!,"-")</f>
        <v>-</v>
      </c>
      <c r="R6" s="78" t="str">
        <f>IFERROR(DTE_demand_forecast!R65*#REF!,"-")</f>
        <v>-</v>
      </c>
      <c r="S6" s="78" t="str">
        <f>IFERROR(DTE_demand_forecast!S65*#REF!,"-")</f>
        <v>-</v>
      </c>
      <c r="T6" s="78" t="str">
        <f>IFERROR(DTE_demand_forecast!T65*#REF!,"-")</f>
        <v>-</v>
      </c>
      <c r="U6" s="78" t="str">
        <f>IFERROR(DTE_demand_forecast!U65*#REF!,"-")</f>
        <v>-</v>
      </c>
      <c r="V6" s="78" t="str">
        <f>IFERROR(DTE_demand_forecast!V65*#REF!,"-")</f>
        <v>-</v>
      </c>
    </row>
    <row r="7" spans="1:22" x14ac:dyDescent="0.3">
      <c r="A7" s="511"/>
      <c r="B7" s="30" t="str">
        <f>DTE_demand_forecast!B66</f>
        <v>Near Earth Robotic - Low Latency &amp; Complex Needs</v>
      </c>
      <c r="C7" s="78" t="str">
        <f>IFERROR(DTE_demand_forecast!C66*#REF!,"-")</f>
        <v>-</v>
      </c>
      <c r="D7" s="78" t="str">
        <f>IFERROR(DTE_demand_forecast!D66*#REF!,"-")</f>
        <v>-</v>
      </c>
      <c r="E7" s="78" t="str">
        <f>IFERROR(DTE_demand_forecast!E66*#REF!,"-")</f>
        <v>-</v>
      </c>
      <c r="F7" s="78" t="str">
        <f>IFERROR(DTE_demand_forecast!F66*#REF!,"-")</f>
        <v>-</v>
      </c>
      <c r="G7" s="78" t="str">
        <f>IFERROR(DTE_demand_forecast!G66*#REF!,"-")</f>
        <v>-</v>
      </c>
      <c r="H7" s="78" t="str">
        <f>IFERROR(DTE_demand_forecast!H66*#REF!,"-")</f>
        <v>-</v>
      </c>
      <c r="I7" s="78" t="str">
        <f>IFERROR(DTE_demand_forecast!I66*#REF!,"-")</f>
        <v>-</v>
      </c>
      <c r="J7" s="78" t="str">
        <f>IFERROR(DTE_demand_forecast!J66*#REF!,"-")</f>
        <v>-</v>
      </c>
      <c r="K7" s="78" t="str">
        <f>IFERROR(DTE_demand_forecast!K66*#REF!,"-")</f>
        <v>-</v>
      </c>
      <c r="L7" s="78" t="str">
        <f>IFERROR(DTE_demand_forecast!L66*#REF!,"-")</f>
        <v>-</v>
      </c>
      <c r="M7" s="78" t="str">
        <f>IFERROR(DTE_demand_forecast!M66*#REF!,"-")</f>
        <v>-</v>
      </c>
      <c r="N7" s="78" t="str">
        <f>IFERROR(DTE_demand_forecast!N66*#REF!,"-")</f>
        <v>-</v>
      </c>
      <c r="O7" s="78" t="str">
        <f>IFERROR(DTE_demand_forecast!O66*#REF!,"-")</f>
        <v>-</v>
      </c>
      <c r="P7" s="78" t="str">
        <f>IFERROR(DTE_demand_forecast!P66*#REF!,"-")</f>
        <v>-</v>
      </c>
      <c r="Q7" s="78" t="str">
        <f>IFERROR(DTE_demand_forecast!Q66*#REF!,"-")</f>
        <v>-</v>
      </c>
      <c r="R7" s="78" t="str">
        <f>IFERROR(DTE_demand_forecast!R66*#REF!,"-")</f>
        <v>-</v>
      </c>
      <c r="S7" s="78" t="str">
        <f>IFERROR(DTE_demand_forecast!S66*#REF!,"-")</f>
        <v>-</v>
      </c>
      <c r="T7" s="78" t="str">
        <f>IFERROR(DTE_demand_forecast!T66*#REF!,"-")</f>
        <v>-</v>
      </c>
      <c r="U7" s="78" t="str">
        <f>IFERROR(DTE_demand_forecast!U66*#REF!,"-")</f>
        <v>-</v>
      </c>
      <c r="V7" s="78" t="str">
        <f>IFERROR(DTE_demand_forecast!V66*#REF!,"-")</f>
        <v>-</v>
      </c>
    </row>
    <row r="8" spans="1:22" x14ac:dyDescent="0.3">
      <c r="A8" s="511"/>
      <c r="B8" s="30" t="str">
        <f>DTE_demand_forecast!B67</f>
        <v>Mission Operations</v>
      </c>
      <c r="C8" s="78" t="str">
        <f>IFERROR(DTE_demand_forecast!C67*#REF!,"-")</f>
        <v>-</v>
      </c>
      <c r="D8" s="78" t="str">
        <f>IFERROR(DTE_demand_forecast!D67*#REF!,"-")</f>
        <v>-</v>
      </c>
      <c r="E8" s="78" t="str">
        <f>IFERROR(DTE_demand_forecast!E67*#REF!,"-")</f>
        <v>-</v>
      </c>
      <c r="F8" s="78" t="str">
        <f>IFERROR(DTE_demand_forecast!F67*#REF!,"-")</f>
        <v>-</v>
      </c>
      <c r="G8" s="78" t="str">
        <f>IFERROR(DTE_demand_forecast!G67*#REF!,"-")</f>
        <v>-</v>
      </c>
      <c r="H8" s="78" t="str">
        <f>IFERROR(DTE_demand_forecast!H67*#REF!,"-")</f>
        <v>-</v>
      </c>
      <c r="I8" s="78" t="str">
        <f>IFERROR(DTE_demand_forecast!I67*#REF!,"-")</f>
        <v>-</v>
      </c>
      <c r="J8" s="78" t="str">
        <f>IFERROR(DTE_demand_forecast!J67*#REF!,"-")</f>
        <v>-</v>
      </c>
      <c r="K8" s="78" t="str">
        <f>IFERROR(DTE_demand_forecast!K67*#REF!,"-")</f>
        <v>-</v>
      </c>
      <c r="L8" s="78" t="str">
        <f>IFERROR(DTE_demand_forecast!L67*#REF!,"-")</f>
        <v>-</v>
      </c>
      <c r="M8" s="78" t="str">
        <f>IFERROR(DTE_demand_forecast!M67*#REF!,"-")</f>
        <v>-</v>
      </c>
      <c r="N8" s="78" t="str">
        <f>IFERROR(DTE_demand_forecast!N67*#REF!,"-")</f>
        <v>-</v>
      </c>
      <c r="O8" s="78" t="str">
        <f>IFERROR(DTE_demand_forecast!O67*#REF!,"-")</f>
        <v>-</v>
      </c>
      <c r="P8" s="78" t="str">
        <f>IFERROR(DTE_demand_forecast!P67*#REF!,"-")</f>
        <v>-</v>
      </c>
      <c r="Q8" s="78" t="str">
        <f>IFERROR(DTE_demand_forecast!Q67*#REF!,"-")</f>
        <v>-</v>
      </c>
      <c r="R8" s="78" t="str">
        <f>IFERROR(DTE_demand_forecast!R67*#REF!,"-")</f>
        <v>-</v>
      </c>
      <c r="S8" s="78" t="str">
        <f>IFERROR(DTE_demand_forecast!S67*#REF!,"-")</f>
        <v>-</v>
      </c>
      <c r="T8" s="78" t="str">
        <f>IFERROR(DTE_demand_forecast!T67*#REF!,"-")</f>
        <v>-</v>
      </c>
      <c r="U8" s="78" t="str">
        <f>IFERROR(DTE_demand_forecast!U67*#REF!,"-")</f>
        <v>-</v>
      </c>
      <c r="V8" s="78" t="str">
        <f>IFERROR(DTE_demand_forecast!V67*#REF!,"-")</f>
        <v>-</v>
      </c>
    </row>
    <row r="9" spans="1:22" x14ac:dyDescent="0.3">
      <c r="A9" s="511"/>
      <c r="B9" s="30" t="str">
        <f>DTE_demand_forecast!B68</f>
        <v>Launch Events</v>
      </c>
      <c r="C9" s="78" t="str">
        <f>IFERROR(DTE_demand_forecast!C68*#REF!,"-")</f>
        <v>-</v>
      </c>
      <c r="D9" s="78" t="str">
        <f>IFERROR(DTE_demand_forecast!D68*#REF!,"-")</f>
        <v>-</v>
      </c>
      <c r="E9" s="78" t="str">
        <f>IFERROR(DTE_demand_forecast!E68*#REF!,"-")</f>
        <v>-</v>
      </c>
      <c r="F9" s="78" t="str">
        <f>IFERROR(DTE_demand_forecast!F68*#REF!,"-")</f>
        <v>-</v>
      </c>
      <c r="G9" s="78" t="str">
        <f>IFERROR(DTE_demand_forecast!G68*#REF!,"-")</f>
        <v>-</v>
      </c>
      <c r="H9" s="78" t="str">
        <f>IFERROR(DTE_demand_forecast!H68*#REF!,"-")</f>
        <v>-</v>
      </c>
      <c r="I9" s="78" t="str">
        <f>IFERROR(DTE_demand_forecast!I68*#REF!,"-")</f>
        <v>-</v>
      </c>
      <c r="J9" s="78" t="str">
        <f>IFERROR(DTE_demand_forecast!J68*#REF!,"-")</f>
        <v>-</v>
      </c>
      <c r="K9" s="78" t="str">
        <f>IFERROR(DTE_demand_forecast!K68*#REF!,"-")</f>
        <v>-</v>
      </c>
      <c r="L9" s="78" t="str">
        <f>IFERROR(DTE_demand_forecast!L68*#REF!,"-")</f>
        <v>-</v>
      </c>
      <c r="M9" s="78" t="str">
        <f>IFERROR(DTE_demand_forecast!M68*#REF!,"-")</f>
        <v>-</v>
      </c>
      <c r="N9" s="78" t="str">
        <f>IFERROR(DTE_demand_forecast!N68*#REF!,"-")</f>
        <v>-</v>
      </c>
      <c r="O9" s="78" t="str">
        <f>IFERROR(DTE_demand_forecast!O68*#REF!,"-")</f>
        <v>-</v>
      </c>
      <c r="P9" s="78" t="str">
        <f>IFERROR(DTE_demand_forecast!P68*#REF!,"-")</f>
        <v>-</v>
      </c>
      <c r="Q9" s="78" t="str">
        <f>IFERROR(DTE_demand_forecast!Q68*#REF!,"-")</f>
        <v>-</v>
      </c>
      <c r="R9" s="78" t="str">
        <f>IFERROR(DTE_demand_forecast!R68*#REF!,"-")</f>
        <v>-</v>
      </c>
      <c r="S9" s="78" t="str">
        <f>IFERROR(DTE_demand_forecast!S68*#REF!,"-")</f>
        <v>-</v>
      </c>
      <c r="T9" s="78" t="str">
        <f>IFERROR(DTE_demand_forecast!T68*#REF!,"-")</f>
        <v>-</v>
      </c>
      <c r="U9" s="78" t="str">
        <f>IFERROR(DTE_demand_forecast!U68*#REF!,"-")</f>
        <v>-</v>
      </c>
      <c r="V9" s="78" t="str">
        <f>IFERROR(DTE_demand_forecast!V68*#REF!,"-")</f>
        <v>-</v>
      </c>
    </row>
    <row r="10" spans="1:22" x14ac:dyDescent="0.3">
      <c r="A10" s="511"/>
      <c r="B10" s="30" t="str">
        <f>DTE_demand_forecast!B69</f>
        <v>Terrestrial &amp; Aerial</v>
      </c>
      <c r="C10" s="78" t="str">
        <f>IFERROR(DTE_demand_forecast!C69*#REF!,"-")</f>
        <v>-</v>
      </c>
      <c r="D10" s="78" t="str">
        <f>IFERROR(DTE_demand_forecast!D69*#REF!,"-")</f>
        <v>-</v>
      </c>
      <c r="E10" s="78" t="str">
        <f>IFERROR(DTE_demand_forecast!E69*#REF!,"-")</f>
        <v>-</v>
      </c>
      <c r="F10" s="78" t="str">
        <f>IFERROR(DTE_demand_forecast!F69*#REF!,"-")</f>
        <v>-</v>
      </c>
      <c r="G10" s="78" t="str">
        <f>IFERROR(DTE_demand_forecast!G69*#REF!,"-")</f>
        <v>-</v>
      </c>
      <c r="H10" s="78" t="str">
        <f>IFERROR(DTE_demand_forecast!H69*#REF!,"-")</f>
        <v>-</v>
      </c>
      <c r="I10" s="78" t="str">
        <f>IFERROR(DTE_demand_forecast!I69*#REF!,"-")</f>
        <v>-</v>
      </c>
      <c r="J10" s="78" t="str">
        <f>IFERROR(DTE_demand_forecast!J69*#REF!,"-")</f>
        <v>-</v>
      </c>
      <c r="K10" s="78" t="str">
        <f>IFERROR(DTE_demand_forecast!K69*#REF!,"-")</f>
        <v>-</v>
      </c>
      <c r="L10" s="78" t="str">
        <f>IFERROR(DTE_demand_forecast!L69*#REF!,"-")</f>
        <v>-</v>
      </c>
      <c r="M10" s="78" t="str">
        <f>IFERROR(DTE_demand_forecast!M69*#REF!,"-")</f>
        <v>-</v>
      </c>
      <c r="N10" s="78" t="str">
        <f>IFERROR(DTE_demand_forecast!N69*#REF!,"-")</f>
        <v>-</v>
      </c>
      <c r="O10" s="78" t="str">
        <f>IFERROR(DTE_demand_forecast!O69*#REF!,"-")</f>
        <v>-</v>
      </c>
      <c r="P10" s="78" t="str">
        <f>IFERROR(DTE_demand_forecast!P69*#REF!,"-")</f>
        <v>-</v>
      </c>
      <c r="Q10" s="78" t="str">
        <f>IFERROR(DTE_demand_forecast!Q69*#REF!,"-")</f>
        <v>-</v>
      </c>
      <c r="R10" s="78" t="str">
        <f>IFERROR(DTE_demand_forecast!R69*#REF!,"-")</f>
        <v>-</v>
      </c>
      <c r="S10" s="78" t="str">
        <f>IFERROR(DTE_demand_forecast!S69*#REF!,"-")</f>
        <v>-</v>
      </c>
      <c r="T10" s="78" t="str">
        <f>IFERROR(DTE_demand_forecast!T69*#REF!,"-")</f>
        <v>-</v>
      </c>
      <c r="U10" s="78" t="str">
        <f>IFERROR(DTE_demand_forecast!U69*#REF!,"-")</f>
        <v>-</v>
      </c>
      <c r="V10" s="78" t="str">
        <f>IFERROR(DTE_demand_forecast!V69*#REF!,"-")</f>
        <v>-</v>
      </c>
    </row>
    <row r="11" spans="1:22" x14ac:dyDescent="0.3">
      <c r="A11" s="511"/>
      <c r="B11" s="31" t="s">
        <v>84</v>
      </c>
      <c r="C11" s="124">
        <f t="shared" ref="C11:V11" si="0">SUM(C3:C10)</f>
        <v>0</v>
      </c>
      <c r="D11" s="124">
        <f t="shared" si="0"/>
        <v>0</v>
      </c>
      <c r="E11" s="124">
        <f t="shared" si="0"/>
        <v>0</v>
      </c>
      <c r="F11" s="124">
        <f t="shared" si="0"/>
        <v>0</v>
      </c>
      <c r="G11" s="124">
        <f t="shared" si="0"/>
        <v>0</v>
      </c>
      <c r="H11" s="124">
        <f t="shared" si="0"/>
        <v>0</v>
      </c>
      <c r="I11" s="124">
        <f t="shared" si="0"/>
        <v>0</v>
      </c>
      <c r="J11" s="124">
        <f t="shared" si="0"/>
        <v>0</v>
      </c>
      <c r="K11" s="124">
        <f t="shared" si="0"/>
        <v>0</v>
      </c>
      <c r="L11" s="124">
        <f t="shared" si="0"/>
        <v>0</v>
      </c>
      <c r="M11" s="124">
        <f t="shared" si="0"/>
        <v>0</v>
      </c>
      <c r="N11" s="124">
        <f t="shared" si="0"/>
        <v>0</v>
      </c>
      <c r="O11" s="124">
        <f t="shared" si="0"/>
        <v>0</v>
      </c>
      <c r="P11" s="124">
        <f t="shared" si="0"/>
        <v>0</v>
      </c>
      <c r="Q11" s="124">
        <f t="shared" si="0"/>
        <v>0</v>
      </c>
      <c r="R11" s="124">
        <f t="shared" si="0"/>
        <v>0</v>
      </c>
      <c r="S11" s="124">
        <f t="shared" si="0"/>
        <v>0</v>
      </c>
      <c r="T11" s="124">
        <f t="shared" si="0"/>
        <v>0</v>
      </c>
      <c r="U11" s="124">
        <f t="shared" si="0"/>
        <v>0</v>
      </c>
      <c r="V11" s="124">
        <f t="shared" si="0"/>
        <v>0</v>
      </c>
    </row>
    <row r="12" spans="1:22" x14ac:dyDescent="0.3">
      <c r="A12" s="511"/>
      <c r="B12" s="125"/>
      <c r="C12" s="126"/>
      <c r="D12" s="126"/>
      <c r="E12" s="126"/>
      <c r="F12" s="126"/>
      <c r="G12" s="126"/>
      <c r="H12" s="126"/>
      <c r="I12" s="126"/>
      <c r="J12" s="126"/>
      <c r="K12" s="126"/>
      <c r="L12" s="126"/>
      <c r="M12" s="126"/>
      <c r="N12" s="126"/>
      <c r="O12" s="126"/>
      <c r="P12" s="126"/>
      <c r="Q12" s="126"/>
      <c r="R12" s="126"/>
      <c r="S12" s="126"/>
      <c r="T12" s="126"/>
      <c r="U12" s="126"/>
      <c r="V12" s="126"/>
    </row>
    <row r="13" spans="1:22" x14ac:dyDescent="0.3">
      <c r="A13" s="511"/>
      <c r="B13" s="125"/>
      <c r="C13" s="126"/>
      <c r="D13" s="126"/>
      <c r="E13" s="126"/>
      <c r="F13" s="126"/>
      <c r="G13" s="126"/>
      <c r="H13" s="126"/>
      <c r="I13" s="126"/>
      <c r="J13" s="126"/>
      <c r="K13" s="126"/>
      <c r="L13" s="126"/>
      <c r="M13" s="126"/>
      <c r="N13" s="126"/>
      <c r="O13" s="126"/>
      <c r="P13" s="126"/>
      <c r="Q13" s="126"/>
      <c r="R13" s="126"/>
      <c r="S13" s="126"/>
      <c r="T13" s="126"/>
      <c r="U13" s="126"/>
      <c r="V13" s="126"/>
    </row>
    <row r="14" spans="1:22" x14ac:dyDescent="0.3">
      <c r="A14" s="511"/>
      <c r="B14" s="125"/>
      <c r="C14" s="126"/>
      <c r="D14" s="126"/>
      <c r="E14" s="126"/>
      <c r="F14" s="126"/>
      <c r="G14" s="126"/>
      <c r="H14" s="126"/>
      <c r="I14" s="126"/>
      <c r="J14" s="126"/>
      <c r="K14" s="126"/>
      <c r="L14" s="126"/>
      <c r="M14" s="126"/>
      <c r="N14" s="126"/>
      <c r="O14" s="126"/>
      <c r="P14" s="126"/>
      <c r="Q14" s="126"/>
      <c r="R14" s="126"/>
      <c r="S14" s="126"/>
      <c r="T14" s="126"/>
      <c r="U14" s="126"/>
      <c r="V14" s="126"/>
    </row>
    <row r="15" spans="1:22" x14ac:dyDescent="0.3">
      <c r="A15" s="511"/>
      <c r="B15" s="125"/>
      <c r="C15" s="126"/>
      <c r="D15" s="126"/>
      <c r="E15" s="126"/>
      <c r="F15" s="126"/>
      <c r="G15" s="126"/>
      <c r="H15" s="126"/>
      <c r="I15" s="126"/>
      <c r="J15" s="126"/>
      <c r="K15" s="126"/>
      <c r="L15" s="126"/>
      <c r="M15" s="126"/>
      <c r="N15" s="126"/>
      <c r="O15" s="126"/>
      <c r="P15" s="126"/>
      <c r="Q15" s="126"/>
      <c r="R15" s="126"/>
      <c r="S15" s="126"/>
      <c r="T15" s="126"/>
      <c r="U15" s="126"/>
      <c r="V15" s="126"/>
    </row>
    <row r="16" spans="1:22" x14ac:dyDescent="0.3">
      <c r="A16" s="511"/>
      <c r="B16" s="125"/>
      <c r="C16" s="126"/>
      <c r="D16" s="126"/>
      <c r="E16" s="126"/>
      <c r="F16" s="126"/>
      <c r="G16" s="126"/>
      <c r="H16" s="126"/>
      <c r="I16" s="126"/>
      <c r="J16" s="126"/>
      <c r="K16" s="126"/>
      <c r="L16" s="126"/>
      <c r="M16" s="126"/>
      <c r="N16" s="126"/>
      <c r="O16" s="126"/>
      <c r="P16" s="126"/>
      <c r="Q16" s="126"/>
      <c r="R16" s="126"/>
      <c r="S16" s="126"/>
      <c r="T16" s="126"/>
      <c r="U16" s="126"/>
      <c r="V16" s="126"/>
    </row>
    <row r="17" spans="1:22" x14ac:dyDescent="0.3">
      <c r="A17" s="511"/>
    </row>
    <row r="18" spans="1:22" x14ac:dyDescent="0.3">
      <c r="A18" s="511"/>
    </row>
    <row r="19" spans="1:22" x14ac:dyDescent="0.3">
      <c r="A19" s="511"/>
      <c r="B19" s="32" t="s">
        <v>150</v>
      </c>
      <c r="L19" s="18"/>
      <c r="M19" s="18"/>
    </row>
    <row r="20" spans="1:22" x14ac:dyDescent="0.3">
      <c r="A20" s="511"/>
      <c r="B20" s="75" t="s">
        <v>82</v>
      </c>
      <c r="C20" s="75">
        <v>2021</v>
      </c>
      <c r="D20" s="76">
        <v>2022</v>
      </c>
      <c r="E20" s="75">
        <v>2023</v>
      </c>
      <c r="F20" s="76">
        <v>2024</v>
      </c>
      <c r="G20" s="75">
        <v>2025</v>
      </c>
      <c r="H20" s="76">
        <v>2026</v>
      </c>
      <c r="I20" s="75">
        <v>2027</v>
      </c>
      <c r="J20" s="76">
        <v>2028</v>
      </c>
      <c r="K20" s="75">
        <v>2029</v>
      </c>
      <c r="L20" s="76">
        <v>2030</v>
      </c>
      <c r="M20" s="75">
        <v>2031</v>
      </c>
      <c r="N20" s="76">
        <v>2032</v>
      </c>
      <c r="O20" s="75">
        <v>2033</v>
      </c>
      <c r="P20" s="76">
        <v>2034</v>
      </c>
      <c r="Q20" s="75">
        <v>2035</v>
      </c>
      <c r="R20" s="76">
        <v>2036</v>
      </c>
      <c r="S20" s="75">
        <v>2037</v>
      </c>
      <c r="T20" s="76">
        <v>2038</v>
      </c>
      <c r="U20" s="75">
        <v>2039</v>
      </c>
      <c r="V20" s="76">
        <v>2040</v>
      </c>
    </row>
    <row r="21" spans="1:22" x14ac:dyDescent="0.3">
      <c r="A21" s="511"/>
      <c r="B21" s="30" t="s">
        <v>43</v>
      </c>
      <c r="C21" s="78" t="str">
        <f>IFERROR(DTE_demand_forecast!C141*#REF!,"-")</f>
        <v>-</v>
      </c>
      <c r="D21" s="78" t="str">
        <f>IFERROR(DTE_demand_forecast!D141*#REF!,"-")</f>
        <v>-</v>
      </c>
      <c r="E21" s="78" t="str">
        <f>IFERROR(DTE_demand_forecast!E141*#REF!,"-")</f>
        <v>-</v>
      </c>
      <c r="F21" s="78" t="str">
        <f>IFERROR(DTE_demand_forecast!F141*#REF!,"-")</f>
        <v>-</v>
      </c>
      <c r="G21" s="78" t="str">
        <f>IFERROR(DTE_demand_forecast!G141*#REF!,"-")</f>
        <v>-</v>
      </c>
      <c r="H21" s="78" t="str">
        <f>IFERROR(DTE_demand_forecast!H141*#REF!,"-")</f>
        <v>-</v>
      </c>
      <c r="I21" s="78" t="str">
        <f>IFERROR(DTE_demand_forecast!I141*#REF!,"-")</f>
        <v>-</v>
      </c>
      <c r="J21" s="78" t="str">
        <f>IFERROR(DTE_demand_forecast!J141*#REF!,"-")</f>
        <v>-</v>
      </c>
      <c r="K21" s="78" t="str">
        <f>IFERROR(DTE_demand_forecast!K141*#REF!,"-")</f>
        <v>-</v>
      </c>
      <c r="L21" s="78" t="str">
        <f>IFERROR(DTE_demand_forecast!L141*#REF!,"-")</f>
        <v>-</v>
      </c>
      <c r="M21" s="78" t="str">
        <f>IFERROR(DTE_demand_forecast!M141*#REF!,"-")</f>
        <v>-</v>
      </c>
      <c r="N21" s="78" t="str">
        <f>IFERROR(DTE_demand_forecast!N141*#REF!,"-")</f>
        <v>-</v>
      </c>
      <c r="O21" s="78" t="str">
        <f>IFERROR(DTE_demand_forecast!O141*#REF!,"-")</f>
        <v>-</v>
      </c>
      <c r="P21" s="78" t="str">
        <f>IFERROR(DTE_demand_forecast!P141*#REF!,"-")</f>
        <v>-</v>
      </c>
      <c r="Q21" s="78" t="str">
        <f>IFERROR(DTE_demand_forecast!Q141*#REF!,"-")</f>
        <v>-</v>
      </c>
      <c r="R21" s="78" t="str">
        <f>IFERROR(DTE_demand_forecast!R141*#REF!,"-")</f>
        <v>-</v>
      </c>
      <c r="S21" s="78" t="str">
        <f>IFERROR(DTE_demand_forecast!S141*#REF!,"-")</f>
        <v>-</v>
      </c>
      <c r="T21" s="78" t="str">
        <f>IFERROR(DTE_demand_forecast!T141*#REF!,"-")</f>
        <v>-</v>
      </c>
      <c r="U21" s="78" t="str">
        <f>IFERROR(DTE_demand_forecast!U141*#REF!,"-")</f>
        <v>-</v>
      </c>
      <c r="V21" s="78" t="str">
        <f>IFERROR(DTE_demand_forecast!V141*#REF!,"-")</f>
        <v>-</v>
      </c>
    </row>
    <row r="22" spans="1:22" x14ac:dyDescent="0.3">
      <c r="A22" s="511"/>
      <c r="B22" s="30" t="s">
        <v>41</v>
      </c>
      <c r="C22" s="78" t="str">
        <f>IFERROR(DTE_demand_forecast!C142*#REF!,"-")</f>
        <v>-</v>
      </c>
      <c r="D22" s="78" t="str">
        <f>IFERROR(DTE_demand_forecast!D142*#REF!,"-")</f>
        <v>-</v>
      </c>
      <c r="E22" s="78" t="str">
        <f>IFERROR(DTE_demand_forecast!E142*#REF!,"-")</f>
        <v>-</v>
      </c>
      <c r="F22" s="78" t="str">
        <f>IFERROR(DTE_demand_forecast!F142*#REF!,"-")</f>
        <v>-</v>
      </c>
      <c r="G22" s="78" t="str">
        <f>IFERROR(DTE_demand_forecast!G142*#REF!,"-")</f>
        <v>-</v>
      </c>
      <c r="H22" s="78" t="str">
        <f>IFERROR(DTE_demand_forecast!H142*#REF!,"-")</f>
        <v>-</v>
      </c>
      <c r="I22" s="78" t="str">
        <f>IFERROR(DTE_demand_forecast!I142*#REF!,"-")</f>
        <v>-</v>
      </c>
      <c r="J22" s="78" t="str">
        <f>IFERROR(DTE_demand_forecast!J142*#REF!,"-")</f>
        <v>-</v>
      </c>
      <c r="K22" s="78" t="str">
        <f>IFERROR(DTE_demand_forecast!K142*#REF!,"-")</f>
        <v>-</v>
      </c>
      <c r="L22" s="78" t="str">
        <f>IFERROR(DTE_demand_forecast!L142*#REF!,"-")</f>
        <v>-</v>
      </c>
      <c r="M22" s="78" t="str">
        <f>IFERROR(DTE_demand_forecast!M142*#REF!,"-")</f>
        <v>-</v>
      </c>
      <c r="N22" s="78" t="str">
        <f>IFERROR(DTE_demand_forecast!N142*#REF!,"-")</f>
        <v>-</v>
      </c>
      <c r="O22" s="78" t="str">
        <f>IFERROR(DTE_demand_forecast!O142*#REF!,"-")</f>
        <v>-</v>
      </c>
      <c r="P22" s="78" t="str">
        <f>IFERROR(DTE_demand_forecast!P142*#REF!,"-")</f>
        <v>-</v>
      </c>
      <c r="Q22" s="78" t="str">
        <f>IFERROR(DTE_demand_forecast!Q142*#REF!,"-")</f>
        <v>-</v>
      </c>
      <c r="R22" s="78" t="str">
        <f>IFERROR(DTE_demand_forecast!R142*#REF!,"-")</f>
        <v>-</v>
      </c>
      <c r="S22" s="78" t="str">
        <f>IFERROR(DTE_demand_forecast!S142*#REF!,"-")</f>
        <v>-</v>
      </c>
      <c r="T22" s="78" t="str">
        <f>IFERROR(DTE_demand_forecast!T142*#REF!,"-")</f>
        <v>-</v>
      </c>
      <c r="U22" s="78" t="str">
        <f>IFERROR(DTE_demand_forecast!U142*#REF!,"-")</f>
        <v>-</v>
      </c>
      <c r="V22" s="78" t="str">
        <f>IFERROR(DTE_demand_forecast!V142*#REF!,"-")</f>
        <v>-</v>
      </c>
    </row>
    <row r="23" spans="1:22" x14ac:dyDescent="0.3">
      <c r="A23" s="511"/>
      <c r="B23" s="30" t="s">
        <v>40</v>
      </c>
      <c r="C23" s="78" t="str">
        <f>IFERROR(DTE_demand_forecast!C143*#REF!,"-")</f>
        <v>-</v>
      </c>
      <c r="D23" s="78" t="str">
        <f>IFERROR(DTE_demand_forecast!D143*#REF!,"-")</f>
        <v>-</v>
      </c>
      <c r="E23" s="78" t="str">
        <f>IFERROR(DTE_demand_forecast!E143*#REF!,"-")</f>
        <v>-</v>
      </c>
      <c r="F23" s="78" t="str">
        <f>IFERROR(DTE_demand_forecast!F143*#REF!,"-")</f>
        <v>-</v>
      </c>
      <c r="G23" s="78" t="str">
        <f>IFERROR(DTE_demand_forecast!G143*#REF!,"-")</f>
        <v>-</v>
      </c>
      <c r="H23" s="78" t="str">
        <f>IFERROR(DTE_demand_forecast!H143*#REF!,"-")</f>
        <v>-</v>
      </c>
      <c r="I23" s="78" t="str">
        <f>IFERROR(DTE_demand_forecast!I143*#REF!,"-")</f>
        <v>-</v>
      </c>
      <c r="J23" s="78" t="str">
        <f>IFERROR(DTE_demand_forecast!J143*#REF!,"-")</f>
        <v>-</v>
      </c>
      <c r="K23" s="78" t="str">
        <f>IFERROR(DTE_demand_forecast!K143*#REF!,"-")</f>
        <v>-</v>
      </c>
      <c r="L23" s="78" t="str">
        <f>IFERROR(DTE_demand_forecast!L143*#REF!,"-")</f>
        <v>-</v>
      </c>
      <c r="M23" s="78" t="str">
        <f>IFERROR(DTE_demand_forecast!M143*#REF!,"-")</f>
        <v>-</v>
      </c>
      <c r="N23" s="78" t="str">
        <f>IFERROR(DTE_demand_forecast!N143*#REF!,"-")</f>
        <v>-</v>
      </c>
      <c r="O23" s="78" t="str">
        <f>IFERROR(DTE_demand_forecast!O143*#REF!,"-")</f>
        <v>-</v>
      </c>
      <c r="P23" s="78" t="str">
        <f>IFERROR(DTE_demand_forecast!P143*#REF!,"-")</f>
        <v>-</v>
      </c>
      <c r="Q23" s="78" t="str">
        <f>IFERROR(DTE_demand_forecast!Q143*#REF!,"-")</f>
        <v>-</v>
      </c>
      <c r="R23" s="78" t="str">
        <f>IFERROR(DTE_demand_forecast!R143*#REF!,"-")</f>
        <v>-</v>
      </c>
      <c r="S23" s="78" t="str">
        <f>IFERROR(DTE_demand_forecast!S143*#REF!,"-")</f>
        <v>-</v>
      </c>
      <c r="T23" s="78" t="str">
        <f>IFERROR(DTE_demand_forecast!T143*#REF!,"-")</f>
        <v>-</v>
      </c>
      <c r="U23" s="78" t="str">
        <f>IFERROR(DTE_demand_forecast!U143*#REF!,"-")</f>
        <v>-</v>
      </c>
      <c r="V23" s="78" t="str">
        <f>IFERROR(DTE_demand_forecast!V143*#REF!,"-")</f>
        <v>-</v>
      </c>
    </row>
    <row r="24" spans="1:22" x14ac:dyDescent="0.3">
      <c r="A24" s="511"/>
      <c r="B24" s="30" t="s">
        <v>80</v>
      </c>
      <c r="C24" s="78" t="str">
        <f>IFERROR(DTE_demand_forecast!C144*#REF!,"-")</f>
        <v>-</v>
      </c>
      <c r="D24" s="78" t="str">
        <f>IFERROR(DTE_demand_forecast!D144*#REF!,"-")</f>
        <v>-</v>
      </c>
      <c r="E24" s="78" t="str">
        <f>IFERROR(DTE_demand_forecast!E144*#REF!,"-")</f>
        <v>-</v>
      </c>
      <c r="F24" s="78" t="str">
        <f>IFERROR(DTE_demand_forecast!F144*#REF!,"-")</f>
        <v>-</v>
      </c>
      <c r="G24" s="78" t="str">
        <f>IFERROR(DTE_demand_forecast!G144*#REF!,"-")</f>
        <v>-</v>
      </c>
      <c r="H24" s="78" t="str">
        <f>IFERROR(DTE_demand_forecast!H144*#REF!,"-")</f>
        <v>-</v>
      </c>
      <c r="I24" s="78" t="str">
        <f>IFERROR(DTE_demand_forecast!I144*#REF!,"-")</f>
        <v>-</v>
      </c>
      <c r="J24" s="78" t="str">
        <f>IFERROR(DTE_demand_forecast!J144*#REF!,"-")</f>
        <v>-</v>
      </c>
      <c r="K24" s="78" t="str">
        <f>IFERROR(DTE_demand_forecast!K144*#REF!,"-")</f>
        <v>-</v>
      </c>
      <c r="L24" s="78" t="str">
        <f>IFERROR(DTE_demand_forecast!L144*#REF!,"-")</f>
        <v>-</v>
      </c>
      <c r="M24" s="78" t="str">
        <f>IFERROR(DTE_demand_forecast!M144*#REF!,"-")</f>
        <v>-</v>
      </c>
      <c r="N24" s="78" t="str">
        <f>IFERROR(DTE_demand_forecast!N144*#REF!,"-")</f>
        <v>-</v>
      </c>
      <c r="O24" s="78" t="str">
        <f>IFERROR(DTE_demand_forecast!O144*#REF!,"-")</f>
        <v>-</v>
      </c>
      <c r="P24" s="78" t="str">
        <f>IFERROR(DTE_demand_forecast!P144*#REF!,"-")</f>
        <v>-</v>
      </c>
      <c r="Q24" s="78" t="str">
        <f>IFERROR(DTE_demand_forecast!Q144*#REF!,"-")</f>
        <v>-</v>
      </c>
      <c r="R24" s="78" t="str">
        <f>IFERROR(DTE_demand_forecast!R144*#REF!,"-")</f>
        <v>-</v>
      </c>
      <c r="S24" s="78" t="str">
        <f>IFERROR(DTE_demand_forecast!S144*#REF!,"-")</f>
        <v>-</v>
      </c>
      <c r="T24" s="78" t="str">
        <f>IFERROR(DTE_demand_forecast!T144*#REF!,"-")</f>
        <v>-</v>
      </c>
      <c r="U24" s="78" t="str">
        <f>IFERROR(DTE_demand_forecast!U144*#REF!,"-")</f>
        <v>-</v>
      </c>
      <c r="V24" s="78" t="str">
        <f>IFERROR(DTE_demand_forecast!V144*#REF!,"-")</f>
        <v>-</v>
      </c>
    </row>
    <row r="25" spans="1:22" x14ac:dyDescent="0.3">
      <c r="A25" s="511"/>
      <c r="B25" s="30" t="s">
        <v>44</v>
      </c>
      <c r="C25" s="78" t="str">
        <f>IFERROR(DTE_demand_forecast!C145*#REF!,"-")</f>
        <v>-</v>
      </c>
      <c r="D25" s="78" t="str">
        <f>IFERROR(DTE_demand_forecast!D145*#REF!,"-")</f>
        <v>-</v>
      </c>
      <c r="E25" s="78" t="str">
        <f>IFERROR(DTE_demand_forecast!E145*#REF!,"-")</f>
        <v>-</v>
      </c>
      <c r="F25" s="78" t="str">
        <f>IFERROR(DTE_demand_forecast!F145*#REF!,"-")</f>
        <v>-</v>
      </c>
      <c r="G25" s="78" t="str">
        <f>IFERROR(DTE_demand_forecast!G145*#REF!,"-")</f>
        <v>-</v>
      </c>
      <c r="H25" s="78" t="str">
        <f>IFERROR(DTE_demand_forecast!H145*#REF!,"-")</f>
        <v>-</v>
      </c>
      <c r="I25" s="78" t="str">
        <f>IFERROR(DTE_demand_forecast!I145*#REF!,"-")</f>
        <v>-</v>
      </c>
      <c r="J25" s="78" t="str">
        <f>IFERROR(DTE_demand_forecast!J145*#REF!,"-")</f>
        <v>-</v>
      </c>
      <c r="K25" s="78" t="str">
        <f>IFERROR(DTE_demand_forecast!K145*#REF!,"-")</f>
        <v>-</v>
      </c>
      <c r="L25" s="78" t="str">
        <f>IFERROR(DTE_demand_forecast!L145*#REF!,"-")</f>
        <v>-</v>
      </c>
      <c r="M25" s="78" t="str">
        <f>IFERROR(DTE_demand_forecast!M145*#REF!,"-")</f>
        <v>-</v>
      </c>
      <c r="N25" s="78" t="str">
        <f>IFERROR(DTE_demand_forecast!N145*#REF!,"-")</f>
        <v>-</v>
      </c>
      <c r="O25" s="78" t="str">
        <f>IFERROR(DTE_demand_forecast!O145*#REF!,"-")</f>
        <v>-</v>
      </c>
      <c r="P25" s="78" t="str">
        <f>IFERROR(DTE_demand_forecast!P145*#REF!,"-")</f>
        <v>-</v>
      </c>
      <c r="Q25" s="78" t="str">
        <f>IFERROR(DTE_demand_forecast!Q145*#REF!,"-")</f>
        <v>-</v>
      </c>
      <c r="R25" s="78" t="str">
        <f>IFERROR(DTE_demand_forecast!R145*#REF!,"-")</f>
        <v>-</v>
      </c>
      <c r="S25" s="78" t="str">
        <f>IFERROR(DTE_demand_forecast!S145*#REF!,"-")</f>
        <v>-</v>
      </c>
      <c r="T25" s="78" t="str">
        <f>IFERROR(DTE_demand_forecast!T145*#REF!,"-")</f>
        <v>-</v>
      </c>
      <c r="U25" s="78" t="str">
        <f>IFERROR(DTE_demand_forecast!U145*#REF!,"-")</f>
        <v>-</v>
      </c>
      <c r="V25" s="78" t="str">
        <f>IFERROR(DTE_demand_forecast!V145*#REF!,"-")</f>
        <v>-</v>
      </c>
    </row>
    <row r="26" spans="1:22" x14ac:dyDescent="0.3">
      <c r="A26" s="511"/>
      <c r="B26" s="30" t="s">
        <v>81</v>
      </c>
      <c r="C26" s="78" t="str">
        <f>IFERROR(DTE_demand_forecast!C146*#REF!,"-")</f>
        <v>-</v>
      </c>
      <c r="D26" s="78" t="str">
        <f>IFERROR(DTE_demand_forecast!D146*#REF!,"-")</f>
        <v>-</v>
      </c>
      <c r="E26" s="78" t="str">
        <f>IFERROR(DTE_demand_forecast!E146*#REF!,"-")</f>
        <v>-</v>
      </c>
      <c r="F26" s="78" t="str">
        <f>IFERROR(DTE_demand_forecast!F146*#REF!,"-")</f>
        <v>-</v>
      </c>
      <c r="G26" s="78" t="str">
        <f>IFERROR(DTE_demand_forecast!G146*#REF!,"-")</f>
        <v>-</v>
      </c>
      <c r="H26" s="78" t="str">
        <f>IFERROR(DTE_demand_forecast!H146*#REF!,"-")</f>
        <v>-</v>
      </c>
      <c r="I26" s="78" t="str">
        <f>IFERROR(DTE_demand_forecast!I146*#REF!,"-")</f>
        <v>-</v>
      </c>
      <c r="J26" s="78" t="str">
        <f>IFERROR(DTE_demand_forecast!J146*#REF!,"-")</f>
        <v>-</v>
      </c>
      <c r="K26" s="78" t="str">
        <f>IFERROR(DTE_demand_forecast!K146*#REF!,"-")</f>
        <v>-</v>
      </c>
      <c r="L26" s="78" t="str">
        <f>IFERROR(DTE_demand_forecast!L146*#REF!,"-")</f>
        <v>-</v>
      </c>
      <c r="M26" s="78" t="str">
        <f>IFERROR(DTE_demand_forecast!M146*#REF!,"-")</f>
        <v>-</v>
      </c>
      <c r="N26" s="78" t="str">
        <f>IFERROR(DTE_demand_forecast!N146*#REF!,"-")</f>
        <v>-</v>
      </c>
      <c r="O26" s="78" t="str">
        <f>IFERROR(DTE_demand_forecast!O146*#REF!,"-")</f>
        <v>-</v>
      </c>
      <c r="P26" s="78" t="str">
        <f>IFERROR(DTE_demand_forecast!P146*#REF!,"-")</f>
        <v>-</v>
      </c>
      <c r="Q26" s="78" t="str">
        <f>IFERROR(DTE_demand_forecast!Q146*#REF!,"-")</f>
        <v>-</v>
      </c>
      <c r="R26" s="78" t="str">
        <f>IFERROR(DTE_demand_forecast!R146*#REF!,"-")</f>
        <v>-</v>
      </c>
      <c r="S26" s="78" t="str">
        <f>IFERROR(DTE_demand_forecast!S146*#REF!,"-")</f>
        <v>-</v>
      </c>
      <c r="T26" s="78" t="str">
        <f>IFERROR(DTE_demand_forecast!T146*#REF!,"-")</f>
        <v>-</v>
      </c>
      <c r="U26" s="78" t="str">
        <f>IFERROR(DTE_demand_forecast!U146*#REF!,"-")</f>
        <v>-</v>
      </c>
      <c r="V26" s="78" t="str">
        <f>IFERROR(DTE_demand_forecast!V146*#REF!,"-")</f>
        <v>-</v>
      </c>
    </row>
    <row r="27" spans="1:22" x14ac:dyDescent="0.3">
      <c r="A27" s="511"/>
      <c r="B27" s="30" t="s">
        <v>42</v>
      </c>
      <c r="C27" s="78" t="str">
        <f>IFERROR(DTE_demand_forecast!C147*#REF!,"-")</f>
        <v>-</v>
      </c>
      <c r="D27" s="78" t="str">
        <f>IFERROR(DTE_demand_forecast!D147*#REF!,"-")</f>
        <v>-</v>
      </c>
      <c r="E27" s="78" t="str">
        <f>IFERROR(DTE_demand_forecast!E147*#REF!,"-")</f>
        <v>-</v>
      </c>
      <c r="F27" s="78" t="str">
        <f>IFERROR(DTE_demand_forecast!F147*#REF!,"-")</f>
        <v>-</v>
      </c>
      <c r="G27" s="78" t="str">
        <f>IFERROR(DTE_demand_forecast!G147*#REF!,"-")</f>
        <v>-</v>
      </c>
      <c r="H27" s="78" t="str">
        <f>IFERROR(DTE_demand_forecast!H147*#REF!,"-")</f>
        <v>-</v>
      </c>
      <c r="I27" s="78" t="str">
        <f>IFERROR(DTE_demand_forecast!I147*#REF!,"-")</f>
        <v>-</v>
      </c>
      <c r="J27" s="78" t="str">
        <f>IFERROR(DTE_demand_forecast!J147*#REF!,"-")</f>
        <v>-</v>
      </c>
      <c r="K27" s="78" t="str">
        <f>IFERROR(DTE_demand_forecast!K147*#REF!,"-")</f>
        <v>-</v>
      </c>
      <c r="L27" s="78" t="str">
        <f>IFERROR(DTE_demand_forecast!L147*#REF!,"-")</f>
        <v>-</v>
      </c>
      <c r="M27" s="78" t="str">
        <f>IFERROR(DTE_demand_forecast!M147*#REF!,"-")</f>
        <v>-</v>
      </c>
      <c r="N27" s="78" t="str">
        <f>IFERROR(DTE_demand_forecast!N147*#REF!,"-")</f>
        <v>-</v>
      </c>
      <c r="O27" s="78" t="str">
        <f>IFERROR(DTE_demand_forecast!O147*#REF!,"-")</f>
        <v>-</v>
      </c>
      <c r="P27" s="78" t="str">
        <f>IFERROR(DTE_demand_forecast!P147*#REF!,"-")</f>
        <v>-</v>
      </c>
      <c r="Q27" s="78" t="str">
        <f>IFERROR(DTE_demand_forecast!Q147*#REF!,"-")</f>
        <v>-</v>
      </c>
      <c r="R27" s="78" t="str">
        <f>IFERROR(DTE_demand_forecast!R147*#REF!,"-")</f>
        <v>-</v>
      </c>
      <c r="S27" s="78" t="str">
        <f>IFERROR(DTE_demand_forecast!S147*#REF!,"-")</f>
        <v>-</v>
      </c>
      <c r="T27" s="78" t="str">
        <f>IFERROR(DTE_demand_forecast!T147*#REF!,"-")</f>
        <v>-</v>
      </c>
      <c r="U27" s="78" t="str">
        <f>IFERROR(DTE_demand_forecast!U147*#REF!,"-")</f>
        <v>-</v>
      </c>
      <c r="V27" s="78" t="str">
        <f>IFERROR(DTE_demand_forecast!V147*#REF!,"-")</f>
        <v>-</v>
      </c>
    </row>
    <row r="28" spans="1:22" x14ac:dyDescent="0.3">
      <c r="A28" s="511"/>
      <c r="B28" s="30" t="s">
        <v>45</v>
      </c>
      <c r="C28" s="78" t="str">
        <f>IFERROR(DTE_demand_forecast!C148*#REF!,"-")</f>
        <v>-</v>
      </c>
      <c r="D28" s="78" t="str">
        <f>IFERROR(DTE_demand_forecast!D148*#REF!,"-")</f>
        <v>-</v>
      </c>
      <c r="E28" s="78" t="str">
        <f>IFERROR(DTE_demand_forecast!E148*#REF!,"-")</f>
        <v>-</v>
      </c>
      <c r="F28" s="78" t="str">
        <f>IFERROR(DTE_demand_forecast!F148*#REF!,"-")</f>
        <v>-</v>
      </c>
      <c r="G28" s="78" t="str">
        <f>IFERROR(DTE_demand_forecast!G148*#REF!,"-")</f>
        <v>-</v>
      </c>
      <c r="H28" s="78" t="str">
        <f>IFERROR(DTE_demand_forecast!H148*#REF!,"-")</f>
        <v>-</v>
      </c>
      <c r="I28" s="78" t="str">
        <f>IFERROR(DTE_demand_forecast!I148*#REF!,"-")</f>
        <v>-</v>
      </c>
      <c r="J28" s="78" t="str">
        <f>IFERROR(DTE_demand_forecast!J148*#REF!,"-")</f>
        <v>-</v>
      </c>
      <c r="K28" s="78" t="str">
        <f>IFERROR(DTE_demand_forecast!K148*#REF!,"-")</f>
        <v>-</v>
      </c>
      <c r="L28" s="78" t="str">
        <f>IFERROR(DTE_demand_forecast!L148*#REF!,"-")</f>
        <v>-</v>
      </c>
      <c r="M28" s="78" t="str">
        <f>IFERROR(DTE_demand_forecast!M148*#REF!,"-")</f>
        <v>-</v>
      </c>
      <c r="N28" s="78" t="str">
        <f>IFERROR(DTE_demand_forecast!N148*#REF!,"-")</f>
        <v>-</v>
      </c>
      <c r="O28" s="78" t="str">
        <f>IFERROR(DTE_demand_forecast!O148*#REF!,"-")</f>
        <v>-</v>
      </c>
      <c r="P28" s="78" t="str">
        <f>IFERROR(DTE_demand_forecast!P148*#REF!,"-")</f>
        <v>-</v>
      </c>
      <c r="Q28" s="78" t="str">
        <f>IFERROR(DTE_demand_forecast!Q148*#REF!,"-")</f>
        <v>-</v>
      </c>
      <c r="R28" s="78" t="str">
        <f>IFERROR(DTE_demand_forecast!R148*#REF!,"-")</f>
        <v>-</v>
      </c>
      <c r="S28" s="78" t="str">
        <f>IFERROR(DTE_demand_forecast!S148*#REF!,"-")</f>
        <v>-</v>
      </c>
      <c r="T28" s="78" t="str">
        <f>IFERROR(DTE_demand_forecast!T148*#REF!,"-")</f>
        <v>-</v>
      </c>
      <c r="U28" s="78" t="str">
        <f>IFERROR(DTE_demand_forecast!U148*#REF!,"-")</f>
        <v>-</v>
      </c>
      <c r="V28" s="78" t="str">
        <f>IFERROR(DTE_demand_forecast!V148*#REF!,"-")</f>
        <v>-</v>
      </c>
    </row>
    <row r="29" spans="1:22" x14ac:dyDescent="0.3">
      <c r="A29" s="511"/>
      <c r="B29" s="30" t="s">
        <v>84</v>
      </c>
      <c r="C29" s="124">
        <f t="shared" ref="C29:V29" si="1">SUM(C21:C28)</f>
        <v>0</v>
      </c>
      <c r="D29" s="124">
        <f t="shared" si="1"/>
        <v>0</v>
      </c>
      <c r="E29" s="124">
        <f t="shared" si="1"/>
        <v>0</v>
      </c>
      <c r="F29" s="124">
        <f t="shared" si="1"/>
        <v>0</v>
      </c>
      <c r="G29" s="124">
        <f t="shared" si="1"/>
        <v>0</v>
      </c>
      <c r="H29" s="124">
        <f t="shared" si="1"/>
        <v>0</v>
      </c>
      <c r="I29" s="124">
        <f t="shared" si="1"/>
        <v>0</v>
      </c>
      <c r="J29" s="124">
        <f t="shared" si="1"/>
        <v>0</v>
      </c>
      <c r="K29" s="124">
        <f t="shared" si="1"/>
        <v>0</v>
      </c>
      <c r="L29" s="124">
        <f t="shared" si="1"/>
        <v>0</v>
      </c>
      <c r="M29" s="124">
        <f t="shared" si="1"/>
        <v>0</v>
      </c>
      <c r="N29" s="124">
        <f t="shared" si="1"/>
        <v>0</v>
      </c>
      <c r="O29" s="124">
        <f t="shared" si="1"/>
        <v>0</v>
      </c>
      <c r="P29" s="124">
        <f t="shared" si="1"/>
        <v>0</v>
      </c>
      <c r="Q29" s="124">
        <f t="shared" si="1"/>
        <v>0</v>
      </c>
      <c r="R29" s="124">
        <f t="shared" si="1"/>
        <v>0</v>
      </c>
      <c r="S29" s="124">
        <f t="shared" si="1"/>
        <v>0</v>
      </c>
      <c r="T29" s="124">
        <f t="shared" si="1"/>
        <v>0</v>
      </c>
      <c r="U29" s="124">
        <f t="shared" si="1"/>
        <v>0</v>
      </c>
      <c r="V29" s="124">
        <f t="shared" si="1"/>
        <v>0</v>
      </c>
    </row>
    <row r="30" spans="1:22" x14ac:dyDescent="0.3">
      <c r="A30" s="511"/>
    </row>
    <row r="31" spans="1:22" x14ac:dyDescent="0.3">
      <c r="A31" s="511"/>
    </row>
    <row r="32" spans="1:22" x14ac:dyDescent="0.3">
      <c r="A32" s="511"/>
    </row>
    <row r="33" spans="1:22" x14ac:dyDescent="0.3">
      <c r="A33" s="511"/>
    </row>
    <row r="34" spans="1:22" x14ac:dyDescent="0.3">
      <c r="A34" s="511"/>
    </row>
    <row r="35" spans="1:22" x14ac:dyDescent="0.3">
      <c r="A35" s="511"/>
    </row>
    <row r="36" spans="1:22" x14ac:dyDescent="0.3">
      <c r="A36" s="511"/>
    </row>
    <row r="37" spans="1:22" x14ac:dyDescent="0.3">
      <c r="A37" s="511"/>
      <c r="B37" s="32" t="s">
        <v>151</v>
      </c>
      <c r="L37" s="18"/>
      <c r="M37" s="18"/>
    </row>
    <row r="38" spans="1:22" x14ac:dyDescent="0.3">
      <c r="A38" s="511"/>
      <c r="B38" s="75" t="s">
        <v>82</v>
      </c>
      <c r="C38" s="75">
        <v>2021</v>
      </c>
      <c r="D38" s="76">
        <v>2022</v>
      </c>
      <c r="E38" s="75">
        <v>2023</v>
      </c>
      <c r="F38" s="76">
        <v>2024</v>
      </c>
      <c r="G38" s="75">
        <v>2025</v>
      </c>
      <c r="H38" s="76">
        <v>2026</v>
      </c>
      <c r="I38" s="75">
        <v>2027</v>
      </c>
      <c r="J38" s="76">
        <v>2028</v>
      </c>
      <c r="K38" s="75">
        <v>2029</v>
      </c>
      <c r="L38" s="76">
        <v>2030</v>
      </c>
      <c r="M38" s="75">
        <v>2031</v>
      </c>
      <c r="N38" s="76">
        <v>2032</v>
      </c>
      <c r="O38" s="75">
        <v>2033</v>
      </c>
      <c r="P38" s="76">
        <v>2034</v>
      </c>
      <c r="Q38" s="75">
        <v>2035</v>
      </c>
      <c r="R38" s="76">
        <v>2036</v>
      </c>
      <c r="S38" s="75">
        <v>2037</v>
      </c>
      <c r="T38" s="76">
        <v>2038</v>
      </c>
      <c r="U38" s="75">
        <v>2039</v>
      </c>
      <c r="V38" s="76">
        <v>2040</v>
      </c>
    </row>
    <row r="39" spans="1:22" x14ac:dyDescent="0.3">
      <c r="A39" s="511"/>
      <c r="B39" s="30" t="s">
        <v>43</v>
      </c>
      <c r="C39" s="78" t="str">
        <f>IFERROR(DTE_demand_forecast!C220*#REF!,"-")</f>
        <v>-</v>
      </c>
      <c r="D39" s="78" t="str">
        <f>IFERROR(DTE_demand_forecast!D220*#REF!,"-")</f>
        <v>-</v>
      </c>
      <c r="E39" s="78" t="str">
        <f>IFERROR(DTE_demand_forecast!E220*#REF!,"-")</f>
        <v>-</v>
      </c>
      <c r="F39" s="78" t="str">
        <f>IFERROR(DTE_demand_forecast!F220*#REF!,"-")</f>
        <v>-</v>
      </c>
      <c r="G39" s="78" t="str">
        <f>IFERROR(DTE_demand_forecast!G220*#REF!,"-")</f>
        <v>-</v>
      </c>
      <c r="H39" s="78" t="str">
        <f>IFERROR(DTE_demand_forecast!H220*#REF!,"-")</f>
        <v>-</v>
      </c>
      <c r="I39" s="78" t="str">
        <f>IFERROR(DTE_demand_forecast!I220*#REF!,"-")</f>
        <v>-</v>
      </c>
      <c r="J39" s="78" t="str">
        <f>IFERROR(DTE_demand_forecast!J220*#REF!,"-")</f>
        <v>-</v>
      </c>
      <c r="K39" s="78" t="str">
        <f>IFERROR(DTE_demand_forecast!K220*#REF!,"-")</f>
        <v>-</v>
      </c>
      <c r="L39" s="78" t="str">
        <f>IFERROR(DTE_demand_forecast!L220*#REF!,"-")</f>
        <v>-</v>
      </c>
      <c r="M39" s="78" t="str">
        <f>IFERROR(DTE_demand_forecast!M220*#REF!,"-")</f>
        <v>-</v>
      </c>
      <c r="N39" s="78" t="str">
        <f>IFERROR(DTE_demand_forecast!N220*#REF!,"-")</f>
        <v>-</v>
      </c>
      <c r="O39" s="78" t="str">
        <f>IFERROR(DTE_demand_forecast!O220*#REF!,"-")</f>
        <v>-</v>
      </c>
      <c r="P39" s="78" t="str">
        <f>IFERROR(DTE_demand_forecast!P220*#REF!,"-")</f>
        <v>-</v>
      </c>
      <c r="Q39" s="78" t="str">
        <f>IFERROR(DTE_demand_forecast!Q220*#REF!,"-")</f>
        <v>-</v>
      </c>
      <c r="R39" s="78" t="str">
        <f>IFERROR(DTE_demand_forecast!R220*#REF!,"-")</f>
        <v>-</v>
      </c>
      <c r="S39" s="78" t="str">
        <f>IFERROR(DTE_demand_forecast!S220*#REF!,"-")</f>
        <v>-</v>
      </c>
      <c r="T39" s="78" t="str">
        <f>IFERROR(DTE_demand_forecast!T220*#REF!,"-")</f>
        <v>-</v>
      </c>
      <c r="U39" s="78" t="str">
        <f>IFERROR(DTE_demand_forecast!U220*#REF!,"-")</f>
        <v>-</v>
      </c>
      <c r="V39" s="78" t="str">
        <f>IFERROR(DTE_demand_forecast!V220*#REF!,"-")</f>
        <v>-</v>
      </c>
    </row>
    <row r="40" spans="1:22" x14ac:dyDescent="0.3">
      <c r="A40" s="511"/>
      <c r="B40" s="30" t="s">
        <v>41</v>
      </c>
      <c r="C40" s="78" t="str">
        <f>IFERROR(DTE_demand_forecast!C221*#REF!,"-")</f>
        <v>-</v>
      </c>
      <c r="D40" s="78" t="str">
        <f>IFERROR(DTE_demand_forecast!D221*#REF!,"-")</f>
        <v>-</v>
      </c>
      <c r="E40" s="78" t="str">
        <f>IFERROR(DTE_demand_forecast!E221*#REF!,"-")</f>
        <v>-</v>
      </c>
      <c r="F40" s="78" t="str">
        <f>IFERROR(DTE_demand_forecast!F221*#REF!,"-")</f>
        <v>-</v>
      </c>
      <c r="G40" s="78" t="str">
        <f>IFERROR(DTE_demand_forecast!G221*#REF!,"-")</f>
        <v>-</v>
      </c>
      <c r="H40" s="78" t="str">
        <f>IFERROR(DTE_demand_forecast!H221*#REF!,"-")</f>
        <v>-</v>
      </c>
      <c r="I40" s="78" t="str">
        <f>IFERROR(DTE_demand_forecast!I221*#REF!,"-")</f>
        <v>-</v>
      </c>
      <c r="J40" s="78" t="str">
        <f>IFERROR(DTE_demand_forecast!J221*#REF!,"-")</f>
        <v>-</v>
      </c>
      <c r="K40" s="78" t="str">
        <f>IFERROR(DTE_demand_forecast!K221*#REF!,"-")</f>
        <v>-</v>
      </c>
      <c r="L40" s="78" t="str">
        <f>IFERROR(DTE_demand_forecast!L221*#REF!,"-")</f>
        <v>-</v>
      </c>
      <c r="M40" s="78" t="str">
        <f>IFERROR(DTE_demand_forecast!M221*#REF!,"-")</f>
        <v>-</v>
      </c>
      <c r="N40" s="78" t="str">
        <f>IFERROR(DTE_demand_forecast!N221*#REF!,"-")</f>
        <v>-</v>
      </c>
      <c r="O40" s="78" t="str">
        <f>IFERROR(DTE_demand_forecast!O221*#REF!,"-")</f>
        <v>-</v>
      </c>
      <c r="P40" s="78" t="str">
        <f>IFERROR(DTE_demand_forecast!P221*#REF!,"-")</f>
        <v>-</v>
      </c>
      <c r="Q40" s="78" t="str">
        <f>IFERROR(DTE_demand_forecast!Q221*#REF!,"-")</f>
        <v>-</v>
      </c>
      <c r="R40" s="78" t="str">
        <f>IFERROR(DTE_demand_forecast!R221*#REF!,"-")</f>
        <v>-</v>
      </c>
      <c r="S40" s="78" t="str">
        <f>IFERROR(DTE_demand_forecast!S221*#REF!,"-")</f>
        <v>-</v>
      </c>
      <c r="T40" s="78" t="str">
        <f>IFERROR(DTE_demand_forecast!T221*#REF!,"-")</f>
        <v>-</v>
      </c>
      <c r="U40" s="78" t="str">
        <f>IFERROR(DTE_demand_forecast!U221*#REF!,"-")</f>
        <v>-</v>
      </c>
      <c r="V40" s="78" t="str">
        <f>IFERROR(DTE_demand_forecast!V221*#REF!,"-")</f>
        <v>-</v>
      </c>
    </row>
    <row r="41" spans="1:22" x14ac:dyDescent="0.3">
      <c r="A41" s="511"/>
      <c r="B41" s="30" t="s">
        <v>40</v>
      </c>
      <c r="C41" s="78" t="str">
        <f>IFERROR(DTE_demand_forecast!C222*#REF!,"-")</f>
        <v>-</v>
      </c>
      <c r="D41" s="78" t="str">
        <f>IFERROR(DTE_demand_forecast!D222*#REF!,"-")</f>
        <v>-</v>
      </c>
      <c r="E41" s="78" t="str">
        <f>IFERROR(DTE_demand_forecast!E222*#REF!,"-")</f>
        <v>-</v>
      </c>
      <c r="F41" s="78" t="str">
        <f>IFERROR(DTE_demand_forecast!F222*#REF!,"-")</f>
        <v>-</v>
      </c>
      <c r="G41" s="78" t="str">
        <f>IFERROR(DTE_demand_forecast!G222*#REF!,"-")</f>
        <v>-</v>
      </c>
      <c r="H41" s="78" t="str">
        <f>IFERROR(DTE_demand_forecast!H222*#REF!,"-")</f>
        <v>-</v>
      </c>
      <c r="I41" s="78" t="str">
        <f>IFERROR(DTE_demand_forecast!I222*#REF!,"-")</f>
        <v>-</v>
      </c>
      <c r="J41" s="78" t="str">
        <f>IFERROR(DTE_demand_forecast!J222*#REF!,"-")</f>
        <v>-</v>
      </c>
      <c r="K41" s="78" t="str">
        <f>IFERROR(DTE_demand_forecast!K222*#REF!,"-")</f>
        <v>-</v>
      </c>
      <c r="L41" s="78" t="str">
        <f>IFERROR(DTE_demand_forecast!L222*#REF!,"-")</f>
        <v>-</v>
      </c>
      <c r="M41" s="78" t="str">
        <f>IFERROR(DTE_demand_forecast!M222*#REF!,"-")</f>
        <v>-</v>
      </c>
      <c r="N41" s="78" t="str">
        <f>IFERROR(DTE_demand_forecast!N222*#REF!,"-")</f>
        <v>-</v>
      </c>
      <c r="O41" s="78" t="str">
        <f>IFERROR(DTE_demand_forecast!O222*#REF!,"-")</f>
        <v>-</v>
      </c>
      <c r="P41" s="78" t="str">
        <f>IFERROR(DTE_demand_forecast!P222*#REF!,"-")</f>
        <v>-</v>
      </c>
      <c r="Q41" s="78" t="str">
        <f>IFERROR(DTE_demand_forecast!Q222*#REF!,"-")</f>
        <v>-</v>
      </c>
      <c r="R41" s="78" t="str">
        <f>IFERROR(DTE_demand_forecast!R222*#REF!,"-")</f>
        <v>-</v>
      </c>
      <c r="S41" s="78" t="str">
        <f>IFERROR(DTE_demand_forecast!S222*#REF!,"-")</f>
        <v>-</v>
      </c>
      <c r="T41" s="78" t="str">
        <f>IFERROR(DTE_demand_forecast!T222*#REF!,"-")</f>
        <v>-</v>
      </c>
      <c r="U41" s="78" t="str">
        <f>IFERROR(DTE_demand_forecast!U222*#REF!,"-")</f>
        <v>-</v>
      </c>
      <c r="V41" s="78" t="str">
        <f>IFERROR(DTE_demand_forecast!V222*#REF!,"-")</f>
        <v>-</v>
      </c>
    </row>
    <row r="42" spans="1:22" x14ac:dyDescent="0.3">
      <c r="A42" s="511"/>
      <c r="B42" s="30" t="s">
        <v>80</v>
      </c>
      <c r="C42" s="78" t="str">
        <f>IFERROR(DTE_demand_forecast!C223*#REF!,"-")</f>
        <v>-</v>
      </c>
      <c r="D42" s="78" t="str">
        <f>IFERROR(DTE_demand_forecast!D223*#REF!,"-")</f>
        <v>-</v>
      </c>
      <c r="E42" s="78" t="str">
        <f>IFERROR(DTE_demand_forecast!E223*#REF!,"-")</f>
        <v>-</v>
      </c>
      <c r="F42" s="78" t="str">
        <f>IFERROR(DTE_demand_forecast!F223*#REF!,"-")</f>
        <v>-</v>
      </c>
      <c r="G42" s="78" t="str">
        <f>IFERROR(DTE_demand_forecast!G223*#REF!,"-")</f>
        <v>-</v>
      </c>
      <c r="H42" s="78" t="str">
        <f>IFERROR(DTE_demand_forecast!H223*#REF!,"-")</f>
        <v>-</v>
      </c>
      <c r="I42" s="78" t="str">
        <f>IFERROR(DTE_demand_forecast!I223*#REF!,"-")</f>
        <v>-</v>
      </c>
      <c r="J42" s="78" t="str">
        <f>IFERROR(DTE_demand_forecast!J223*#REF!,"-")</f>
        <v>-</v>
      </c>
      <c r="K42" s="78" t="str">
        <f>IFERROR(DTE_demand_forecast!K223*#REF!,"-")</f>
        <v>-</v>
      </c>
      <c r="L42" s="78" t="str">
        <f>IFERROR(DTE_demand_forecast!L223*#REF!,"-")</f>
        <v>-</v>
      </c>
      <c r="M42" s="78" t="str">
        <f>IFERROR(DTE_demand_forecast!M223*#REF!,"-")</f>
        <v>-</v>
      </c>
      <c r="N42" s="78" t="str">
        <f>IFERROR(DTE_demand_forecast!N223*#REF!,"-")</f>
        <v>-</v>
      </c>
      <c r="O42" s="78" t="str">
        <f>IFERROR(DTE_demand_forecast!O223*#REF!,"-")</f>
        <v>-</v>
      </c>
      <c r="P42" s="78" t="str">
        <f>IFERROR(DTE_demand_forecast!P223*#REF!,"-")</f>
        <v>-</v>
      </c>
      <c r="Q42" s="78" t="str">
        <f>IFERROR(DTE_demand_forecast!Q223*#REF!,"-")</f>
        <v>-</v>
      </c>
      <c r="R42" s="78" t="str">
        <f>IFERROR(DTE_demand_forecast!R223*#REF!,"-")</f>
        <v>-</v>
      </c>
      <c r="S42" s="78" t="str">
        <f>IFERROR(DTE_demand_forecast!S223*#REF!,"-")</f>
        <v>-</v>
      </c>
      <c r="T42" s="78" t="str">
        <f>IFERROR(DTE_demand_forecast!T223*#REF!,"-")</f>
        <v>-</v>
      </c>
      <c r="U42" s="78" t="str">
        <f>IFERROR(DTE_demand_forecast!U223*#REF!,"-")</f>
        <v>-</v>
      </c>
      <c r="V42" s="78" t="str">
        <f>IFERROR(DTE_demand_forecast!V223*#REF!,"-")</f>
        <v>-</v>
      </c>
    </row>
    <row r="43" spans="1:22" x14ac:dyDescent="0.3">
      <c r="A43" s="511"/>
      <c r="B43" s="30" t="s">
        <v>44</v>
      </c>
      <c r="C43" s="78" t="str">
        <f>IFERROR(DTE_demand_forecast!C224*#REF!,"-")</f>
        <v>-</v>
      </c>
      <c r="D43" s="78" t="str">
        <f>IFERROR(DTE_demand_forecast!D224*#REF!,"-")</f>
        <v>-</v>
      </c>
      <c r="E43" s="78" t="str">
        <f>IFERROR(DTE_demand_forecast!E224*#REF!,"-")</f>
        <v>-</v>
      </c>
      <c r="F43" s="78" t="str">
        <f>IFERROR(DTE_demand_forecast!F224*#REF!,"-")</f>
        <v>-</v>
      </c>
      <c r="G43" s="78" t="str">
        <f>IFERROR(DTE_demand_forecast!G224*#REF!,"-")</f>
        <v>-</v>
      </c>
      <c r="H43" s="78" t="str">
        <f>IFERROR(DTE_demand_forecast!H224*#REF!,"-")</f>
        <v>-</v>
      </c>
      <c r="I43" s="78" t="str">
        <f>IFERROR(DTE_demand_forecast!I224*#REF!,"-")</f>
        <v>-</v>
      </c>
      <c r="J43" s="78" t="str">
        <f>IFERROR(DTE_demand_forecast!J224*#REF!,"-")</f>
        <v>-</v>
      </c>
      <c r="K43" s="78" t="str">
        <f>IFERROR(DTE_demand_forecast!K224*#REF!,"-")</f>
        <v>-</v>
      </c>
      <c r="L43" s="78" t="str">
        <f>IFERROR(DTE_demand_forecast!L224*#REF!,"-")</f>
        <v>-</v>
      </c>
      <c r="M43" s="78" t="str">
        <f>IFERROR(DTE_demand_forecast!M224*#REF!,"-")</f>
        <v>-</v>
      </c>
      <c r="N43" s="78" t="str">
        <f>IFERROR(DTE_demand_forecast!N224*#REF!,"-")</f>
        <v>-</v>
      </c>
      <c r="O43" s="78" t="str">
        <f>IFERROR(DTE_demand_forecast!O224*#REF!,"-")</f>
        <v>-</v>
      </c>
      <c r="P43" s="78" t="str">
        <f>IFERROR(DTE_demand_forecast!P224*#REF!,"-")</f>
        <v>-</v>
      </c>
      <c r="Q43" s="78" t="str">
        <f>IFERROR(DTE_demand_forecast!Q224*#REF!,"-")</f>
        <v>-</v>
      </c>
      <c r="R43" s="78" t="str">
        <f>IFERROR(DTE_demand_forecast!R224*#REF!,"-")</f>
        <v>-</v>
      </c>
      <c r="S43" s="78" t="str">
        <f>IFERROR(DTE_demand_forecast!S224*#REF!,"-")</f>
        <v>-</v>
      </c>
      <c r="T43" s="78" t="str">
        <f>IFERROR(DTE_demand_forecast!T224*#REF!,"-")</f>
        <v>-</v>
      </c>
      <c r="U43" s="78" t="str">
        <f>IFERROR(DTE_demand_forecast!U224*#REF!,"-")</f>
        <v>-</v>
      </c>
      <c r="V43" s="78" t="str">
        <f>IFERROR(DTE_demand_forecast!V224*#REF!,"-")</f>
        <v>-</v>
      </c>
    </row>
    <row r="44" spans="1:22" x14ac:dyDescent="0.3">
      <c r="A44" s="511"/>
      <c r="B44" s="30" t="s">
        <v>81</v>
      </c>
      <c r="C44" s="78" t="str">
        <f>IFERROR(DTE_demand_forecast!C225*#REF!,"-")</f>
        <v>-</v>
      </c>
      <c r="D44" s="78" t="str">
        <f>IFERROR(DTE_demand_forecast!D225*#REF!,"-")</f>
        <v>-</v>
      </c>
      <c r="E44" s="78" t="str">
        <f>IFERROR(DTE_demand_forecast!E225*#REF!,"-")</f>
        <v>-</v>
      </c>
      <c r="F44" s="78" t="str">
        <f>IFERROR(DTE_demand_forecast!F225*#REF!,"-")</f>
        <v>-</v>
      </c>
      <c r="G44" s="78" t="str">
        <f>IFERROR(DTE_demand_forecast!G225*#REF!,"-")</f>
        <v>-</v>
      </c>
      <c r="H44" s="78" t="str">
        <f>IFERROR(DTE_demand_forecast!H225*#REF!,"-")</f>
        <v>-</v>
      </c>
      <c r="I44" s="78" t="str">
        <f>IFERROR(DTE_demand_forecast!I225*#REF!,"-")</f>
        <v>-</v>
      </c>
      <c r="J44" s="78" t="str">
        <f>IFERROR(DTE_demand_forecast!J225*#REF!,"-")</f>
        <v>-</v>
      </c>
      <c r="K44" s="78" t="str">
        <f>IFERROR(DTE_demand_forecast!K225*#REF!,"-")</f>
        <v>-</v>
      </c>
      <c r="L44" s="78" t="str">
        <f>IFERROR(DTE_demand_forecast!L225*#REF!,"-")</f>
        <v>-</v>
      </c>
      <c r="M44" s="78" t="str">
        <f>IFERROR(DTE_demand_forecast!M225*#REF!,"-")</f>
        <v>-</v>
      </c>
      <c r="N44" s="78" t="str">
        <f>IFERROR(DTE_demand_forecast!N225*#REF!,"-")</f>
        <v>-</v>
      </c>
      <c r="O44" s="78" t="str">
        <f>IFERROR(DTE_demand_forecast!O225*#REF!,"-")</f>
        <v>-</v>
      </c>
      <c r="P44" s="78" t="str">
        <f>IFERROR(DTE_demand_forecast!P225*#REF!,"-")</f>
        <v>-</v>
      </c>
      <c r="Q44" s="78" t="str">
        <f>IFERROR(DTE_demand_forecast!Q225*#REF!,"-")</f>
        <v>-</v>
      </c>
      <c r="R44" s="78" t="str">
        <f>IFERROR(DTE_demand_forecast!R225*#REF!,"-")</f>
        <v>-</v>
      </c>
      <c r="S44" s="78" t="str">
        <f>IFERROR(DTE_demand_forecast!S225*#REF!,"-")</f>
        <v>-</v>
      </c>
      <c r="T44" s="78" t="str">
        <f>IFERROR(DTE_demand_forecast!T225*#REF!,"-")</f>
        <v>-</v>
      </c>
      <c r="U44" s="78" t="str">
        <f>IFERROR(DTE_demand_forecast!U225*#REF!,"-")</f>
        <v>-</v>
      </c>
      <c r="V44" s="78" t="str">
        <f>IFERROR(DTE_demand_forecast!V225*#REF!,"-")</f>
        <v>-</v>
      </c>
    </row>
    <row r="45" spans="1:22" x14ac:dyDescent="0.3">
      <c r="A45" s="511"/>
      <c r="B45" s="30" t="s">
        <v>42</v>
      </c>
      <c r="C45" s="78" t="str">
        <f>IFERROR(DTE_demand_forecast!C226*#REF!,"-")</f>
        <v>-</v>
      </c>
      <c r="D45" s="78" t="str">
        <f>IFERROR(DTE_demand_forecast!D226*#REF!,"-")</f>
        <v>-</v>
      </c>
      <c r="E45" s="78" t="str">
        <f>IFERROR(DTE_demand_forecast!E226*#REF!,"-")</f>
        <v>-</v>
      </c>
      <c r="F45" s="78" t="str">
        <f>IFERROR(DTE_demand_forecast!F226*#REF!,"-")</f>
        <v>-</v>
      </c>
      <c r="G45" s="78" t="str">
        <f>IFERROR(DTE_demand_forecast!G226*#REF!,"-")</f>
        <v>-</v>
      </c>
      <c r="H45" s="78" t="str">
        <f>IFERROR(DTE_demand_forecast!H226*#REF!,"-")</f>
        <v>-</v>
      </c>
      <c r="I45" s="78" t="str">
        <f>IFERROR(DTE_demand_forecast!I226*#REF!,"-")</f>
        <v>-</v>
      </c>
      <c r="J45" s="78" t="str">
        <f>IFERROR(DTE_demand_forecast!J226*#REF!,"-")</f>
        <v>-</v>
      </c>
      <c r="K45" s="78" t="str">
        <f>IFERROR(DTE_demand_forecast!K226*#REF!,"-")</f>
        <v>-</v>
      </c>
      <c r="L45" s="78" t="str">
        <f>IFERROR(DTE_demand_forecast!L226*#REF!,"-")</f>
        <v>-</v>
      </c>
      <c r="M45" s="78" t="str">
        <f>IFERROR(DTE_demand_forecast!M226*#REF!,"-")</f>
        <v>-</v>
      </c>
      <c r="N45" s="78" t="str">
        <f>IFERROR(DTE_demand_forecast!N226*#REF!,"-")</f>
        <v>-</v>
      </c>
      <c r="O45" s="78" t="str">
        <f>IFERROR(DTE_demand_forecast!O226*#REF!,"-")</f>
        <v>-</v>
      </c>
      <c r="P45" s="78" t="str">
        <f>IFERROR(DTE_demand_forecast!P226*#REF!,"-")</f>
        <v>-</v>
      </c>
      <c r="Q45" s="78" t="str">
        <f>IFERROR(DTE_demand_forecast!Q226*#REF!,"-")</f>
        <v>-</v>
      </c>
      <c r="R45" s="78" t="str">
        <f>IFERROR(DTE_demand_forecast!R226*#REF!,"-")</f>
        <v>-</v>
      </c>
      <c r="S45" s="78" t="str">
        <f>IFERROR(DTE_demand_forecast!S226*#REF!,"-")</f>
        <v>-</v>
      </c>
      <c r="T45" s="78" t="str">
        <f>IFERROR(DTE_demand_forecast!T226*#REF!,"-")</f>
        <v>-</v>
      </c>
      <c r="U45" s="78" t="str">
        <f>IFERROR(DTE_demand_forecast!U226*#REF!,"-")</f>
        <v>-</v>
      </c>
      <c r="V45" s="78" t="str">
        <f>IFERROR(DTE_demand_forecast!V226*#REF!,"-")</f>
        <v>-</v>
      </c>
    </row>
    <row r="46" spans="1:22" x14ac:dyDescent="0.3">
      <c r="A46" s="511"/>
      <c r="B46" s="30" t="s">
        <v>45</v>
      </c>
      <c r="C46" s="78" t="str">
        <f>IFERROR(DTE_demand_forecast!C227*#REF!,"-")</f>
        <v>-</v>
      </c>
      <c r="D46" s="78" t="str">
        <f>IFERROR(DTE_demand_forecast!D227*#REF!,"-")</f>
        <v>-</v>
      </c>
      <c r="E46" s="78" t="str">
        <f>IFERROR(DTE_demand_forecast!E227*#REF!,"-")</f>
        <v>-</v>
      </c>
      <c r="F46" s="78" t="str">
        <f>IFERROR(DTE_demand_forecast!F227*#REF!,"-")</f>
        <v>-</v>
      </c>
      <c r="G46" s="78" t="str">
        <f>IFERROR(DTE_demand_forecast!G227*#REF!,"-")</f>
        <v>-</v>
      </c>
      <c r="H46" s="78" t="str">
        <f>IFERROR(DTE_demand_forecast!H227*#REF!,"-")</f>
        <v>-</v>
      </c>
      <c r="I46" s="78" t="str">
        <f>IFERROR(DTE_demand_forecast!I227*#REF!,"-")</f>
        <v>-</v>
      </c>
      <c r="J46" s="78" t="str">
        <f>IFERROR(DTE_demand_forecast!J227*#REF!,"-")</f>
        <v>-</v>
      </c>
      <c r="K46" s="78" t="str">
        <f>IFERROR(DTE_demand_forecast!K227*#REF!,"-")</f>
        <v>-</v>
      </c>
      <c r="L46" s="78" t="str">
        <f>IFERROR(DTE_demand_forecast!L227*#REF!,"-")</f>
        <v>-</v>
      </c>
      <c r="M46" s="78" t="str">
        <f>IFERROR(DTE_demand_forecast!M227*#REF!,"-")</f>
        <v>-</v>
      </c>
      <c r="N46" s="78" t="str">
        <f>IFERROR(DTE_demand_forecast!N227*#REF!,"-")</f>
        <v>-</v>
      </c>
      <c r="O46" s="78" t="str">
        <f>IFERROR(DTE_demand_forecast!O227*#REF!,"-")</f>
        <v>-</v>
      </c>
      <c r="P46" s="78" t="str">
        <f>IFERROR(DTE_demand_forecast!P227*#REF!,"-")</f>
        <v>-</v>
      </c>
      <c r="Q46" s="78" t="str">
        <f>IFERROR(DTE_demand_forecast!Q227*#REF!,"-")</f>
        <v>-</v>
      </c>
      <c r="R46" s="78" t="str">
        <f>IFERROR(DTE_demand_forecast!R227*#REF!,"-")</f>
        <v>-</v>
      </c>
      <c r="S46" s="78" t="str">
        <f>IFERROR(DTE_demand_forecast!S227*#REF!,"-")</f>
        <v>-</v>
      </c>
      <c r="T46" s="78" t="str">
        <f>IFERROR(DTE_demand_forecast!T227*#REF!,"-")</f>
        <v>-</v>
      </c>
      <c r="U46" s="78" t="str">
        <f>IFERROR(DTE_demand_forecast!U227*#REF!,"-")</f>
        <v>-</v>
      </c>
      <c r="V46" s="78" t="str">
        <f>IFERROR(DTE_demand_forecast!V227*#REF!,"-")</f>
        <v>-</v>
      </c>
    </row>
    <row r="47" spans="1:22" x14ac:dyDescent="0.3">
      <c r="A47" s="511"/>
      <c r="B47" s="30" t="s">
        <v>84</v>
      </c>
      <c r="C47" s="124">
        <f t="shared" ref="C47:V47" si="2">SUM(C39:C46)</f>
        <v>0</v>
      </c>
      <c r="D47" s="124">
        <f t="shared" si="2"/>
        <v>0</v>
      </c>
      <c r="E47" s="124">
        <f t="shared" si="2"/>
        <v>0</v>
      </c>
      <c r="F47" s="124">
        <f t="shared" si="2"/>
        <v>0</v>
      </c>
      <c r="G47" s="124">
        <f t="shared" si="2"/>
        <v>0</v>
      </c>
      <c r="H47" s="124">
        <f t="shared" si="2"/>
        <v>0</v>
      </c>
      <c r="I47" s="124">
        <f t="shared" si="2"/>
        <v>0</v>
      </c>
      <c r="J47" s="124">
        <f t="shared" si="2"/>
        <v>0</v>
      </c>
      <c r="K47" s="124">
        <f t="shared" si="2"/>
        <v>0</v>
      </c>
      <c r="L47" s="124">
        <f t="shared" si="2"/>
        <v>0</v>
      </c>
      <c r="M47" s="124">
        <f t="shared" si="2"/>
        <v>0</v>
      </c>
      <c r="N47" s="124">
        <f t="shared" si="2"/>
        <v>0</v>
      </c>
      <c r="O47" s="124">
        <f t="shared" si="2"/>
        <v>0</v>
      </c>
      <c r="P47" s="124">
        <f t="shared" si="2"/>
        <v>0</v>
      </c>
      <c r="Q47" s="124">
        <f t="shared" si="2"/>
        <v>0</v>
      </c>
      <c r="R47" s="124">
        <f t="shared" si="2"/>
        <v>0</v>
      </c>
      <c r="S47" s="124">
        <f t="shared" si="2"/>
        <v>0</v>
      </c>
      <c r="T47" s="124">
        <f t="shared" si="2"/>
        <v>0</v>
      </c>
      <c r="U47" s="124">
        <f t="shared" si="2"/>
        <v>0</v>
      </c>
      <c r="V47" s="124">
        <f t="shared" si="2"/>
        <v>0</v>
      </c>
    </row>
    <row r="48" spans="1:22" x14ac:dyDescent="0.3">
      <c r="A48" s="511"/>
    </row>
    <row r="49" spans="1:22" x14ac:dyDescent="0.3">
      <c r="A49" s="511"/>
    </row>
    <row r="50" spans="1:22" x14ac:dyDescent="0.3">
      <c r="A50" s="511"/>
    </row>
    <row r="51" spans="1:22" x14ac:dyDescent="0.3">
      <c r="A51" s="511"/>
    </row>
    <row r="52" spans="1:22" x14ac:dyDescent="0.3">
      <c r="A52" s="511"/>
    </row>
    <row r="53" spans="1:22" x14ac:dyDescent="0.3">
      <c r="A53" s="511"/>
    </row>
    <row r="54" spans="1:22" x14ac:dyDescent="0.3">
      <c r="A54" s="511"/>
    </row>
    <row r="55" spans="1:22" x14ac:dyDescent="0.3">
      <c r="A55" s="511"/>
    </row>
    <row r="56" spans="1:22" x14ac:dyDescent="0.3">
      <c r="A56" s="511"/>
    </row>
    <row r="57" spans="1:22" x14ac:dyDescent="0.3">
      <c r="A57" s="510">
        <v>0.4</v>
      </c>
      <c r="B57" s="32" t="s">
        <v>149</v>
      </c>
      <c r="L57" s="18"/>
      <c r="M57" s="18"/>
    </row>
    <row r="58" spans="1:22" x14ac:dyDescent="0.3">
      <c r="A58" s="511"/>
      <c r="B58" s="75" t="s">
        <v>82</v>
      </c>
      <c r="C58" s="75">
        <v>2021</v>
      </c>
      <c r="D58" s="76">
        <v>2022</v>
      </c>
      <c r="E58" s="75">
        <v>2023</v>
      </c>
      <c r="F58" s="76">
        <v>2024</v>
      </c>
      <c r="G58" s="75">
        <v>2025</v>
      </c>
      <c r="H58" s="76">
        <v>2026</v>
      </c>
      <c r="I58" s="75">
        <v>2027</v>
      </c>
      <c r="J58" s="76">
        <v>2028</v>
      </c>
      <c r="K58" s="75">
        <v>2029</v>
      </c>
      <c r="L58" s="76">
        <v>2030</v>
      </c>
      <c r="M58" s="75">
        <v>2031</v>
      </c>
      <c r="N58" s="76">
        <v>2032</v>
      </c>
      <c r="O58" s="75">
        <v>2033</v>
      </c>
      <c r="P58" s="76">
        <v>2034</v>
      </c>
      <c r="Q58" s="75">
        <v>2035</v>
      </c>
      <c r="R58" s="76">
        <v>2036</v>
      </c>
      <c r="S58" s="75">
        <v>2037</v>
      </c>
      <c r="T58" s="76">
        <v>2038</v>
      </c>
      <c r="U58" s="75">
        <v>2039</v>
      </c>
      <c r="V58" s="76">
        <v>2040</v>
      </c>
    </row>
    <row r="59" spans="1:22" x14ac:dyDescent="0.3">
      <c r="A59" s="511"/>
      <c r="B59" s="30" t="s">
        <v>43</v>
      </c>
      <c r="C59" s="78" t="str">
        <f>IFERROR(DTE_demand_forecast!C62*#REF!,"-")</f>
        <v>-</v>
      </c>
      <c r="D59" s="78" t="str">
        <f>IFERROR(DTE_demand_forecast!D62*#REF!,"-")</f>
        <v>-</v>
      </c>
      <c r="E59" s="78" t="str">
        <f>IFERROR(DTE_demand_forecast!E62*#REF!,"-")</f>
        <v>-</v>
      </c>
      <c r="F59" s="78" t="str">
        <f>IFERROR(DTE_demand_forecast!F62*#REF!,"-")</f>
        <v>-</v>
      </c>
      <c r="G59" s="78" t="str">
        <f>IFERROR(DTE_demand_forecast!G62*#REF!,"-")</f>
        <v>-</v>
      </c>
      <c r="H59" s="78" t="str">
        <f>IFERROR(DTE_demand_forecast!H62*#REF!,"-")</f>
        <v>-</v>
      </c>
      <c r="I59" s="78" t="str">
        <f>IFERROR(DTE_demand_forecast!I62*#REF!,"-")</f>
        <v>-</v>
      </c>
      <c r="J59" s="78" t="str">
        <f>IFERROR(DTE_demand_forecast!J62*#REF!,"-")</f>
        <v>-</v>
      </c>
      <c r="K59" s="78" t="str">
        <f>IFERROR(DTE_demand_forecast!K62*#REF!,"-")</f>
        <v>-</v>
      </c>
      <c r="L59" s="78" t="str">
        <f>IFERROR(DTE_demand_forecast!L62*#REF!,"-")</f>
        <v>-</v>
      </c>
      <c r="M59" s="78" t="str">
        <f>IFERROR(DTE_demand_forecast!M62*#REF!,"-")</f>
        <v>-</v>
      </c>
      <c r="N59" s="78" t="str">
        <f>IFERROR(DTE_demand_forecast!N62*#REF!,"-")</f>
        <v>-</v>
      </c>
      <c r="O59" s="78" t="str">
        <f>IFERROR(DTE_demand_forecast!O62*#REF!,"-")</f>
        <v>-</v>
      </c>
      <c r="P59" s="78" t="str">
        <f>IFERROR(DTE_demand_forecast!P62*#REF!,"-")</f>
        <v>-</v>
      </c>
      <c r="Q59" s="78" t="str">
        <f>IFERROR(DTE_demand_forecast!Q62*#REF!,"-")</f>
        <v>-</v>
      </c>
      <c r="R59" s="78" t="str">
        <f>IFERROR(DTE_demand_forecast!R62*#REF!,"-")</f>
        <v>-</v>
      </c>
      <c r="S59" s="78" t="str">
        <f>IFERROR(DTE_demand_forecast!S62*#REF!,"-")</f>
        <v>-</v>
      </c>
      <c r="T59" s="78" t="str">
        <f>IFERROR(DTE_demand_forecast!T62*#REF!,"-")</f>
        <v>-</v>
      </c>
      <c r="U59" s="78" t="str">
        <f>IFERROR(DTE_demand_forecast!U62*#REF!,"-")</f>
        <v>-</v>
      </c>
      <c r="V59" s="78" t="str">
        <f>IFERROR(DTE_demand_forecast!V62*#REF!,"-")</f>
        <v>-</v>
      </c>
    </row>
    <row r="60" spans="1:22" x14ac:dyDescent="0.3">
      <c r="A60" s="511"/>
      <c r="B60" s="30" t="s">
        <v>41</v>
      </c>
      <c r="C60" s="78" t="str">
        <f>IFERROR(DTE_demand_forecast!C63*#REF!,"-")</f>
        <v>-</v>
      </c>
      <c r="D60" s="78" t="str">
        <f>IFERROR(DTE_demand_forecast!D63*#REF!,"-")</f>
        <v>-</v>
      </c>
      <c r="E60" s="78" t="str">
        <f>IFERROR(DTE_demand_forecast!E63*#REF!,"-")</f>
        <v>-</v>
      </c>
      <c r="F60" s="78" t="str">
        <f>IFERROR(DTE_demand_forecast!F63*#REF!,"-")</f>
        <v>-</v>
      </c>
      <c r="G60" s="78" t="str">
        <f>IFERROR(DTE_demand_forecast!G63*#REF!,"-")</f>
        <v>-</v>
      </c>
      <c r="H60" s="78" t="str">
        <f>IFERROR(DTE_demand_forecast!H63*#REF!,"-")</f>
        <v>-</v>
      </c>
      <c r="I60" s="78" t="str">
        <f>IFERROR(DTE_demand_forecast!I63*#REF!,"-")</f>
        <v>-</v>
      </c>
      <c r="J60" s="78" t="str">
        <f>IFERROR(DTE_demand_forecast!J63*#REF!,"-")</f>
        <v>-</v>
      </c>
      <c r="K60" s="78" t="str">
        <f>IFERROR(DTE_demand_forecast!K63*#REF!,"-")</f>
        <v>-</v>
      </c>
      <c r="L60" s="78" t="str">
        <f>IFERROR(DTE_demand_forecast!L63*#REF!,"-")</f>
        <v>-</v>
      </c>
      <c r="M60" s="78" t="str">
        <f>IFERROR(DTE_demand_forecast!M63*#REF!,"-")</f>
        <v>-</v>
      </c>
      <c r="N60" s="78" t="str">
        <f>IFERROR(DTE_demand_forecast!N63*#REF!,"-")</f>
        <v>-</v>
      </c>
      <c r="O60" s="78" t="str">
        <f>IFERROR(DTE_demand_forecast!O63*#REF!,"-")</f>
        <v>-</v>
      </c>
      <c r="P60" s="78" t="str">
        <f>IFERROR(DTE_demand_forecast!P63*#REF!,"-")</f>
        <v>-</v>
      </c>
      <c r="Q60" s="78" t="str">
        <f>IFERROR(DTE_demand_forecast!Q63*#REF!,"-")</f>
        <v>-</v>
      </c>
      <c r="R60" s="78" t="str">
        <f>IFERROR(DTE_demand_forecast!R63*#REF!,"-")</f>
        <v>-</v>
      </c>
      <c r="S60" s="78" t="str">
        <f>IFERROR(DTE_demand_forecast!S63*#REF!,"-")</f>
        <v>-</v>
      </c>
      <c r="T60" s="78" t="str">
        <f>IFERROR(DTE_demand_forecast!T63*#REF!,"-")</f>
        <v>-</v>
      </c>
      <c r="U60" s="78" t="str">
        <f>IFERROR(DTE_demand_forecast!U63*#REF!,"-")</f>
        <v>-</v>
      </c>
      <c r="V60" s="78" t="str">
        <f>IFERROR(DTE_demand_forecast!V63*#REF!,"-")</f>
        <v>-</v>
      </c>
    </row>
    <row r="61" spans="1:22" x14ac:dyDescent="0.3">
      <c r="A61" s="511"/>
      <c r="B61" s="30" t="s">
        <v>40</v>
      </c>
      <c r="C61" s="78" t="str">
        <f>IFERROR(DTE_demand_forecast!C64*#REF!,"-")</f>
        <v>-</v>
      </c>
      <c r="D61" s="78" t="str">
        <f>IFERROR(DTE_demand_forecast!D64*#REF!,"-")</f>
        <v>-</v>
      </c>
      <c r="E61" s="78" t="str">
        <f>IFERROR(DTE_demand_forecast!E64*#REF!,"-")</f>
        <v>-</v>
      </c>
      <c r="F61" s="78" t="str">
        <f>IFERROR(DTE_demand_forecast!F64*#REF!,"-")</f>
        <v>-</v>
      </c>
      <c r="G61" s="78" t="str">
        <f>IFERROR(DTE_demand_forecast!G64*#REF!,"-")</f>
        <v>-</v>
      </c>
      <c r="H61" s="78" t="str">
        <f>IFERROR(DTE_demand_forecast!H64*#REF!,"-")</f>
        <v>-</v>
      </c>
      <c r="I61" s="78" t="str">
        <f>IFERROR(DTE_demand_forecast!I64*#REF!,"-")</f>
        <v>-</v>
      </c>
      <c r="J61" s="78" t="str">
        <f>IFERROR(DTE_demand_forecast!J64*#REF!,"-")</f>
        <v>-</v>
      </c>
      <c r="K61" s="78" t="str">
        <f>IFERROR(DTE_demand_forecast!K64*#REF!,"-")</f>
        <v>-</v>
      </c>
      <c r="L61" s="78" t="str">
        <f>IFERROR(DTE_demand_forecast!L64*#REF!,"-")</f>
        <v>-</v>
      </c>
      <c r="M61" s="78" t="str">
        <f>IFERROR(DTE_demand_forecast!M64*#REF!,"-")</f>
        <v>-</v>
      </c>
      <c r="N61" s="78" t="str">
        <f>IFERROR(DTE_demand_forecast!N64*#REF!,"-")</f>
        <v>-</v>
      </c>
      <c r="O61" s="78" t="str">
        <f>IFERROR(DTE_demand_forecast!O64*#REF!,"-")</f>
        <v>-</v>
      </c>
      <c r="P61" s="78" t="str">
        <f>IFERROR(DTE_demand_forecast!P64*#REF!,"-")</f>
        <v>-</v>
      </c>
      <c r="Q61" s="78" t="str">
        <f>IFERROR(DTE_demand_forecast!Q64*#REF!,"-")</f>
        <v>-</v>
      </c>
      <c r="R61" s="78" t="str">
        <f>IFERROR(DTE_demand_forecast!R64*#REF!,"-")</f>
        <v>-</v>
      </c>
      <c r="S61" s="78" t="str">
        <f>IFERROR(DTE_demand_forecast!S64*#REF!,"-")</f>
        <v>-</v>
      </c>
      <c r="T61" s="78" t="str">
        <f>IFERROR(DTE_demand_forecast!T64*#REF!,"-")</f>
        <v>-</v>
      </c>
      <c r="U61" s="78" t="str">
        <f>IFERROR(DTE_demand_forecast!U64*#REF!,"-")</f>
        <v>-</v>
      </c>
      <c r="V61" s="78" t="str">
        <f>IFERROR(DTE_demand_forecast!V64*#REF!,"-")</f>
        <v>-</v>
      </c>
    </row>
    <row r="62" spans="1:22" x14ac:dyDescent="0.3">
      <c r="A62" s="511"/>
      <c r="B62" s="30" t="s">
        <v>80</v>
      </c>
      <c r="C62" s="78" t="str">
        <f>IFERROR(DTE_demand_forecast!C65*#REF!,"-")</f>
        <v>-</v>
      </c>
      <c r="D62" s="78" t="str">
        <f>IFERROR(DTE_demand_forecast!D65*#REF!,"-")</f>
        <v>-</v>
      </c>
      <c r="E62" s="78" t="str">
        <f>IFERROR(DTE_demand_forecast!E65*#REF!,"-")</f>
        <v>-</v>
      </c>
      <c r="F62" s="78" t="str">
        <f>IFERROR(DTE_demand_forecast!F65*#REF!,"-")</f>
        <v>-</v>
      </c>
      <c r="G62" s="78" t="str">
        <f>IFERROR(DTE_demand_forecast!G65*#REF!,"-")</f>
        <v>-</v>
      </c>
      <c r="H62" s="78" t="str">
        <f>IFERROR(DTE_demand_forecast!H65*#REF!,"-")</f>
        <v>-</v>
      </c>
      <c r="I62" s="78" t="str">
        <f>IFERROR(DTE_demand_forecast!I65*#REF!,"-")</f>
        <v>-</v>
      </c>
      <c r="J62" s="78" t="str">
        <f>IFERROR(DTE_demand_forecast!J65*#REF!,"-")</f>
        <v>-</v>
      </c>
      <c r="K62" s="78" t="str">
        <f>IFERROR(DTE_demand_forecast!K65*#REF!,"-")</f>
        <v>-</v>
      </c>
      <c r="L62" s="78" t="str">
        <f>IFERROR(DTE_demand_forecast!L65*#REF!,"-")</f>
        <v>-</v>
      </c>
      <c r="M62" s="78" t="str">
        <f>IFERROR(DTE_demand_forecast!M65*#REF!,"-")</f>
        <v>-</v>
      </c>
      <c r="N62" s="78" t="str">
        <f>IFERROR(DTE_demand_forecast!N65*#REF!,"-")</f>
        <v>-</v>
      </c>
      <c r="O62" s="78" t="str">
        <f>IFERROR(DTE_demand_forecast!O65*#REF!,"-")</f>
        <v>-</v>
      </c>
      <c r="P62" s="78" t="str">
        <f>IFERROR(DTE_demand_forecast!P65*#REF!,"-")</f>
        <v>-</v>
      </c>
      <c r="Q62" s="78" t="str">
        <f>IFERROR(DTE_demand_forecast!Q65*#REF!,"-")</f>
        <v>-</v>
      </c>
      <c r="R62" s="78" t="str">
        <f>IFERROR(DTE_demand_forecast!R65*#REF!,"-")</f>
        <v>-</v>
      </c>
      <c r="S62" s="78" t="str">
        <f>IFERROR(DTE_demand_forecast!S65*#REF!,"-")</f>
        <v>-</v>
      </c>
      <c r="T62" s="78" t="str">
        <f>IFERROR(DTE_demand_forecast!T65*#REF!,"-")</f>
        <v>-</v>
      </c>
      <c r="U62" s="78" t="str">
        <f>IFERROR(DTE_demand_forecast!U65*#REF!,"-")</f>
        <v>-</v>
      </c>
      <c r="V62" s="78" t="str">
        <f>IFERROR(DTE_demand_forecast!V65*#REF!,"-")</f>
        <v>-</v>
      </c>
    </row>
    <row r="63" spans="1:22" x14ac:dyDescent="0.3">
      <c r="A63" s="511"/>
      <c r="B63" s="30" t="s">
        <v>44</v>
      </c>
      <c r="C63" s="78" t="str">
        <f>IFERROR(DTE_demand_forecast!C66*#REF!,"-")</f>
        <v>-</v>
      </c>
      <c r="D63" s="78" t="str">
        <f>IFERROR(DTE_demand_forecast!D66*#REF!,"-")</f>
        <v>-</v>
      </c>
      <c r="E63" s="78" t="str">
        <f>IFERROR(DTE_demand_forecast!E66*#REF!,"-")</f>
        <v>-</v>
      </c>
      <c r="F63" s="78" t="str">
        <f>IFERROR(DTE_demand_forecast!F66*#REF!,"-")</f>
        <v>-</v>
      </c>
      <c r="G63" s="78" t="str">
        <f>IFERROR(DTE_demand_forecast!G66*#REF!,"-")</f>
        <v>-</v>
      </c>
      <c r="H63" s="78" t="str">
        <f>IFERROR(DTE_demand_forecast!H66*#REF!,"-")</f>
        <v>-</v>
      </c>
      <c r="I63" s="78" t="str">
        <f>IFERROR(DTE_demand_forecast!I66*#REF!,"-")</f>
        <v>-</v>
      </c>
      <c r="J63" s="78" t="str">
        <f>IFERROR(DTE_demand_forecast!J66*#REF!,"-")</f>
        <v>-</v>
      </c>
      <c r="K63" s="78" t="str">
        <f>IFERROR(DTE_demand_forecast!K66*#REF!,"-")</f>
        <v>-</v>
      </c>
      <c r="L63" s="78" t="str">
        <f>IFERROR(DTE_demand_forecast!L66*#REF!,"-")</f>
        <v>-</v>
      </c>
      <c r="M63" s="78" t="str">
        <f>IFERROR(DTE_demand_forecast!M66*#REF!,"-")</f>
        <v>-</v>
      </c>
      <c r="N63" s="78" t="str">
        <f>IFERROR(DTE_demand_forecast!N66*#REF!,"-")</f>
        <v>-</v>
      </c>
      <c r="O63" s="78" t="str">
        <f>IFERROR(DTE_demand_forecast!O66*#REF!,"-")</f>
        <v>-</v>
      </c>
      <c r="P63" s="78" t="str">
        <f>IFERROR(DTE_demand_forecast!P66*#REF!,"-")</f>
        <v>-</v>
      </c>
      <c r="Q63" s="78" t="str">
        <f>IFERROR(DTE_demand_forecast!Q66*#REF!,"-")</f>
        <v>-</v>
      </c>
      <c r="R63" s="78" t="str">
        <f>IFERROR(DTE_demand_forecast!R66*#REF!,"-")</f>
        <v>-</v>
      </c>
      <c r="S63" s="78" t="str">
        <f>IFERROR(DTE_demand_forecast!S66*#REF!,"-")</f>
        <v>-</v>
      </c>
      <c r="T63" s="78" t="str">
        <f>IFERROR(DTE_demand_forecast!T66*#REF!,"-")</f>
        <v>-</v>
      </c>
      <c r="U63" s="78" t="str">
        <f>IFERROR(DTE_demand_forecast!U66*#REF!,"-")</f>
        <v>-</v>
      </c>
      <c r="V63" s="78" t="str">
        <f>IFERROR(DTE_demand_forecast!V66*#REF!,"-")</f>
        <v>-</v>
      </c>
    </row>
    <row r="64" spans="1:22" x14ac:dyDescent="0.3">
      <c r="A64" s="511"/>
      <c r="B64" s="30" t="s">
        <v>81</v>
      </c>
      <c r="C64" s="78" t="str">
        <f>IFERROR(DTE_demand_forecast!C67*#REF!,"-")</f>
        <v>-</v>
      </c>
      <c r="D64" s="78" t="str">
        <f>IFERROR(DTE_demand_forecast!D67*#REF!,"-")</f>
        <v>-</v>
      </c>
      <c r="E64" s="78" t="str">
        <f>IFERROR(DTE_demand_forecast!E67*#REF!,"-")</f>
        <v>-</v>
      </c>
      <c r="F64" s="78" t="str">
        <f>IFERROR(DTE_demand_forecast!F67*#REF!,"-")</f>
        <v>-</v>
      </c>
      <c r="G64" s="78" t="str">
        <f>IFERROR(DTE_demand_forecast!G67*#REF!,"-")</f>
        <v>-</v>
      </c>
      <c r="H64" s="78" t="str">
        <f>IFERROR(DTE_demand_forecast!H67*#REF!,"-")</f>
        <v>-</v>
      </c>
      <c r="I64" s="78" t="str">
        <f>IFERROR(DTE_demand_forecast!I67*#REF!,"-")</f>
        <v>-</v>
      </c>
      <c r="J64" s="78" t="str">
        <f>IFERROR(DTE_demand_forecast!J67*#REF!,"-")</f>
        <v>-</v>
      </c>
      <c r="K64" s="78" t="str">
        <f>IFERROR(DTE_demand_forecast!K67*#REF!,"-")</f>
        <v>-</v>
      </c>
      <c r="L64" s="78" t="str">
        <f>IFERROR(DTE_demand_forecast!L67*#REF!,"-")</f>
        <v>-</v>
      </c>
      <c r="M64" s="78" t="str">
        <f>IFERROR(DTE_demand_forecast!M67*#REF!,"-")</f>
        <v>-</v>
      </c>
      <c r="N64" s="78" t="str">
        <f>IFERROR(DTE_demand_forecast!N67*#REF!,"-")</f>
        <v>-</v>
      </c>
      <c r="O64" s="78" t="str">
        <f>IFERROR(DTE_demand_forecast!O67*#REF!,"-")</f>
        <v>-</v>
      </c>
      <c r="P64" s="78" t="str">
        <f>IFERROR(DTE_demand_forecast!P67*#REF!,"-")</f>
        <v>-</v>
      </c>
      <c r="Q64" s="78" t="str">
        <f>IFERROR(DTE_demand_forecast!Q67*#REF!,"-")</f>
        <v>-</v>
      </c>
      <c r="R64" s="78" t="str">
        <f>IFERROR(DTE_demand_forecast!R67*#REF!,"-")</f>
        <v>-</v>
      </c>
      <c r="S64" s="78" t="str">
        <f>IFERROR(DTE_demand_forecast!S67*#REF!,"-")</f>
        <v>-</v>
      </c>
      <c r="T64" s="78" t="str">
        <f>IFERROR(DTE_demand_forecast!T67*#REF!,"-")</f>
        <v>-</v>
      </c>
      <c r="U64" s="78" t="str">
        <f>IFERROR(DTE_demand_forecast!U67*#REF!,"-")</f>
        <v>-</v>
      </c>
      <c r="V64" s="78" t="str">
        <f>IFERROR(DTE_demand_forecast!V67*#REF!,"-")</f>
        <v>-</v>
      </c>
    </row>
    <row r="65" spans="1:22" x14ac:dyDescent="0.3">
      <c r="A65" s="511"/>
      <c r="B65" s="30" t="s">
        <v>42</v>
      </c>
      <c r="C65" s="78" t="str">
        <f>IFERROR(DTE_demand_forecast!C68*#REF!,"-")</f>
        <v>-</v>
      </c>
      <c r="D65" s="78" t="str">
        <f>IFERROR(DTE_demand_forecast!D68*#REF!,"-")</f>
        <v>-</v>
      </c>
      <c r="E65" s="78" t="str">
        <f>IFERROR(DTE_demand_forecast!E68*#REF!,"-")</f>
        <v>-</v>
      </c>
      <c r="F65" s="78" t="str">
        <f>IFERROR(DTE_demand_forecast!F68*#REF!,"-")</f>
        <v>-</v>
      </c>
      <c r="G65" s="78" t="str">
        <f>IFERROR(DTE_demand_forecast!G68*#REF!,"-")</f>
        <v>-</v>
      </c>
      <c r="H65" s="78" t="str">
        <f>IFERROR(DTE_demand_forecast!H68*#REF!,"-")</f>
        <v>-</v>
      </c>
      <c r="I65" s="78" t="str">
        <f>IFERROR(DTE_demand_forecast!I68*#REF!,"-")</f>
        <v>-</v>
      </c>
      <c r="J65" s="78" t="str">
        <f>IFERROR(DTE_demand_forecast!J68*#REF!,"-")</f>
        <v>-</v>
      </c>
      <c r="K65" s="78" t="str">
        <f>IFERROR(DTE_demand_forecast!K68*#REF!,"-")</f>
        <v>-</v>
      </c>
      <c r="L65" s="78" t="str">
        <f>IFERROR(DTE_demand_forecast!L68*#REF!,"-")</f>
        <v>-</v>
      </c>
      <c r="M65" s="78" t="str">
        <f>IFERROR(DTE_demand_forecast!M68*#REF!,"-")</f>
        <v>-</v>
      </c>
      <c r="N65" s="78" t="str">
        <f>IFERROR(DTE_demand_forecast!N68*#REF!,"-")</f>
        <v>-</v>
      </c>
      <c r="O65" s="78" t="str">
        <f>IFERROR(DTE_demand_forecast!O68*#REF!,"-")</f>
        <v>-</v>
      </c>
      <c r="P65" s="78" t="str">
        <f>IFERROR(DTE_demand_forecast!P68*#REF!,"-")</f>
        <v>-</v>
      </c>
      <c r="Q65" s="78" t="str">
        <f>IFERROR(DTE_demand_forecast!Q68*#REF!,"-")</f>
        <v>-</v>
      </c>
      <c r="R65" s="78" t="str">
        <f>IFERROR(DTE_demand_forecast!R68*#REF!,"-")</f>
        <v>-</v>
      </c>
      <c r="S65" s="78" t="str">
        <f>IFERROR(DTE_demand_forecast!S68*#REF!,"-")</f>
        <v>-</v>
      </c>
      <c r="T65" s="78" t="str">
        <f>IFERROR(DTE_demand_forecast!T68*#REF!,"-")</f>
        <v>-</v>
      </c>
      <c r="U65" s="78" t="str">
        <f>IFERROR(DTE_demand_forecast!U68*#REF!,"-")</f>
        <v>-</v>
      </c>
      <c r="V65" s="78" t="str">
        <f>IFERROR(DTE_demand_forecast!V68*#REF!,"-")</f>
        <v>-</v>
      </c>
    </row>
    <row r="66" spans="1:22" x14ac:dyDescent="0.3">
      <c r="A66" s="511"/>
      <c r="B66" s="30" t="s">
        <v>45</v>
      </c>
      <c r="C66" s="78" t="str">
        <f>IFERROR(DTE_demand_forecast!C69*#REF!,"-")</f>
        <v>-</v>
      </c>
      <c r="D66" s="78" t="str">
        <f>IFERROR(DTE_demand_forecast!D69*#REF!,"-")</f>
        <v>-</v>
      </c>
      <c r="E66" s="78" t="str">
        <f>IFERROR(DTE_demand_forecast!E69*#REF!,"-")</f>
        <v>-</v>
      </c>
      <c r="F66" s="78" t="str">
        <f>IFERROR(DTE_demand_forecast!F69*#REF!,"-")</f>
        <v>-</v>
      </c>
      <c r="G66" s="78" t="str">
        <f>IFERROR(DTE_demand_forecast!G69*#REF!,"-")</f>
        <v>-</v>
      </c>
      <c r="H66" s="78" t="str">
        <f>IFERROR(DTE_demand_forecast!H69*#REF!,"-")</f>
        <v>-</v>
      </c>
      <c r="I66" s="78" t="str">
        <f>IFERROR(DTE_demand_forecast!I69*#REF!,"-")</f>
        <v>-</v>
      </c>
      <c r="J66" s="78" t="str">
        <f>IFERROR(DTE_demand_forecast!J69*#REF!,"-")</f>
        <v>-</v>
      </c>
      <c r="K66" s="78" t="str">
        <f>IFERROR(DTE_demand_forecast!K69*#REF!,"-")</f>
        <v>-</v>
      </c>
      <c r="L66" s="78" t="str">
        <f>IFERROR(DTE_demand_forecast!L69*#REF!,"-")</f>
        <v>-</v>
      </c>
      <c r="M66" s="78" t="str">
        <f>IFERROR(DTE_demand_forecast!M69*#REF!,"-")</f>
        <v>-</v>
      </c>
      <c r="N66" s="78" t="str">
        <f>IFERROR(DTE_demand_forecast!N69*#REF!,"-")</f>
        <v>-</v>
      </c>
      <c r="O66" s="78" t="str">
        <f>IFERROR(DTE_demand_forecast!O69*#REF!,"-")</f>
        <v>-</v>
      </c>
      <c r="P66" s="78" t="str">
        <f>IFERROR(DTE_demand_forecast!P69*#REF!,"-")</f>
        <v>-</v>
      </c>
      <c r="Q66" s="78" t="str">
        <f>IFERROR(DTE_demand_forecast!Q69*#REF!,"-")</f>
        <v>-</v>
      </c>
      <c r="R66" s="78" t="str">
        <f>IFERROR(DTE_demand_forecast!R69*#REF!,"-")</f>
        <v>-</v>
      </c>
      <c r="S66" s="78" t="str">
        <f>IFERROR(DTE_demand_forecast!S69*#REF!,"-")</f>
        <v>-</v>
      </c>
      <c r="T66" s="78" t="str">
        <f>IFERROR(DTE_demand_forecast!T69*#REF!,"-")</f>
        <v>-</v>
      </c>
      <c r="U66" s="78" t="str">
        <f>IFERROR(DTE_demand_forecast!U69*#REF!,"-")</f>
        <v>-</v>
      </c>
      <c r="V66" s="78" t="str">
        <f>IFERROR(DTE_demand_forecast!V69*#REF!,"-")</f>
        <v>-</v>
      </c>
    </row>
    <row r="67" spans="1:22" x14ac:dyDescent="0.3">
      <c r="A67" s="511"/>
      <c r="B67" s="31" t="s">
        <v>84</v>
      </c>
      <c r="C67" s="124">
        <f t="shared" ref="C67:V67" si="3">SUM(C59:C66)</f>
        <v>0</v>
      </c>
      <c r="D67" s="124">
        <f t="shared" si="3"/>
        <v>0</v>
      </c>
      <c r="E67" s="124">
        <f t="shared" si="3"/>
        <v>0</v>
      </c>
      <c r="F67" s="124">
        <f t="shared" si="3"/>
        <v>0</v>
      </c>
      <c r="G67" s="124">
        <f t="shared" si="3"/>
        <v>0</v>
      </c>
      <c r="H67" s="124">
        <f t="shared" si="3"/>
        <v>0</v>
      </c>
      <c r="I67" s="124">
        <f t="shared" si="3"/>
        <v>0</v>
      </c>
      <c r="J67" s="124">
        <f t="shared" si="3"/>
        <v>0</v>
      </c>
      <c r="K67" s="124">
        <f t="shared" si="3"/>
        <v>0</v>
      </c>
      <c r="L67" s="124">
        <f t="shared" si="3"/>
        <v>0</v>
      </c>
      <c r="M67" s="124">
        <f t="shared" si="3"/>
        <v>0</v>
      </c>
      <c r="N67" s="124">
        <f t="shared" si="3"/>
        <v>0</v>
      </c>
      <c r="O67" s="124">
        <f t="shared" si="3"/>
        <v>0</v>
      </c>
      <c r="P67" s="124">
        <f t="shared" si="3"/>
        <v>0</v>
      </c>
      <c r="Q67" s="124">
        <f t="shared" si="3"/>
        <v>0</v>
      </c>
      <c r="R67" s="124">
        <f t="shared" si="3"/>
        <v>0</v>
      </c>
      <c r="S67" s="124">
        <f t="shared" si="3"/>
        <v>0</v>
      </c>
      <c r="T67" s="124">
        <f t="shared" si="3"/>
        <v>0</v>
      </c>
      <c r="U67" s="124">
        <f t="shared" si="3"/>
        <v>0</v>
      </c>
      <c r="V67" s="124">
        <f t="shared" si="3"/>
        <v>0</v>
      </c>
    </row>
    <row r="68" spans="1:22" x14ac:dyDescent="0.3">
      <c r="A68" s="511"/>
      <c r="B68" s="125"/>
      <c r="C68" s="126"/>
      <c r="D68" s="126"/>
      <c r="E68" s="126"/>
      <c r="F68" s="126"/>
      <c r="G68" s="126"/>
      <c r="H68" s="126"/>
      <c r="I68" s="126"/>
      <c r="J68" s="126"/>
      <c r="K68" s="126"/>
      <c r="L68" s="126"/>
      <c r="M68" s="126"/>
      <c r="N68" s="126"/>
      <c r="O68" s="126"/>
      <c r="P68" s="126"/>
      <c r="Q68" s="126"/>
      <c r="R68" s="126"/>
      <c r="S68" s="126"/>
      <c r="T68" s="126"/>
      <c r="U68" s="126"/>
      <c r="V68" s="126"/>
    </row>
    <row r="69" spans="1:22" x14ac:dyDescent="0.3">
      <c r="A69" s="511"/>
      <c r="B69" s="125"/>
      <c r="C69" s="126"/>
      <c r="D69" s="126"/>
      <c r="E69" s="126"/>
      <c r="F69" s="126"/>
      <c r="G69" s="126"/>
      <c r="H69" s="126"/>
      <c r="I69" s="126"/>
      <c r="J69" s="126"/>
      <c r="K69" s="126"/>
      <c r="L69" s="126"/>
      <c r="M69" s="126"/>
      <c r="N69" s="126"/>
      <c r="O69" s="126"/>
      <c r="P69" s="126"/>
      <c r="Q69" s="126"/>
      <c r="R69" s="126"/>
      <c r="S69" s="126"/>
      <c r="T69" s="126"/>
      <c r="U69" s="126"/>
      <c r="V69" s="126"/>
    </row>
    <row r="70" spans="1:22" x14ac:dyDescent="0.3">
      <c r="A70" s="511"/>
      <c r="B70" s="125"/>
      <c r="C70" s="126"/>
      <c r="D70" s="126"/>
      <c r="E70" s="126"/>
      <c r="F70" s="126"/>
      <c r="G70" s="126"/>
      <c r="H70" s="126"/>
      <c r="I70" s="126"/>
      <c r="J70" s="126"/>
      <c r="K70" s="126"/>
      <c r="L70" s="126"/>
      <c r="M70" s="126"/>
      <c r="N70" s="126"/>
      <c r="O70" s="126"/>
      <c r="P70" s="126"/>
      <c r="Q70" s="126"/>
      <c r="R70" s="126"/>
      <c r="S70" s="126"/>
      <c r="T70" s="126"/>
      <c r="U70" s="126"/>
      <c r="V70" s="126"/>
    </row>
    <row r="71" spans="1:22" x14ac:dyDescent="0.3">
      <c r="A71" s="511"/>
      <c r="B71" s="125"/>
      <c r="C71" s="126"/>
      <c r="D71" s="126"/>
      <c r="E71" s="126"/>
      <c r="F71" s="126"/>
      <c r="G71" s="126"/>
      <c r="H71" s="126"/>
      <c r="I71" s="126"/>
      <c r="J71" s="126"/>
      <c r="K71" s="126"/>
      <c r="L71" s="126"/>
      <c r="M71" s="126"/>
      <c r="N71" s="126"/>
      <c r="O71" s="126"/>
      <c r="P71" s="126"/>
      <c r="Q71" s="126"/>
      <c r="R71" s="126"/>
      <c r="S71" s="126"/>
      <c r="T71" s="126"/>
      <c r="U71" s="126"/>
      <c r="V71" s="126"/>
    </row>
    <row r="72" spans="1:22" x14ac:dyDescent="0.3">
      <c r="A72" s="511"/>
      <c r="B72" s="125"/>
      <c r="C72" s="126"/>
      <c r="D72" s="126"/>
      <c r="E72" s="126"/>
      <c r="F72" s="126"/>
      <c r="G72" s="126"/>
      <c r="H72" s="126"/>
      <c r="I72" s="126"/>
      <c r="J72" s="126"/>
      <c r="K72" s="126"/>
      <c r="L72" s="126"/>
      <c r="M72" s="126"/>
      <c r="N72" s="126"/>
      <c r="O72" s="126"/>
      <c r="P72" s="126"/>
      <c r="Q72" s="126"/>
      <c r="R72" s="126"/>
      <c r="S72" s="126"/>
      <c r="T72" s="126"/>
      <c r="U72" s="126"/>
      <c r="V72" s="126"/>
    </row>
    <row r="73" spans="1:22" x14ac:dyDescent="0.3">
      <c r="A73" s="511"/>
    </row>
    <row r="74" spans="1:22" x14ac:dyDescent="0.3">
      <c r="A74" s="511"/>
    </row>
    <row r="75" spans="1:22" x14ac:dyDescent="0.3">
      <c r="A75" s="511"/>
      <c r="B75" s="32" t="s">
        <v>150</v>
      </c>
      <c r="L75" s="18"/>
      <c r="M75" s="18"/>
    </row>
    <row r="76" spans="1:22" x14ac:dyDescent="0.3">
      <c r="A76" s="511"/>
      <c r="B76" s="75" t="s">
        <v>82</v>
      </c>
      <c r="C76" s="75">
        <v>2021</v>
      </c>
      <c r="D76" s="76">
        <v>2022</v>
      </c>
      <c r="E76" s="75">
        <v>2023</v>
      </c>
      <c r="F76" s="76">
        <v>2024</v>
      </c>
      <c r="G76" s="75">
        <v>2025</v>
      </c>
      <c r="H76" s="76">
        <v>2026</v>
      </c>
      <c r="I76" s="75">
        <v>2027</v>
      </c>
      <c r="J76" s="76">
        <v>2028</v>
      </c>
      <c r="K76" s="75">
        <v>2029</v>
      </c>
      <c r="L76" s="76">
        <v>2030</v>
      </c>
      <c r="M76" s="75">
        <v>2031</v>
      </c>
      <c r="N76" s="76">
        <v>2032</v>
      </c>
      <c r="O76" s="75">
        <v>2033</v>
      </c>
      <c r="P76" s="76">
        <v>2034</v>
      </c>
      <c r="Q76" s="75">
        <v>2035</v>
      </c>
      <c r="R76" s="76">
        <v>2036</v>
      </c>
      <c r="S76" s="75">
        <v>2037</v>
      </c>
      <c r="T76" s="76">
        <v>2038</v>
      </c>
      <c r="U76" s="75">
        <v>2039</v>
      </c>
      <c r="V76" s="76">
        <v>2040</v>
      </c>
    </row>
    <row r="77" spans="1:22" x14ac:dyDescent="0.3">
      <c r="A77" s="511"/>
      <c r="B77" s="30" t="s">
        <v>43</v>
      </c>
      <c r="C77" s="78" t="str">
        <f>IFERROR(DTE_demand_forecast!C141*#REF!,"-")</f>
        <v>-</v>
      </c>
      <c r="D77" s="78" t="str">
        <f>IFERROR(DTE_demand_forecast!D141*#REF!,"-")</f>
        <v>-</v>
      </c>
      <c r="E77" s="78" t="str">
        <f>IFERROR(DTE_demand_forecast!E141*#REF!,"-")</f>
        <v>-</v>
      </c>
      <c r="F77" s="78" t="str">
        <f>IFERROR(DTE_demand_forecast!F141*#REF!,"-")</f>
        <v>-</v>
      </c>
      <c r="G77" s="78" t="str">
        <f>IFERROR(DTE_demand_forecast!G141*#REF!,"-")</f>
        <v>-</v>
      </c>
      <c r="H77" s="78" t="str">
        <f>IFERROR(DTE_demand_forecast!H141*#REF!,"-")</f>
        <v>-</v>
      </c>
      <c r="I77" s="78" t="str">
        <f>IFERROR(DTE_demand_forecast!I141*#REF!,"-")</f>
        <v>-</v>
      </c>
      <c r="J77" s="78" t="str">
        <f>IFERROR(DTE_demand_forecast!J141*#REF!,"-")</f>
        <v>-</v>
      </c>
      <c r="K77" s="78" t="str">
        <f>IFERROR(DTE_demand_forecast!K141*#REF!,"-")</f>
        <v>-</v>
      </c>
      <c r="L77" s="78" t="str">
        <f>IFERROR(DTE_demand_forecast!L141*#REF!,"-")</f>
        <v>-</v>
      </c>
      <c r="M77" s="78" t="str">
        <f>IFERROR(DTE_demand_forecast!M141*#REF!,"-")</f>
        <v>-</v>
      </c>
      <c r="N77" s="78" t="str">
        <f>IFERROR(DTE_demand_forecast!N141*#REF!,"-")</f>
        <v>-</v>
      </c>
      <c r="O77" s="78" t="str">
        <f>IFERROR(DTE_demand_forecast!O141*#REF!,"-")</f>
        <v>-</v>
      </c>
      <c r="P77" s="78" t="str">
        <f>IFERROR(DTE_demand_forecast!P141*#REF!,"-")</f>
        <v>-</v>
      </c>
      <c r="Q77" s="78" t="str">
        <f>IFERROR(DTE_demand_forecast!Q141*#REF!,"-")</f>
        <v>-</v>
      </c>
      <c r="R77" s="78" t="str">
        <f>IFERROR(DTE_demand_forecast!R141*#REF!,"-")</f>
        <v>-</v>
      </c>
      <c r="S77" s="78" t="str">
        <f>IFERROR(DTE_demand_forecast!S141*#REF!,"-")</f>
        <v>-</v>
      </c>
      <c r="T77" s="78" t="str">
        <f>IFERROR(DTE_demand_forecast!T141*#REF!,"-")</f>
        <v>-</v>
      </c>
      <c r="U77" s="78" t="str">
        <f>IFERROR(DTE_demand_forecast!U141*#REF!,"-")</f>
        <v>-</v>
      </c>
      <c r="V77" s="78" t="str">
        <f>IFERROR(DTE_demand_forecast!V141*#REF!,"-")</f>
        <v>-</v>
      </c>
    </row>
    <row r="78" spans="1:22" x14ac:dyDescent="0.3">
      <c r="A78" s="511"/>
      <c r="B78" s="30" t="s">
        <v>41</v>
      </c>
      <c r="C78" s="78" t="str">
        <f>IFERROR(DTE_demand_forecast!C142*#REF!,"-")</f>
        <v>-</v>
      </c>
      <c r="D78" s="78" t="str">
        <f>IFERROR(DTE_demand_forecast!D142*#REF!,"-")</f>
        <v>-</v>
      </c>
      <c r="E78" s="78" t="str">
        <f>IFERROR(DTE_demand_forecast!E142*#REF!,"-")</f>
        <v>-</v>
      </c>
      <c r="F78" s="78" t="str">
        <f>IFERROR(DTE_demand_forecast!F142*#REF!,"-")</f>
        <v>-</v>
      </c>
      <c r="G78" s="78" t="str">
        <f>IFERROR(DTE_demand_forecast!G142*#REF!,"-")</f>
        <v>-</v>
      </c>
      <c r="H78" s="78" t="str">
        <f>IFERROR(DTE_demand_forecast!H142*#REF!,"-")</f>
        <v>-</v>
      </c>
      <c r="I78" s="78" t="str">
        <f>IFERROR(DTE_demand_forecast!I142*#REF!,"-")</f>
        <v>-</v>
      </c>
      <c r="J78" s="78" t="str">
        <f>IFERROR(DTE_demand_forecast!J142*#REF!,"-")</f>
        <v>-</v>
      </c>
      <c r="K78" s="78" t="str">
        <f>IFERROR(DTE_demand_forecast!K142*#REF!,"-")</f>
        <v>-</v>
      </c>
      <c r="L78" s="78" t="str">
        <f>IFERROR(DTE_demand_forecast!L142*#REF!,"-")</f>
        <v>-</v>
      </c>
      <c r="M78" s="78" t="str">
        <f>IFERROR(DTE_demand_forecast!M142*#REF!,"-")</f>
        <v>-</v>
      </c>
      <c r="N78" s="78" t="str">
        <f>IFERROR(DTE_demand_forecast!N142*#REF!,"-")</f>
        <v>-</v>
      </c>
      <c r="O78" s="78" t="str">
        <f>IFERROR(DTE_demand_forecast!O142*#REF!,"-")</f>
        <v>-</v>
      </c>
      <c r="P78" s="78" t="str">
        <f>IFERROR(DTE_demand_forecast!P142*#REF!,"-")</f>
        <v>-</v>
      </c>
      <c r="Q78" s="78" t="str">
        <f>IFERROR(DTE_demand_forecast!Q142*#REF!,"-")</f>
        <v>-</v>
      </c>
      <c r="R78" s="78" t="str">
        <f>IFERROR(DTE_demand_forecast!R142*#REF!,"-")</f>
        <v>-</v>
      </c>
      <c r="S78" s="78" t="str">
        <f>IFERROR(DTE_demand_forecast!S142*#REF!,"-")</f>
        <v>-</v>
      </c>
      <c r="T78" s="78" t="str">
        <f>IFERROR(DTE_demand_forecast!T142*#REF!,"-")</f>
        <v>-</v>
      </c>
      <c r="U78" s="78" t="str">
        <f>IFERROR(DTE_demand_forecast!U142*#REF!,"-")</f>
        <v>-</v>
      </c>
      <c r="V78" s="78" t="str">
        <f>IFERROR(DTE_demand_forecast!V142*#REF!,"-")</f>
        <v>-</v>
      </c>
    </row>
    <row r="79" spans="1:22" x14ac:dyDescent="0.3">
      <c r="A79" s="511"/>
      <c r="B79" s="30" t="s">
        <v>40</v>
      </c>
      <c r="C79" s="78" t="str">
        <f>IFERROR(DTE_demand_forecast!C143*#REF!,"-")</f>
        <v>-</v>
      </c>
      <c r="D79" s="78" t="str">
        <f>IFERROR(DTE_demand_forecast!D143*#REF!,"-")</f>
        <v>-</v>
      </c>
      <c r="E79" s="78" t="str">
        <f>IFERROR(DTE_demand_forecast!E143*#REF!,"-")</f>
        <v>-</v>
      </c>
      <c r="F79" s="78" t="str">
        <f>IFERROR(DTE_demand_forecast!F143*#REF!,"-")</f>
        <v>-</v>
      </c>
      <c r="G79" s="78" t="str">
        <f>IFERROR(DTE_demand_forecast!G143*#REF!,"-")</f>
        <v>-</v>
      </c>
      <c r="H79" s="78" t="str">
        <f>IFERROR(DTE_demand_forecast!H143*#REF!,"-")</f>
        <v>-</v>
      </c>
      <c r="I79" s="78" t="str">
        <f>IFERROR(DTE_demand_forecast!I143*#REF!,"-")</f>
        <v>-</v>
      </c>
      <c r="J79" s="78" t="str">
        <f>IFERROR(DTE_demand_forecast!J143*#REF!,"-")</f>
        <v>-</v>
      </c>
      <c r="K79" s="78" t="str">
        <f>IFERROR(DTE_demand_forecast!K143*#REF!,"-")</f>
        <v>-</v>
      </c>
      <c r="L79" s="78" t="str">
        <f>IFERROR(DTE_demand_forecast!L143*#REF!,"-")</f>
        <v>-</v>
      </c>
      <c r="M79" s="78" t="str">
        <f>IFERROR(DTE_demand_forecast!M143*#REF!,"-")</f>
        <v>-</v>
      </c>
      <c r="N79" s="78" t="str">
        <f>IFERROR(DTE_demand_forecast!N143*#REF!,"-")</f>
        <v>-</v>
      </c>
      <c r="O79" s="78" t="str">
        <f>IFERROR(DTE_demand_forecast!O143*#REF!,"-")</f>
        <v>-</v>
      </c>
      <c r="P79" s="78" t="str">
        <f>IFERROR(DTE_demand_forecast!P143*#REF!,"-")</f>
        <v>-</v>
      </c>
      <c r="Q79" s="78" t="str">
        <f>IFERROR(DTE_demand_forecast!Q143*#REF!,"-")</f>
        <v>-</v>
      </c>
      <c r="R79" s="78" t="str">
        <f>IFERROR(DTE_demand_forecast!R143*#REF!,"-")</f>
        <v>-</v>
      </c>
      <c r="S79" s="78" t="str">
        <f>IFERROR(DTE_demand_forecast!S143*#REF!,"-")</f>
        <v>-</v>
      </c>
      <c r="T79" s="78" t="str">
        <f>IFERROR(DTE_demand_forecast!T143*#REF!,"-")</f>
        <v>-</v>
      </c>
      <c r="U79" s="78" t="str">
        <f>IFERROR(DTE_demand_forecast!U143*#REF!,"-")</f>
        <v>-</v>
      </c>
      <c r="V79" s="78" t="str">
        <f>IFERROR(DTE_demand_forecast!V143*#REF!,"-")</f>
        <v>-</v>
      </c>
    </row>
    <row r="80" spans="1:22" x14ac:dyDescent="0.3">
      <c r="A80" s="511"/>
      <c r="B80" s="30" t="s">
        <v>80</v>
      </c>
      <c r="C80" s="78" t="str">
        <f>IFERROR(DTE_demand_forecast!C144*#REF!,"-")</f>
        <v>-</v>
      </c>
      <c r="D80" s="78" t="str">
        <f>IFERROR(DTE_demand_forecast!D144*#REF!,"-")</f>
        <v>-</v>
      </c>
      <c r="E80" s="78" t="str">
        <f>IFERROR(DTE_demand_forecast!E144*#REF!,"-")</f>
        <v>-</v>
      </c>
      <c r="F80" s="78" t="str">
        <f>IFERROR(DTE_demand_forecast!F144*#REF!,"-")</f>
        <v>-</v>
      </c>
      <c r="G80" s="78" t="str">
        <f>IFERROR(DTE_demand_forecast!G144*#REF!,"-")</f>
        <v>-</v>
      </c>
      <c r="H80" s="78" t="str">
        <f>IFERROR(DTE_demand_forecast!H144*#REF!,"-")</f>
        <v>-</v>
      </c>
      <c r="I80" s="78" t="str">
        <f>IFERROR(DTE_demand_forecast!I144*#REF!,"-")</f>
        <v>-</v>
      </c>
      <c r="J80" s="78" t="str">
        <f>IFERROR(DTE_demand_forecast!J144*#REF!,"-")</f>
        <v>-</v>
      </c>
      <c r="K80" s="78" t="str">
        <f>IFERROR(DTE_demand_forecast!K144*#REF!,"-")</f>
        <v>-</v>
      </c>
      <c r="L80" s="78" t="str">
        <f>IFERROR(DTE_demand_forecast!L144*#REF!,"-")</f>
        <v>-</v>
      </c>
      <c r="M80" s="78" t="str">
        <f>IFERROR(DTE_demand_forecast!M144*#REF!,"-")</f>
        <v>-</v>
      </c>
      <c r="N80" s="78" t="str">
        <f>IFERROR(DTE_demand_forecast!N144*#REF!,"-")</f>
        <v>-</v>
      </c>
      <c r="O80" s="78" t="str">
        <f>IFERROR(DTE_demand_forecast!O144*#REF!,"-")</f>
        <v>-</v>
      </c>
      <c r="P80" s="78" t="str">
        <f>IFERROR(DTE_demand_forecast!P144*#REF!,"-")</f>
        <v>-</v>
      </c>
      <c r="Q80" s="78" t="str">
        <f>IFERROR(DTE_demand_forecast!Q144*#REF!,"-")</f>
        <v>-</v>
      </c>
      <c r="R80" s="78" t="str">
        <f>IFERROR(DTE_demand_forecast!R144*#REF!,"-")</f>
        <v>-</v>
      </c>
      <c r="S80" s="78" t="str">
        <f>IFERROR(DTE_demand_forecast!S144*#REF!,"-")</f>
        <v>-</v>
      </c>
      <c r="T80" s="78" t="str">
        <f>IFERROR(DTE_demand_forecast!T144*#REF!,"-")</f>
        <v>-</v>
      </c>
      <c r="U80" s="78" t="str">
        <f>IFERROR(DTE_demand_forecast!U144*#REF!,"-")</f>
        <v>-</v>
      </c>
      <c r="V80" s="78" t="str">
        <f>IFERROR(DTE_demand_forecast!V144*#REF!,"-")</f>
        <v>-</v>
      </c>
    </row>
    <row r="81" spans="1:22" x14ac:dyDescent="0.3">
      <c r="A81" s="511"/>
      <c r="B81" s="30" t="s">
        <v>44</v>
      </c>
      <c r="C81" s="78" t="str">
        <f>IFERROR(DTE_demand_forecast!C145*#REF!,"-")</f>
        <v>-</v>
      </c>
      <c r="D81" s="78" t="str">
        <f>IFERROR(DTE_demand_forecast!D145*#REF!,"-")</f>
        <v>-</v>
      </c>
      <c r="E81" s="78" t="str">
        <f>IFERROR(DTE_demand_forecast!E145*#REF!,"-")</f>
        <v>-</v>
      </c>
      <c r="F81" s="78" t="str">
        <f>IFERROR(DTE_demand_forecast!F145*#REF!,"-")</f>
        <v>-</v>
      </c>
      <c r="G81" s="78" t="str">
        <f>IFERROR(DTE_demand_forecast!G145*#REF!,"-")</f>
        <v>-</v>
      </c>
      <c r="H81" s="78" t="str">
        <f>IFERROR(DTE_demand_forecast!H145*#REF!,"-")</f>
        <v>-</v>
      </c>
      <c r="I81" s="78" t="str">
        <f>IFERROR(DTE_demand_forecast!I145*#REF!,"-")</f>
        <v>-</v>
      </c>
      <c r="J81" s="78" t="str">
        <f>IFERROR(DTE_demand_forecast!J145*#REF!,"-")</f>
        <v>-</v>
      </c>
      <c r="K81" s="78" t="str">
        <f>IFERROR(DTE_demand_forecast!K145*#REF!,"-")</f>
        <v>-</v>
      </c>
      <c r="L81" s="78" t="str">
        <f>IFERROR(DTE_demand_forecast!L145*#REF!,"-")</f>
        <v>-</v>
      </c>
      <c r="M81" s="78" t="str">
        <f>IFERROR(DTE_demand_forecast!M145*#REF!,"-")</f>
        <v>-</v>
      </c>
      <c r="N81" s="78" t="str">
        <f>IFERROR(DTE_demand_forecast!N145*#REF!,"-")</f>
        <v>-</v>
      </c>
      <c r="O81" s="78" t="str">
        <f>IFERROR(DTE_demand_forecast!O145*#REF!,"-")</f>
        <v>-</v>
      </c>
      <c r="P81" s="78" t="str">
        <f>IFERROR(DTE_demand_forecast!P145*#REF!,"-")</f>
        <v>-</v>
      </c>
      <c r="Q81" s="78" t="str">
        <f>IFERROR(DTE_demand_forecast!Q145*#REF!,"-")</f>
        <v>-</v>
      </c>
      <c r="R81" s="78" t="str">
        <f>IFERROR(DTE_demand_forecast!R145*#REF!,"-")</f>
        <v>-</v>
      </c>
      <c r="S81" s="78" t="str">
        <f>IFERROR(DTE_demand_forecast!S145*#REF!,"-")</f>
        <v>-</v>
      </c>
      <c r="T81" s="78" t="str">
        <f>IFERROR(DTE_demand_forecast!T145*#REF!,"-")</f>
        <v>-</v>
      </c>
      <c r="U81" s="78" t="str">
        <f>IFERROR(DTE_demand_forecast!U145*#REF!,"-")</f>
        <v>-</v>
      </c>
      <c r="V81" s="78" t="str">
        <f>IFERROR(DTE_demand_forecast!V145*#REF!,"-")</f>
        <v>-</v>
      </c>
    </row>
    <row r="82" spans="1:22" x14ac:dyDescent="0.3">
      <c r="A82" s="511"/>
      <c r="B82" s="30" t="s">
        <v>81</v>
      </c>
      <c r="C82" s="78" t="str">
        <f>IFERROR(DTE_demand_forecast!C146*#REF!,"-")</f>
        <v>-</v>
      </c>
      <c r="D82" s="78" t="str">
        <f>IFERROR(DTE_demand_forecast!D146*#REF!,"-")</f>
        <v>-</v>
      </c>
      <c r="E82" s="78" t="str">
        <f>IFERROR(DTE_demand_forecast!E146*#REF!,"-")</f>
        <v>-</v>
      </c>
      <c r="F82" s="78" t="str">
        <f>IFERROR(DTE_demand_forecast!F146*#REF!,"-")</f>
        <v>-</v>
      </c>
      <c r="G82" s="78" t="str">
        <f>IFERROR(DTE_demand_forecast!G146*#REF!,"-")</f>
        <v>-</v>
      </c>
      <c r="H82" s="78" t="str">
        <f>IFERROR(DTE_demand_forecast!H146*#REF!,"-")</f>
        <v>-</v>
      </c>
      <c r="I82" s="78" t="str">
        <f>IFERROR(DTE_demand_forecast!I146*#REF!,"-")</f>
        <v>-</v>
      </c>
      <c r="J82" s="78" t="str">
        <f>IFERROR(DTE_demand_forecast!J146*#REF!,"-")</f>
        <v>-</v>
      </c>
      <c r="K82" s="78" t="str">
        <f>IFERROR(DTE_demand_forecast!K146*#REF!,"-")</f>
        <v>-</v>
      </c>
      <c r="L82" s="78" t="str">
        <f>IFERROR(DTE_demand_forecast!L146*#REF!,"-")</f>
        <v>-</v>
      </c>
      <c r="M82" s="78" t="str">
        <f>IFERROR(DTE_demand_forecast!M146*#REF!,"-")</f>
        <v>-</v>
      </c>
      <c r="N82" s="78" t="str">
        <f>IFERROR(DTE_demand_forecast!N146*#REF!,"-")</f>
        <v>-</v>
      </c>
      <c r="O82" s="78" t="str">
        <f>IFERROR(DTE_demand_forecast!O146*#REF!,"-")</f>
        <v>-</v>
      </c>
      <c r="P82" s="78" t="str">
        <f>IFERROR(DTE_demand_forecast!P146*#REF!,"-")</f>
        <v>-</v>
      </c>
      <c r="Q82" s="78" t="str">
        <f>IFERROR(DTE_demand_forecast!Q146*#REF!,"-")</f>
        <v>-</v>
      </c>
      <c r="R82" s="78" t="str">
        <f>IFERROR(DTE_demand_forecast!R146*#REF!,"-")</f>
        <v>-</v>
      </c>
      <c r="S82" s="78" t="str">
        <f>IFERROR(DTE_demand_forecast!S146*#REF!,"-")</f>
        <v>-</v>
      </c>
      <c r="T82" s="78" t="str">
        <f>IFERROR(DTE_demand_forecast!T146*#REF!,"-")</f>
        <v>-</v>
      </c>
      <c r="U82" s="78" t="str">
        <f>IFERROR(DTE_demand_forecast!U146*#REF!,"-")</f>
        <v>-</v>
      </c>
      <c r="V82" s="78" t="str">
        <f>IFERROR(DTE_demand_forecast!V146*#REF!,"-")</f>
        <v>-</v>
      </c>
    </row>
    <row r="83" spans="1:22" x14ac:dyDescent="0.3">
      <c r="A83" s="511"/>
      <c r="B83" s="30" t="s">
        <v>42</v>
      </c>
      <c r="C83" s="78" t="str">
        <f>IFERROR(DTE_demand_forecast!C147*#REF!,"-")</f>
        <v>-</v>
      </c>
      <c r="D83" s="78" t="str">
        <f>IFERROR(DTE_demand_forecast!D147*#REF!,"-")</f>
        <v>-</v>
      </c>
      <c r="E83" s="78" t="str">
        <f>IFERROR(DTE_demand_forecast!E147*#REF!,"-")</f>
        <v>-</v>
      </c>
      <c r="F83" s="78" t="str">
        <f>IFERROR(DTE_demand_forecast!F147*#REF!,"-")</f>
        <v>-</v>
      </c>
      <c r="G83" s="78" t="str">
        <f>IFERROR(DTE_demand_forecast!G147*#REF!,"-")</f>
        <v>-</v>
      </c>
      <c r="H83" s="78" t="str">
        <f>IFERROR(DTE_demand_forecast!H147*#REF!,"-")</f>
        <v>-</v>
      </c>
      <c r="I83" s="78" t="str">
        <f>IFERROR(DTE_demand_forecast!I147*#REF!,"-")</f>
        <v>-</v>
      </c>
      <c r="J83" s="78" t="str">
        <f>IFERROR(DTE_demand_forecast!J147*#REF!,"-")</f>
        <v>-</v>
      </c>
      <c r="K83" s="78" t="str">
        <f>IFERROR(DTE_demand_forecast!K147*#REF!,"-")</f>
        <v>-</v>
      </c>
      <c r="L83" s="78" t="str">
        <f>IFERROR(DTE_demand_forecast!L147*#REF!,"-")</f>
        <v>-</v>
      </c>
      <c r="M83" s="78" t="str">
        <f>IFERROR(DTE_demand_forecast!M147*#REF!,"-")</f>
        <v>-</v>
      </c>
      <c r="N83" s="78" t="str">
        <f>IFERROR(DTE_demand_forecast!N147*#REF!,"-")</f>
        <v>-</v>
      </c>
      <c r="O83" s="78" t="str">
        <f>IFERROR(DTE_demand_forecast!O147*#REF!,"-")</f>
        <v>-</v>
      </c>
      <c r="P83" s="78" t="str">
        <f>IFERROR(DTE_demand_forecast!P147*#REF!,"-")</f>
        <v>-</v>
      </c>
      <c r="Q83" s="78" t="str">
        <f>IFERROR(DTE_demand_forecast!Q147*#REF!,"-")</f>
        <v>-</v>
      </c>
      <c r="R83" s="78" t="str">
        <f>IFERROR(DTE_demand_forecast!R147*#REF!,"-")</f>
        <v>-</v>
      </c>
      <c r="S83" s="78" t="str">
        <f>IFERROR(DTE_demand_forecast!S147*#REF!,"-")</f>
        <v>-</v>
      </c>
      <c r="T83" s="78" t="str">
        <f>IFERROR(DTE_demand_forecast!T147*#REF!,"-")</f>
        <v>-</v>
      </c>
      <c r="U83" s="78" t="str">
        <f>IFERROR(DTE_demand_forecast!U147*#REF!,"-")</f>
        <v>-</v>
      </c>
      <c r="V83" s="78" t="str">
        <f>IFERROR(DTE_demand_forecast!V147*#REF!,"-")</f>
        <v>-</v>
      </c>
    </row>
    <row r="84" spans="1:22" x14ac:dyDescent="0.3">
      <c r="A84" s="511"/>
      <c r="B84" s="30" t="s">
        <v>45</v>
      </c>
      <c r="C84" s="78" t="str">
        <f>IFERROR(DTE_demand_forecast!C148*#REF!,"-")</f>
        <v>-</v>
      </c>
      <c r="D84" s="78" t="str">
        <f>IFERROR(DTE_demand_forecast!D148*#REF!,"-")</f>
        <v>-</v>
      </c>
      <c r="E84" s="78" t="str">
        <f>IFERROR(DTE_demand_forecast!E148*#REF!,"-")</f>
        <v>-</v>
      </c>
      <c r="F84" s="78" t="str">
        <f>IFERROR(DTE_demand_forecast!F148*#REF!,"-")</f>
        <v>-</v>
      </c>
      <c r="G84" s="78" t="str">
        <f>IFERROR(DTE_demand_forecast!G148*#REF!,"-")</f>
        <v>-</v>
      </c>
      <c r="H84" s="78" t="str">
        <f>IFERROR(DTE_demand_forecast!H148*#REF!,"-")</f>
        <v>-</v>
      </c>
      <c r="I84" s="78" t="str">
        <f>IFERROR(DTE_demand_forecast!I148*#REF!,"-")</f>
        <v>-</v>
      </c>
      <c r="J84" s="78" t="str">
        <f>IFERROR(DTE_demand_forecast!J148*#REF!,"-")</f>
        <v>-</v>
      </c>
      <c r="K84" s="78" t="str">
        <f>IFERROR(DTE_demand_forecast!K148*#REF!,"-")</f>
        <v>-</v>
      </c>
      <c r="L84" s="78" t="str">
        <f>IFERROR(DTE_demand_forecast!L148*#REF!,"-")</f>
        <v>-</v>
      </c>
      <c r="M84" s="78" t="str">
        <f>IFERROR(DTE_demand_forecast!M148*#REF!,"-")</f>
        <v>-</v>
      </c>
      <c r="N84" s="78" t="str">
        <f>IFERROR(DTE_demand_forecast!N148*#REF!,"-")</f>
        <v>-</v>
      </c>
      <c r="O84" s="78" t="str">
        <f>IFERROR(DTE_demand_forecast!O148*#REF!,"-")</f>
        <v>-</v>
      </c>
      <c r="P84" s="78" t="str">
        <f>IFERROR(DTE_demand_forecast!P148*#REF!,"-")</f>
        <v>-</v>
      </c>
      <c r="Q84" s="78" t="str">
        <f>IFERROR(DTE_demand_forecast!Q148*#REF!,"-")</f>
        <v>-</v>
      </c>
      <c r="R84" s="78" t="str">
        <f>IFERROR(DTE_demand_forecast!R148*#REF!,"-")</f>
        <v>-</v>
      </c>
      <c r="S84" s="78" t="str">
        <f>IFERROR(DTE_demand_forecast!S148*#REF!,"-")</f>
        <v>-</v>
      </c>
      <c r="T84" s="78" t="str">
        <f>IFERROR(DTE_demand_forecast!T148*#REF!,"-")</f>
        <v>-</v>
      </c>
      <c r="U84" s="78" t="str">
        <f>IFERROR(DTE_demand_forecast!U148*#REF!,"-")</f>
        <v>-</v>
      </c>
      <c r="V84" s="78" t="str">
        <f>IFERROR(DTE_demand_forecast!V148*#REF!,"-")</f>
        <v>-</v>
      </c>
    </row>
    <row r="85" spans="1:22" x14ac:dyDescent="0.3">
      <c r="A85" s="511"/>
      <c r="B85" s="30" t="s">
        <v>84</v>
      </c>
      <c r="C85" s="124">
        <f t="shared" ref="C85:V85" si="4">SUM(C77:C84)</f>
        <v>0</v>
      </c>
      <c r="D85" s="124">
        <f t="shared" si="4"/>
        <v>0</v>
      </c>
      <c r="E85" s="124">
        <f t="shared" si="4"/>
        <v>0</v>
      </c>
      <c r="F85" s="124">
        <f t="shared" si="4"/>
        <v>0</v>
      </c>
      <c r="G85" s="124">
        <f t="shared" si="4"/>
        <v>0</v>
      </c>
      <c r="H85" s="124">
        <f t="shared" si="4"/>
        <v>0</v>
      </c>
      <c r="I85" s="124">
        <f t="shared" si="4"/>
        <v>0</v>
      </c>
      <c r="J85" s="124">
        <f t="shared" si="4"/>
        <v>0</v>
      </c>
      <c r="K85" s="124">
        <f t="shared" si="4"/>
        <v>0</v>
      </c>
      <c r="L85" s="124">
        <f t="shared" si="4"/>
        <v>0</v>
      </c>
      <c r="M85" s="124">
        <f t="shared" si="4"/>
        <v>0</v>
      </c>
      <c r="N85" s="124">
        <f t="shared" si="4"/>
        <v>0</v>
      </c>
      <c r="O85" s="124">
        <f t="shared" si="4"/>
        <v>0</v>
      </c>
      <c r="P85" s="124">
        <f t="shared" si="4"/>
        <v>0</v>
      </c>
      <c r="Q85" s="124">
        <f t="shared" si="4"/>
        <v>0</v>
      </c>
      <c r="R85" s="124">
        <f t="shared" si="4"/>
        <v>0</v>
      </c>
      <c r="S85" s="124">
        <f t="shared" si="4"/>
        <v>0</v>
      </c>
      <c r="T85" s="124">
        <f t="shared" si="4"/>
        <v>0</v>
      </c>
      <c r="U85" s="124">
        <f t="shared" si="4"/>
        <v>0</v>
      </c>
      <c r="V85" s="124">
        <f t="shared" si="4"/>
        <v>0</v>
      </c>
    </row>
    <row r="86" spans="1:22" x14ac:dyDescent="0.3">
      <c r="A86" s="511"/>
    </row>
    <row r="87" spans="1:22" x14ac:dyDescent="0.3">
      <c r="A87" s="511"/>
    </row>
    <row r="88" spans="1:22" x14ac:dyDescent="0.3">
      <c r="A88" s="511"/>
    </row>
    <row r="89" spans="1:22" x14ac:dyDescent="0.3">
      <c r="A89" s="511"/>
    </row>
    <row r="90" spans="1:22" x14ac:dyDescent="0.3">
      <c r="A90" s="511"/>
    </row>
    <row r="91" spans="1:22" x14ac:dyDescent="0.3">
      <c r="A91" s="511"/>
    </row>
    <row r="92" spans="1:22" x14ac:dyDescent="0.3">
      <c r="A92" s="511"/>
    </row>
    <row r="93" spans="1:22" x14ac:dyDescent="0.3">
      <c r="A93" s="511"/>
      <c r="B93" s="32" t="s">
        <v>151</v>
      </c>
      <c r="L93" s="18"/>
      <c r="M93" s="18"/>
    </row>
    <row r="94" spans="1:22" x14ac:dyDescent="0.3">
      <c r="A94" s="511"/>
      <c r="B94" s="75" t="s">
        <v>82</v>
      </c>
      <c r="C94" s="75">
        <v>2021</v>
      </c>
      <c r="D94" s="76">
        <v>2022</v>
      </c>
      <c r="E94" s="75">
        <v>2023</v>
      </c>
      <c r="F94" s="76">
        <v>2024</v>
      </c>
      <c r="G94" s="75">
        <v>2025</v>
      </c>
      <c r="H94" s="76">
        <v>2026</v>
      </c>
      <c r="I94" s="75">
        <v>2027</v>
      </c>
      <c r="J94" s="76">
        <v>2028</v>
      </c>
      <c r="K94" s="75">
        <v>2029</v>
      </c>
      <c r="L94" s="76">
        <v>2030</v>
      </c>
      <c r="M94" s="75">
        <v>2031</v>
      </c>
      <c r="N94" s="76">
        <v>2032</v>
      </c>
      <c r="O94" s="75">
        <v>2033</v>
      </c>
      <c r="P94" s="76">
        <v>2034</v>
      </c>
      <c r="Q94" s="75">
        <v>2035</v>
      </c>
      <c r="R94" s="76">
        <v>2036</v>
      </c>
      <c r="S94" s="75">
        <v>2037</v>
      </c>
      <c r="T94" s="76">
        <v>2038</v>
      </c>
      <c r="U94" s="75">
        <v>2039</v>
      </c>
      <c r="V94" s="76">
        <v>2040</v>
      </c>
    </row>
    <row r="95" spans="1:22" x14ac:dyDescent="0.3">
      <c r="A95" s="511"/>
      <c r="B95" s="30" t="s">
        <v>43</v>
      </c>
      <c r="C95" s="78" t="str">
        <f>IFERROR(DTE_demand_forecast!C220*#REF!,"-")</f>
        <v>-</v>
      </c>
      <c r="D95" s="78" t="str">
        <f>IFERROR(DTE_demand_forecast!D220*#REF!,"-")</f>
        <v>-</v>
      </c>
      <c r="E95" s="78" t="str">
        <f>IFERROR(DTE_demand_forecast!E220*#REF!,"-")</f>
        <v>-</v>
      </c>
      <c r="F95" s="78" t="str">
        <f>IFERROR(DTE_demand_forecast!F220*#REF!,"-")</f>
        <v>-</v>
      </c>
      <c r="G95" s="78" t="str">
        <f>IFERROR(DTE_demand_forecast!G220*#REF!,"-")</f>
        <v>-</v>
      </c>
      <c r="H95" s="78" t="str">
        <f>IFERROR(DTE_demand_forecast!H220*#REF!,"-")</f>
        <v>-</v>
      </c>
      <c r="I95" s="78" t="str">
        <f>IFERROR(DTE_demand_forecast!I220*#REF!,"-")</f>
        <v>-</v>
      </c>
      <c r="J95" s="78" t="str">
        <f>IFERROR(DTE_demand_forecast!J220*#REF!,"-")</f>
        <v>-</v>
      </c>
      <c r="K95" s="78" t="str">
        <f>IFERROR(DTE_demand_forecast!K220*#REF!,"-")</f>
        <v>-</v>
      </c>
      <c r="L95" s="78" t="str">
        <f>IFERROR(DTE_demand_forecast!L220*#REF!,"-")</f>
        <v>-</v>
      </c>
      <c r="M95" s="78" t="str">
        <f>IFERROR(DTE_demand_forecast!M220*#REF!,"-")</f>
        <v>-</v>
      </c>
      <c r="N95" s="78" t="str">
        <f>IFERROR(DTE_demand_forecast!N220*#REF!,"-")</f>
        <v>-</v>
      </c>
      <c r="O95" s="78" t="str">
        <f>IFERROR(DTE_demand_forecast!O220*#REF!,"-")</f>
        <v>-</v>
      </c>
      <c r="P95" s="78" t="str">
        <f>IFERROR(DTE_demand_forecast!P220*#REF!,"-")</f>
        <v>-</v>
      </c>
      <c r="Q95" s="78" t="str">
        <f>IFERROR(DTE_demand_forecast!Q220*#REF!,"-")</f>
        <v>-</v>
      </c>
      <c r="R95" s="78" t="str">
        <f>IFERROR(DTE_demand_forecast!R220*#REF!,"-")</f>
        <v>-</v>
      </c>
      <c r="S95" s="78" t="str">
        <f>IFERROR(DTE_demand_forecast!S220*#REF!,"-")</f>
        <v>-</v>
      </c>
      <c r="T95" s="78" t="str">
        <f>IFERROR(DTE_demand_forecast!T220*#REF!,"-")</f>
        <v>-</v>
      </c>
      <c r="U95" s="78" t="str">
        <f>IFERROR(DTE_demand_forecast!U220*#REF!,"-")</f>
        <v>-</v>
      </c>
      <c r="V95" s="78" t="str">
        <f>IFERROR(DTE_demand_forecast!V220*#REF!,"-")</f>
        <v>-</v>
      </c>
    </row>
    <row r="96" spans="1:22" x14ac:dyDescent="0.3">
      <c r="A96" s="511"/>
      <c r="B96" s="30" t="s">
        <v>41</v>
      </c>
      <c r="C96" s="78" t="str">
        <f>IFERROR(DTE_demand_forecast!C221*#REF!,"-")</f>
        <v>-</v>
      </c>
      <c r="D96" s="78" t="str">
        <f>IFERROR(DTE_demand_forecast!D221*#REF!,"-")</f>
        <v>-</v>
      </c>
      <c r="E96" s="78" t="str">
        <f>IFERROR(DTE_demand_forecast!E221*#REF!,"-")</f>
        <v>-</v>
      </c>
      <c r="F96" s="78" t="str">
        <f>IFERROR(DTE_demand_forecast!F221*#REF!,"-")</f>
        <v>-</v>
      </c>
      <c r="G96" s="78" t="str">
        <f>IFERROR(DTE_demand_forecast!G221*#REF!,"-")</f>
        <v>-</v>
      </c>
      <c r="H96" s="78" t="str">
        <f>IFERROR(DTE_demand_forecast!H221*#REF!,"-")</f>
        <v>-</v>
      </c>
      <c r="I96" s="78" t="str">
        <f>IFERROR(DTE_demand_forecast!I221*#REF!,"-")</f>
        <v>-</v>
      </c>
      <c r="J96" s="78" t="str">
        <f>IFERROR(DTE_demand_forecast!J221*#REF!,"-")</f>
        <v>-</v>
      </c>
      <c r="K96" s="78" t="str">
        <f>IFERROR(DTE_demand_forecast!K221*#REF!,"-")</f>
        <v>-</v>
      </c>
      <c r="L96" s="78" t="str">
        <f>IFERROR(DTE_demand_forecast!L221*#REF!,"-")</f>
        <v>-</v>
      </c>
      <c r="M96" s="78" t="str">
        <f>IFERROR(DTE_demand_forecast!M221*#REF!,"-")</f>
        <v>-</v>
      </c>
      <c r="N96" s="78" t="str">
        <f>IFERROR(DTE_demand_forecast!N221*#REF!,"-")</f>
        <v>-</v>
      </c>
      <c r="O96" s="78" t="str">
        <f>IFERROR(DTE_demand_forecast!O221*#REF!,"-")</f>
        <v>-</v>
      </c>
      <c r="P96" s="78" t="str">
        <f>IFERROR(DTE_demand_forecast!P221*#REF!,"-")</f>
        <v>-</v>
      </c>
      <c r="Q96" s="78" t="str">
        <f>IFERROR(DTE_demand_forecast!Q221*#REF!,"-")</f>
        <v>-</v>
      </c>
      <c r="R96" s="78" t="str">
        <f>IFERROR(DTE_demand_forecast!R221*#REF!,"-")</f>
        <v>-</v>
      </c>
      <c r="S96" s="78" t="str">
        <f>IFERROR(DTE_demand_forecast!S221*#REF!,"-")</f>
        <v>-</v>
      </c>
      <c r="T96" s="78" t="str">
        <f>IFERROR(DTE_demand_forecast!T221*#REF!,"-")</f>
        <v>-</v>
      </c>
      <c r="U96" s="78" t="str">
        <f>IFERROR(DTE_demand_forecast!U221*#REF!,"-")</f>
        <v>-</v>
      </c>
      <c r="V96" s="78" t="str">
        <f>IFERROR(DTE_demand_forecast!V221*#REF!,"-")</f>
        <v>-</v>
      </c>
    </row>
    <row r="97" spans="1:22" x14ac:dyDescent="0.3">
      <c r="A97" s="511"/>
      <c r="B97" s="30" t="s">
        <v>40</v>
      </c>
      <c r="C97" s="78" t="str">
        <f>IFERROR(DTE_demand_forecast!C222*#REF!,"-")</f>
        <v>-</v>
      </c>
      <c r="D97" s="78" t="str">
        <f>IFERROR(DTE_demand_forecast!D222*#REF!,"-")</f>
        <v>-</v>
      </c>
      <c r="E97" s="78" t="str">
        <f>IFERROR(DTE_demand_forecast!E222*#REF!,"-")</f>
        <v>-</v>
      </c>
      <c r="F97" s="78" t="str">
        <f>IFERROR(DTE_demand_forecast!F222*#REF!,"-")</f>
        <v>-</v>
      </c>
      <c r="G97" s="78" t="str">
        <f>IFERROR(DTE_demand_forecast!G222*#REF!,"-")</f>
        <v>-</v>
      </c>
      <c r="H97" s="78" t="str">
        <f>IFERROR(DTE_demand_forecast!H222*#REF!,"-")</f>
        <v>-</v>
      </c>
      <c r="I97" s="78" t="str">
        <f>IFERROR(DTE_demand_forecast!I222*#REF!,"-")</f>
        <v>-</v>
      </c>
      <c r="J97" s="78" t="str">
        <f>IFERROR(DTE_demand_forecast!J222*#REF!,"-")</f>
        <v>-</v>
      </c>
      <c r="K97" s="78" t="str">
        <f>IFERROR(DTE_demand_forecast!K222*#REF!,"-")</f>
        <v>-</v>
      </c>
      <c r="L97" s="78" t="str">
        <f>IFERROR(DTE_demand_forecast!L222*#REF!,"-")</f>
        <v>-</v>
      </c>
      <c r="M97" s="78" t="str">
        <f>IFERROR(DTE_demand_forecast!M222*#REF!,"-")</f>
        <v>-</v>
      </c>
      <c r="N97" s="78" t="str">
        <f>IFERROR(DTE_demand_forecast!N222*#REF!,"-")</f>
        <v>-</v>
      </c>
      <c r="O97" s="78" t="str">
        <f>IFERROR(DTE_demand_forecast!O222*#REF!,"-")</f>
        <v>-</v>
      </c>
      <c r="P97" s="78" t="str">
        <f>IFERROR(DTE_demand_forecast!P222*#REF!,"-")</f>
        <v>-</v>
      </c>
      <c r="Q97" s="78" t="str">
        <f>IFERROR(DTE_demand_forecast!Q222*#REF!,"-")</f>
        <v>-</v>
      </c>
      <c r="R97" s="78" t="str">
        <f>IFERROR(DTE_demand_forecast!R222*#REF!,"-")</f>
        <v>-</v>
      </c>
      <c r="S97" s="78" t="str">
        <f>IFERROR(DTE_demand_forecast!S222*#REF!,"-")</f>
        <v>-</v>
      </c>
      <c r="T97" s="78" t="str">
        <f>IFERROR(DTE_demand_forecast!T222*#REF!,"-")</f>
        <v>-</v>
      </c>
      <c r="U97" s="78" t="str">
        <f>IFERROR(DTE_demand_forecast!U222*#REF!,"-")</f>
        <v>-</v>
      </c>
      <c r="V97" s="78" t="str">
        <f>IFERROR(DTE_demand_forecast!V222*#REF!,"-")</f>
        <v>-</v>
      </c>
    </row>
    <row r="98" spans="1:22" x14ac:dyDescent="0.3">
      <c r="A98" s="511"/>
      <c r="B98" s="30" t="s">
        <v>80</v>
      </c>
      <c r="C98" s="78" t="str">
        <f>IFERROR(DTE_demand_forecast!C223*#REF!,"-")</f>
        <v>-</v>
      </c>
      <c r="D98" s="78" t="str">
        <f>IFERROR(DTE_demand_forecast!D223*#REF!,"-")</f>
        <v>-</v>
      </c>
      <c r="E98" s="78" t="str">
        <f>IFERROR(DTE_demand_forecast!E223*#REF!,"-")</f>
        <v>-</v>
      </c>
      <c r="F98" s="78" t="str">
        <f>IFERROR(DTE_demand_forecast!F223*#REF!,"-")</f>
        <v>-</v>
      </c>
      <c r="G98" s="78" t="str">
        <f>IFERROR(DTE_demand_forecast!G223*#REF!,"-")</f>
        <v>-</v>
      </c>
      <c r="H98" s="78" t="str">
        <f>IFERROR(DTE_demand_forecast!H223*#REF!,"-")</f>
        <v>-</v>
      </c>
      <c r="I98" s="78" t="str">
        <f>IFERROR(DTE_demand_forecast!I223*#REF!,"-")</f>
        <v>-</v>
      </c>
      <c r="J98" s="78" t="str">
        <f>IFERROR(DTE_demand_forecast!J223*#REF!,"-")</f>
        <v>-</v>
      </c>
      <c r="K98" s="78" t="str">
        <f>IFERROR(DTE_demand_forecast!K223*#REF!,"-")</f>
        <v>-</v>
      </c>
      <c r="L98" s="78" t="str">
        <f>IFERROR(DTE_demand_forecast!L223*#REF!,"-")</f>
        <v>-</v>
      </c>
      <c r="M98" s="78" t="str">
        <f>IFERROR(DTE_demand_forecast!M223*#REF!,"-")</f>
        <v>-</v>
      </c>
      <c r="N98" s="78" t="str">
        <f>IFERROR(DTE_demand_forecast!N223*#REF!,"-")</f>
        <v>-</v>
      </c>
      <c r="O98" s="78" t="str">
        <f>IFERROR(DTE_demand_forecast!O223*#REF!,"-")</f>
        <v>-</v>
      </c>
      <c r="P98" s="78" t="str">
        <f>IFERROR(DTE_demand_forecast!P223*#REF!,"-")</f>
        <v>-</v>
      </c>
      <c r="Q98" s="78" t="str">
        <f>IFERROR(DTE_demand_forecast!Q223*#REF!,"-")</f>
        <v>-</v>
      </c>
      <c r="R98" s="78" t="str">
        <f>IFERROR(DTE_demand_forecast!R223*#REF!,"-")</f>
        <v>-</v>
      </c>
      <c r="S98" s="78" t="str">
        <f>IFERROR(DTE_demand_forecast!S223*#REF!,"-")</f>
        <v>-</v>
      </c>
      <c r="T98" s="78" t="str">
        <f>IFERROR(DTE_demand_forecast!T223*#REF!,"-")</f>
        <v>-</v>
      </c>
      <c r="U98" s="78" t="str">
        <f>IFERROR(DTE_demand_forecast!U223*#REF!,"-")</f>
        <v>-</v>
      </c>
      <c r="V98" s="78" t="str">
        <f>IFERROR(DTE_demand_forecast!V223*#REF!,"-")</f>
        <v>-</v>
      </c>
    </row>
    <row r="99" spans="1:22" x14ac:dyDescent="0.3">
      <c r="A99" s="511"/>
      <c r="B99" s="30" t="s">
        <v>44</v>
      </c>
      <c r="C99" s="78" t="str">
        <f>IFERROR(DTE_demand_forecast!C224*#REF!,"-")</f>
        <v>-</v>
      </c>
      <c r="D99" s="78" t="str">
        <f>IFERROR(DTE_demand_forecast!D224*#REF!,"-")</f>
        <v>-</v>
      </c>
      <c r="E99" s="78" t="str">
        <f>IFERROR(DTE_demand_forecast!E224*#REF!,"-")</f>
        <v>-</v>
      </c>
      <c r="F99" s="78" t="str">
        <f>IFERROR(DTE_demand_forecast!F224*#REF!,"-")</f>
        <v>-</v>
      </c>
      <c r="G99" s="78" t="str">
        <f>IFERROR(DTE_demand_forecast!G224*#REF!,"-")</f>
        <v>-</v>
      </c>
      <c r="H99" s="78" t="str">
        <f>IFERROR(DTE_demand_forecast!H224*#REF!,"-")</f>
        <v>-</v>
      </c>
      <c r="I99" s="78" t="str">
        <f>IFERROR(DTE_demand_forecast!I224*#REF!,"-")</f>
        <v>-</v>
      </c>
      <c r="J99" s="78" t="str">
        <f>IFERROR(DTE_demand_forecast!J224*#REF!,"-")</f>
        <v>-</v>
      </c>
      <c r="K99" s="78" t="str">
        <f>IFERROR(DTE_demand_forecast!K224*#REF!,"-")</f>
        <v>-</v>
      </c>
      <c r="L99" s="78" t="str">
        <f>IFERROR(DTE_demand_forecast!L224*#REF!,"-")</f>
        <v>-</v>
      </c>
      <c r="M99" s="78" t="str">
        <f>IFERROR(DTE_demand_forecast!M224*#REF!,"-")</f>
        <v>-</v>
      </c>
      <c r="N99" s="78" t="str">
        <f>IFERROR(DTE_demand_forecast!N224*#REF!,"-")</f>
        <v>-</v>
      </c>
      <c r="O99" s="78" t="str">
        <f>IFERROR(DTE_demand_forecast!O224*#REF!,"-")</f>
        <v>-</v>
      </c>
      <c r="P99" s="78" t="str">
        <f>IFERROR(DTE_demand_forecast!P224*#REF!,"-")</f>
        <v>-</v>
      </c>
      <c r="Q99" s="78" t="str">
        <f>IFERROR(DTE_demand_forecast!Q224*#REF!,"-")</f>
        <v>-</v>
      </c>
      <c r="R99" s="78" t="str">
        <f>IFERROR(DTE_demand_forecast!R224*#REF!,"-")</f>
        <v>-</v>
      </c>
      <c r="S99" s="78" t="str">
        <f>IFERROR(DTE_demand_forecast!S224*#REF!,"-")</f>
        <v>-</v>
      </c>
      <c r="T99" s="78" t="str">
        <f>IFERROR(DTE_demand_forecast!T224*#REF!,"-")</f>
        <v>-</v>
      </c>
      <c r="U99" s="78" t="str">
        <f>IFERROR(DTE_demand_forecast!U224*#REF!,"-")</f>
        <v>-</v>
      </c>
      <c r="V99" s="78" t="str">
        <f>IFERROR(DTE_demand_forecast!V224*#REF!,"-")</f>
        <v>-</v>
      </c>
    </row>
    <row r="100" spans="1:22" x14ac:dyDescent="0.3">
      <c r="A100" s="511"/>
      <c r="B100" s="30" t="s">
        <v>81</v>
      </c>
      <c r="C100" s="78" t="str">
        <f>IFERROR(DTE_demand_forecast!C225*#REF!,"-")</f>
        <v>-</v>
      </c>
      <c r="D100" s="78" t="str">
        <f>IFERROR(DTE_demand_forecast!D225*#REF!,"-")</f>
        <v>-</v>
      </c>
      <c r="E100" s="78" t="str">
        <f>IFERROR(DTE_demand_forecast!E225*#REF!,"-")</f>
        <v>-</v>
      </c>
      <c r="F100" s="78" t="str">
        <f>IFERROR(DTE_demand_forecast!F225*#REF!,"-")</f>
        <v>-</v>
      </c>
      <c r="G100" s="78" t="str">
        <f>IFERROR(DTE_demand_forecast!G225*#REF!,"-")</f>
        <v>-</v>
      </c>
      <c r="H100" s="78" t="str">
        <f>IFERROR(DTE_demand_forecast!H225*#REF!,"-")</f>
        <v>-</v>
      </c>
      <c r="I100" s="78" t="str">
        <f>IFERROR(DTE_demand_forecast!I225*#REF!,"-")</f>
        <v>-</v>
      </c>
      <c r="J100" s="78" t="str">
        <f>IFERROR(DTE_demand_forecast!J225*#REF!,"-")</f>
        <v>-</v>
      </c>
      <c r="K100" s="78" t="str">
        <f>IFERROR(DTE_demand_forecast!K225*#REF!,"-")</f>
        <v>-</v>
      </c>
      <c r="L100" s="78" t="str">
        <f>IFERROR(DTE_demand_forecast!L225*#REF!,"-")</f>
        <v>-</v>
      </c>
      <c r="M100" s="78" t="str">
        <f>IFERROR(DTE_demand_forecast!M225*#REF!,"-")</f>
        <v>-</v>
      </c>
      <c r="N100" s="78" t="str">
        <f>IFERROR(DTE_demand_forecast!N225*#REF!,"-")</f>
        <v>-</v>
      </c>
      <c r="O100" s="78" t="str">
        <f>IFERROR(DTE_demand_forecast!O225*#REF!,"-")</f>
        <v>-</v>
      </c>
      <c r="P100" s="78" t="str">
        <f>IFERROR(DTE_demand_forecast!P225*#REF!,"-")</f>
        <v>-</v>
      </c>
      <c r="Q100" s="78" t="str">
        <f>IFERROR(DTE_demand_forecast!Q225*#REF!,"-")</f>
        <v>-</v>
      </c>
      <c r="R100" s="78" t="str">
        <f>IFERROR(DTE_demand_forecast!R225*#REF!,"-")</f>
        <v>-</v>
      </c>
      <c r="S100" s="78" t="str">
        <f>IFERROR(DTE_demand_forecast!S225*#REF!,"-")</f>
        <v>-</v>
      </c>
      <c r="T100" s="78" t="str">
        <f>IFERROR(DTE_demand_forecast!T225*#REF!,"-")</f>
        <v>-</v>
      </c>
      <c r="U100" s="78" t="str">
        <f>IFERROR(DTE_demand_forecast!U225*#REF!,"-")</f>
        <v>-</v>
      </c>
      <c r="V100" s="78" t="str">
        <f>IFERROR(DTE_demand_forecast!V225*#REF!,"-")</f>
        <v>-</v>
      </c>
    </row>
    <row r="101" spans="1:22" x14ac:dyDescent="0.3">
      <c r="A101" s="511"/>
      <c r="B101" s="30" t="s">
        <v>42</v>
      </c>
      <c r="C101" s="78" t="str">
        <f>IFERROR(DTE_demand_forecast!C226*#REF!,"-")</f>
        <v>-</v>
      </c>
      <c r="D101" s="78" t="str">
        <f>IFERROR(DTE_demand_forecast!D226*#REF!,"-")</f>
        <v>-</v>
      </c>
      <c r="E101" s="78" t="str">
        <f>IFERROR(DTE_demand_forecast!E226*#REF!,"-")</f>
        <v>-</v>
      </c>
      <c r="F101" s="78" t="str">
        <f>IFERROR(DTE_demand_forecast!F226*#REF!,"-")</f>
        <v>-</v>
      </c>
      <c r="G101" s="78" t="str">
        <f>IFERROR(DTE_demand_forecast!G226*#REF!,"-")</f>
        <v>-</v>
      </c>
      <c r="H101" s="78" t="str">
        <f>IFERROR(DTE_demand_forecast!H226*#REF!,"-")</f>
        <v>-</v>
      </c>
      <c r="I101" s="78" t="str">
        <f>IFERROR(DTE_demand_forecast!I226*#REF!,"-")</f>
        <v>-</v>
      </c>
      <c r="J101" s="78" t="str">
        <f>IFERROR(DTE_demand_forecast!J226*#REF!,"-")</f>
        <v>-</v>
      </c>
      <c r="K101" s="78" t="str">
        <f>IFERROR(DTE_demand_forecast!K226*#REF!,"-")</f>
        <v>-</v>
      </c>
      <c r="L101" s="78" t="str">
        <f>IFERROR(DTE_demand_forecast!L226*#REF!,"-")</f>
        <v>-</v>
      </c>
      <c r="M101" s="78" t="str">
        <f>IFERROR(DTE_demand_forecast!M226*#REF!,"-")</f>
        <v>-</v>
      </c>
      <c r="N101" s="78" t="str">
        <f>IFERROR(DTE_demand_forecast!N226*#REF!,"-")</f>
        <v>-</v>
      </c>
      <c r="O101" s="78" t="str">
        <f>IFERROR(DTE_demand_forecast!O226*#REF!,"-")</f>
        <v>-</v>
      </c>
      <c r="P101" s="78" t="str">
        <f>IFERROR(DTE_demand_forecast!P226*#REF!,"-")</f>
        <v>-</v>
      </c>
      <c r="Q101" s="78" t="str">
        <f>IFERROR(DTE_demand_forecast!Q226*#REF!,"-")</f>
        <v>-</v>
      </c>
      <c r="R101" s="78" t="str">
        <f>IFERROR(DTE_demand_forecast!R226*#REF!,"-")</f>
        <v>-</v>
      </c>
      <c r="S101" s="78" t="str">
        <f>IFERROR(DTE_demand_forecast!S226*#REF!,"-")</f>
        <v>-</v>
      </c>
      <c r="T101" s="78" t="str">
        <f>IFERROR(DTE_demand_forecast!T226*#REF!,"-")</f>
        <v>-</v>
      </c>
      <c r="U101" s="78" t="str">
        <f>IFERROR(DTE_demand_forecast!U226*#REF!,"-")</f>
        <v>-</v>
      </c>
      <c r="V101" s="78" t="str">
        <f>IFERROR(DTE_demand_forecast!V226*#REF!,"-")</f>
        <v>-</v>
      </c>
    </row>
    <row r="102" spans="1:22" x14ac:dyDescent="0.3">
      <c r="A102" s="511"/>
      <c r="B102" s="30" t="s">
        <v>45</v>
      </c>
      <c r="C102" s="78" t="str">
        <f>IFERROR(DTE_demand_forecast!C227*#REF!,"-")</f>
        <v>-</v>
      </c>
      <c r="D102" s="78" t="str">
        <f>IFERROR(DTE_demand_forecast!D227*#REF!,"-")</f>
        <v>-</v>
      </c>
      <c r="E102" s="78" t="str">
        <f>IFERROR(DTE_demand_forecast!E227*#REF!,"-")</f>
        <v>-</v>
      </c>
      <c r="F102" s="78" t="str">
        <f>IFERROR(DTE_demand_forecast!F227*#REF!,"-")</f>
        <v>-</v>
      </c>
      <c r="G102" s="78" t="str">
        <f>IFERROR(DTE_demand_forecast!G227*#REF!,"-")</f>
        <v>-</v>
      </c>
      <c r="H102" s="78" t="str">
        <f>IFERROR(DTE_demand_forecast!H227*#REF!,"-")</f>
        <v>-</v>
      </c>
      <c r="I102" s="78" t="str">
        <f>IFERROR(DTE_demand_forecast!I227*#REF!,"-")</f>
        <v>-</v>
      </c>
      <c r="J102" s="78" t="str">
        <f>IFERROR(DTE_demand_forecast!J227*#REF!,"-")</f>
        <v>-</v>
      </c>
      <c r="K102" s="78" t="str">
        <f>IFERROR(DTE_demand_forecast!K227*#REF!,"-")</f>
        <v>-</v>
      </c>
      <c r="L102" s="78" t="str">
        <f>IFERROR(DTE_demand_forecast!L227*#REF!,"-")</f>
        <v>-</v>
      </c>
      <c r="M102" s="78" t="str">
        <f>IFERROR(DTE_demand_forecast!M227*#REF!,"-")</f>
        <v>-</v>
      </c>
      <c r="N102" s="78" t="str">
        <f>IFERROR(DTE_demand_forecast!N227*#REF!,"-")</f>
        <v>-</v>
      </c>
      <c r="O102" s="78" t="str">
        <f>IFERROR(DTE_demand_forecast!O227*#REF!,"-")</f>
        <v>-</v>
      </c>
      <c r="P102" s="78" t="str">
        <f>IFERROR(DTE_demand_forecast!P227*#REF!,"-")</f>
        <v>-</v>
      </c>
      <c r="Q102" s="78" t="str">
        <f>IFERROR(DTE_demand_forecast!Q227*#REF!,"-")</f>
        <v>-</v>
      </c>
      <c r="R102" s="78" t="str">
        <f>IFERROR(DTE_demand_forecast!R227*#REF!,"-")</f>
        <v>-</v>
      </c>
      <c r="S102" s="78" t="str">
        <f>IFERROR(DTE_demand_forecast!S227*#REF!,"-")</f>
        <v>-</v>
      </c>
      <c r="T102" s="78" t="str">
        <f>IFERROR(DTE_demand_forecast!T227*#REF!,"-")</f>
        <v>-</v>
      </c>
      <c r="U102" s="78" t="str">
        <f>IFERROR(DTE_demand_forecast!U227*#REF!,"-")</f>
        <v>-</v>
      </c>
      <c r="V102" s="78" t="str">
        <f>IFERROR(DTE_demand_forecast!V227*#REF!,"-")</f>
        <v>-</v>
      </c>
    </row>
    <row r="103" spans="1:22" x14ac:dyDescent="0.3">
      <c r="A103" s="511"/>
      <c r="B103" s="30" t="s">
        <v>84</v>
      </c>
      <c r="C103" s="124">
        <f t="shared" ref="C103:V103" si="5">SUM(C95:C102)</f>
        <v>0</v>
      </c>
      <c r="D103" s="124">
        <f t="shared" si="5"/>
        <v>0</v>
      </c>
      <c r="E103" s="124">
        <f t="shared" si="5"/>
        <v>0</v>
      </c>
      <c r="F103" s="124">
        <f t="shared" si="5"/>
        <v>0</v>
      </c>
      <c r="G103" s="124">
        <f t="shared" si="5"/>
        <v>0</v>
      </c>
      <c r="H103" s="124">
        <f t="shared" si="5"/>
        <v>0</v>
      </c>
      <c r="I103" s="124">
        <f t="shared" si="5"/>
        <v>0</v>
      </c>
      <c r="J103" s="124">
        <f t="shared" si="5"/>
        <v>0</v>
      </c>
      <c r="K103" s="124">
        <f t="shared" si="5"/>
        <v>0</v>
      </c>
      <c r="L103" s="124">
        <f t="shared" si="5"/>
        <v>0</v>
      </c>
      <c r="M103" s="124">
        <f t="shared" si="5"/>
        <v>0</v>
      </c>
      <c r="N103" s="124">
        <f t="shared" si="5"/>
        <v>0</v>
      </c>
      <c r="O103" s="124">
        <f t="shared" si="5"/>
        <v>0</v>
      </c>
      <c r="P103" s="124">
        <f t="shared" si="5"/>
        <v>0</v>
      </c>
      <c r="Q103" s="124">
        <f t="shared" si="5"/>
        <v>0</v>
      </c>
      <c r="R103" s="124">
        <f t="shared" si="5"/>
        <v>0</v>
      </c>
      <c r="S103" s="124">
        <f t="shared" si="5"/>
        <v>0</v>
      </c>
      <c r="T103" s="124">
        <f t="shared" si="5"/>
        <v>0</v>
      </c>
      <c r="U103" s="124">
        <f t="shared" si="5"/>
        <v>0</v>
      </c>
      <c r="V103" s="124">
        <f t="shared" si="5"/>
        <v>0</v>
      </c>
    </row>
    <row r="104" spans="1:22" x14ac:dyDescent="0.3">
      <c r="A104" s="511"/>
    </row>
    <row r="105" spans="1:22" x14ac:dyDescent="0.3">
      <c r="A105" s="511"/>
    </row>
    <row r="106" spans="1:22" x14ac:dyDescent="0.3">
      <c r="A106" s="511"/>
    </row>
    <row r="107" spans="1:22" x14ac:dyDescent="0.3">
      <c r="A107" s="511"/>
    </row>
    <row r="108" spans="1:22" x14ac:dyDescent="0.3">
      <c r="A108" s="511"/>
    </row>
    <row r="109" spans="1:22" x14ac:dyDescent="0.3">
      <c r="A109" s="511"/>
    </row>
    <row r="110" spans="1:22" x14ac:dyDescent="0.3">
      <c r="A110" s="511"/>
    </row>
    <row r="111" spans="1:22" x14ac:dyDescent="0.3">
      <c r="A111" s="511"/>
    </row>
    <row r="112" spans="1:22" x14ac:dyDescent="0.3">
      <c r="A112" s="511"/>
    </row>
    <row r="113" spans="1:22" x14ac:dyDescent="0.3">
      <c r="A113" s="510">
        <v>0.6</v>
      </c>
      <c r="B113" s="32" t="s">
        <v>149</v>
      </c>
      <c r="L113" s="18"/>
      <c r="M113" s="18"/>
    </row>
    <row r="114" spans="1:22" x14ac:dyDescent="0.3">
      <c r="A114" s="511"/>
      <c r="B114" s="75" t="s">
        <v>82</v>
      </c>
      <c r="C114" s="75">
        <v>2021</v>
      </c>
      <c r="D114" s="76">
        <v>2022</v>
      </c>
      <c r="E114" s="75">
        <v>2023</v>
      </c>
      <c r="F114" s="76">
        <v>2024</v>
      </c>
      <c r="G114" s="75">
        <v>2025</v>
      </c>
      <c r="H114" s="76">
        <v>2026</v>
      </c>
      <c r="I114" s="75">
        <v>2027</v>
      </c>
      <c r="J114" s="76">
        <v>2028</v>
      </c>
      <c r="K114" s="75">
        <v>2029</v>
      </c>
      <c r="L114" s="76">
        <v>2030</v>
      </c>
      <c r="M114" s="75">
        <v>2031</v>
      </c>
      <c r="N114" s="76">
        <v>2032</v>
      </c>
      <c r="O114" s="75">
        <v>2033</v>
      </c>
      <c r="P114" s="76">
        <v>2034</v>
      </c>
      <c r="Q114" s="75">
        <v>2035</v>
      </c>
      <c r="R114" s="76">
        <v>2036</v>
      </c>
      <c r="S114" s="75">
        <v>2037</v>
      </c>
      <c r="T114" s="76">
        <v>2038</v>
      </c>
      <c r="U114" s="75">
        <v>2039</v>
      </c>
      <c r="V114" s="76">
        <v>2040</v>
      </c>
    </row>
    <row r="115" spans="1:22" x14ac:dyDescent="0.3">
      <c r="A115" s="511"/>
      <c r="B115" s="30" t="s">
        <v>43</v>
      </c>
      <c r="C115" s="78" t="str">
        <f>IFERROR(DTE_demand_forecast!C62*#REF!,"-")</f>
        <v>-</v>
      </c>
      <c r="D115" s="78" t="str">
        <f>IFERROR(DTE_demand_forecast!D62*#REF!,"-")</f>
        <v>-</v>
      </c>
      <c r="E115" s="78" t="str">
        <f>IFERROR(DTE_demand_forecast!E62*#REF!,"-")</f>
        <v>-</v>
      </c>
      <c r="F115" s="78" t="str">
        <f>IFERROR(DTE_demand_forecast!F62*#REF!,"-")</f>
        <v>-</v>
      </c>
      <c r="G115" s="78" t="str">
        <f>IFERROR(DTE_demand_forecast!G62*#REF!,"-")</f>
        <v>-</v>
      </c>
      <c r="H115" s="78" t="str">
        <f>IFERROR(DTE_demand_forecast!H62*#REF!,"-")</f>
        <v>-</v>
      </c>
      <c r="I115" s="78" t="str">
        <f>IFERROR(DTE_demand_forecast!I62*#REF!,"-")</f>
        <v>-</v>
      </c>
      <c r="J115" s="78" t="str">
        <f>IFERROR(DTE_demand_forecast!J62*#REF!,"-")</f>
        <v>-</v>
      </c>
      <c r="K115" s="78" t="str">
        <f>IFERROR(DTE_demand_forecast!K62*#REF!,"-")</f>
        <v>-</v>
      </c>
      <c r="L115" s="78" t="str">
        <f>IFERROR(DTE_demand_forecast!L62*#REF!,"-")</f>
        <v>-</v>
      </c>
      <c r="M115" s="78" t="str">
        <f>IFERROR(DTE_demand_forecast!M62*#REF!,"-")</f>
        <v>-</v>
      </c>
      <c r="N115" s="78" t="str">
        <f>IFERROR(DTE_demand_forecast!N62*#REF!,"-")</f>
        <v>-</v>
      </c>
      <c r="O115" s="78" t="str">
        <f>IFERROR(DTE_demand_forecast!O62*#REF!,"-")</f>
        <v>-</v>
      </c>
      <c r="P115" s="78" t="str">
        <f>IFERROR(DTE_demand_forecast!P62*#REF!,"-")</f>
        <v>-</v>
      </c>
      <c r="Q115" s="78" t="str">
        <f>IFERROR(DTE_demand_forecast!Q62*#REF!,"-")</f>
        <v>-</v>
      </c>
      <c r="R115" s="78" t="str">
        <f>IFERROR(DTE_demand_forecast!R62*#REF!,"-")</f>
        <v>-</v>
      </c>
      <c r="S115" s="78" t="str">
        <f>IFERROR(DTE_demand_forecast!S62*#REF!,"-")</f>
        <v>-</v>
      </c>
      <c r="T115" s="78" t="str">
        <f>IFERROR(DTE_demand_forecast!T62*#REF!,"-")</f>
        <v>-</v>
      </c>
      <c r="U115" s="78" t="str">
        <f>IFERROR(DTE_demand_forecast!U62*#REF!,"-")</f>
        <v>-</v>
      </c>
      <c r="V115" s="78" t="str">
        <f>IFERROR(DTE_demand_forecast!V62*#REF!,"-")</f>
        <v>-</v>
      </c>
    </row>
    <row r="116" spans="1:22" x14ac:dyDescent="0.3">
      <c r="A116" s="511"/>
      <c r="B116" s="30" t="s">
        <v>41</v>
      </c>
      <c r="C116" s="78" t="str">
        <f>IFERROR(DTE_demand_forecast!C63*#REF!,"-")</f>
        <v>-</v>
      </c>
      <c r="D116" s="78" t="str">
        <f>IFERROR(DTE_demand_forecast!D63*#REF!,"-")</f>
        <v>-</v>
      </c>
      <c r="E116" s="78" t="str">
        <f>IFERROR(DTE_demand_forecast!E63*#REF!,"-")</f>
        <v>-</v>
      </c>
      <c r="F116" s="78" t="str">
        <f>IFERROR(DTE_demand_forecast!F63*#REF!,"-")</f>
        <v>-</v>
      </c>
      <c r="G116" s="78" t="str">
        <f>IFERROR(DTE_demand_forecast!G63*#REF!,"-")</f>
        <v>-</v>
      </c>
      <c r="H116" s="78" t="str">
        <f>IFERROR(DTE_demand_forecast!H63*#REF!,"-")</f>
        <v>-</v>
      </c>
      <c r="I116" s="78" t="str">
        <f>IFERROR(DTE_demand_forecast!I63*#REF!,"-")</f>
        <v>-</v>
      </c>
      <c r="J116" s="78" t="str">
        <f>IFERROR(DTE_demand_forecast!J63*#REF!,"-")</f>
        <v>-</v>
      </c>
      <c r="K116" s="78" t="str">
        <f>IFERROR(DTE_demand_forecast!K63*#REF!,"-")</f>
        <v>-</v>
      </c>
      <c r="L116" s="78" t="str">
        <f>IFERROR(DTE_demand_forecast!L63*#REF!,"-")</f>
        <v>-</v>
      </c>
      <c r="M116" s="78" t="str">
        <f>IFERROR(DTE_demand_forecast!M63*#REF!,"-")</f>
        <v>-</v>
      </c>
      <c r="N116" s="78" t="str">
        <f>IFERROR(DTE_demand_forecast!N63*#REF!,"-")</f>
        <v>-</v>
      </c>
      <c r="O116" s="78" t="str">
        <f>IFERROR(DTE_demand_forecast!O63*#REF!,"-")</f>
        <v>-</v>
      </c>
      <c r="P116" s="78" t="str">
        <f>IFERROR(DTE_demand_forecast!P63*#REF!,"-")</f>
        <v>-</v>
      </c>
      <c r="Q116" s="78" t="str">
        <f>IFERROR(DTE_demand_forecast!Q63*#REF!,"-")</f>
        <v>-</v>
      </c>
      <c r="R116" s="78" t="str">
        <f>IFERROR(DTE_demand_forecast!R63*#REF!,"-")</f>
        <v>-</v>
      </c>
      <c r="S116" s="78" t="str">
        <f>IFERROR(DTE_demand_forecast!S63*#REF!,"-")</f>
        <v>-</v>
      </c>
      <c r="T116" s="78" t="str">
        <f>IFERROR(DTE_demand_forecast!T63*#REF!,"-")</f>
        <v>-</v>
      </c>
      <c r="U116" s="78" t="str">
        <f>IFERROR(DTE_demand_forecast!U63*#REF!,"-")</f>
        <v>-</v>
      </c>
      <c r="V116" s="78" t="str">
        <f>IFERROR(DTE_demand_forecast!V63*#REF!,"-")</f>
        <v>-</v>
      </c>
    </row>
    <row r="117" spans="1:22" x14ac:dyDescent="0.3">
      <c r="A117" s="511"/>
      <c r="B117" s="30" t="s">
        <v>40</v>
      </c>
      <c r="C117" s="78" t="str">
        <f>IFERROR(DTE_demand_forecast!C64*#REF!,"-")</f>
        <v>-</v>
      </c>
      <c r="D117" s="78" t="str">
        <f>IFERROR(DTE_demand_forecast!D64*#REF!,"-")</f>
        <v>-</v>
      </c>
      <c r="E117" s="78" t="str">
        <f>IFERROR(DTE_demand_forecast!E64*#REF!,"-")</f>
        <v>-</v>
      </c>
      <c r="F117" s="78" t="str">
        <f>IFERROR(DTE_demand_forecast!F64*#REF!,"-")</f>
        <v>-</v>
      </c>
      <c r="G117" s="78" t="str">
        <f>IFERROR(DTE_demand_forecast!G64*#REF!,"-")</f>
        <v>-</v>
      </c>
      <c r="H117" s="78" t="str">
        <f>IFERROR(DTE_demand_forecast!H64*#REF!,"-")</f>
        <v>-</v>
      </c>
      <c r="I117" s="78" t="str">
        <f>IFERROR(DTE_demand_forecast!I64*#REF!,"-")</f>
        <v>-</v>
      </c>
      <c r="J117" s="78" t="str">
        <f>IFERROR(DTE_demand_forecast!J64*#REF!,"-")</f>
        <v>-</v>
      </c>
      <c r="K117" s="78" t="str">
        <f>IFERROR(DTE_demand_forecast!K64*#REF!,"-")</f>
        <v>-</v>
      </c>
      <c r="L117" s="78" t="str">
        <f>IFERROR(DTE_demand_forecast!L64*#REF!,"-")</f>
        <v>-</v>
      </c>
      <c r="M117" s="78" t="str">
        <f>IFERROR(DTE_demand_forecast!M64*#REF!,"-")</f>
        <v>-</v>
      </c>
      <c r="N117" s="78" t="str">
        <f>IFERROR(DTE_demand_forecast!N64*#REF!,"-")</f>
        <v>-</v>
      </c>
      <c r="O117" s="78" t="str">
        <f>IFERROR(DTE_demand_forecast!O64*#REF!,"-")</f>
        <v>-</v>
      </c>
      <c r="P117" s="78" t="str">
        <f>IFERROR(DTE_demand_forecast!P64*#REF!,"-")</f>
        <v>-</v>
      </c>
      <c r="Q117" s="78" t="str">
        <f>IFERROR(DTE_demand_forecast!Q64*#REF!,"-")</f>
        <v>-</v>
      </c>
      <c r="R117" s="78" t="str">
        <f>IFERROR(DTE_demand_forecast!R64*#REF!,"-")</f>
        <v>-</v>
      </c>
      <c r="S117" s="78" t="str">
        <f>IFERROR(DTE_demand_forecast!S64*#REF!,"-")</f>
        <v>-</v>
      </c>
      <c r="T117" s="78" t="str">
        <f>IFERROR(DTE_demand_forecast!T64*#REF!,"-")</f>
        <v>-</v>
      </c>
      <c r="U117" s="78" t="str">
        <f>IFERROR(DTE_demand_forecast!U64*#REF!,"-")</f>
        <v>-</v>
      </c>
      <c r="V117" s="78" t="str">
        <f>IFERROR(DTE_demand_forecast!V64*#REF!,"-")</f>
        <v>-</v>
      </c>
    </row>
    <row r="118" spans="1:22" x14ac:dyDescent="0.3">
      <c r="A118" s="511"/>
      <c r="B118" s="30" t="s">
        <v>80</v>
      </c>
      <c r="C118" s="78" t="str">
        <f>IFERROR(DTE_demand_forecast!C65*#REF!,"-")</f>
        <v>-</v>
      </c>
      <c r="D118" s="78" t="str">
        <f>IFERROR(DTE_demand_forecast!D65*#REF!,"-")</f>
        <v>-</v>
      </c>
      <c r="E118" s="78" t="str">
        <f>IFERROR(DTE_demand_forecast!E65*#REF!,"-")</f>
        <v>-</v>
      </c>
      <c r="F118" s="78" t="str">
        <f>IFERROR(DTE_demand_forecast!F65*#REF!,"-")</f>
        <v>-</v>
      </c>
      <c r="G118" s="78" t="str">
        <f>IFERROR(DTE_demand_forecast!G65*#REF!,"-")</f>
        <v>-</v>
      </c>
      <c r="H118" s="78" t="str">
        <f>IFERROR(DTE_demand_forecast!H65*#REF!,"-")</f>
        <v>-</v>
      </c>
      <c r="I118" s="78" t="str">
        <f>IFERROR(DTE_demand_forecast!I65*#REF!,"-")</f>
        <v>-</v>
      </c>
      <c r="J118" s="78" t="str">
        <f>IFERROR(DTE_demand_forecast!J65*#REF!,"-")</f>
        <v>-</v>
      </c>
      <c r="K118" s="78" t="str">
        <f>IFERROR(DTE_demand_forecast!K65*#REF!,"-")</f>
        <v>-</v>
      </c>
      <c r="L118" s="78" t="str">
        <f>IFERROR(DTE_demand_forecast!L65*#REF!,"-")</f>
        <v>-</v>
      </c>
      <c r="M118" s="78" t="str">
        <f>IFERROR(DTE_demand_forecast!M65*#REF!,"-")</f>
        <v>-</v>
      </c>
      <c r="N118" s="78" t="str">
        <f>IFERROR(DTE_demand_forecast!N65*#REF!,"-")</f>
        <v>-</v>
      </c>
      <c r="O118" s="78" t="str">
        <f>IFERROR(DTE_demand_forecast!O65*#REF!,"-")</f>
        <v>-</v>
      </c>
      <c r="P118" s="78" t="str">
        <f>IFERROR(DTE_demand_forecast!P65*#REF!,"-")</f>
        <v>-</v>
      </c>
      <c r="Q118" s="78" t="str">
        <f>IFERROR(DTE_demand_forecast!Q65*#REF!,"-")</f>
        <v>-</v>
      </c>
      <c r="R118" s="78" t="str">
        <f>IFERROR(DTE_demand_forecast!R65*#REF!,"-")</f>
        <v>-</v>
      </c>
      <c r="S118" s="78" t="str">
        <f>IFERROR(DTE_demand_forecast!S65*#REF!,"-")</f>
        <v>-</v>
      </c>
      <c r="T118" s="78" t="str">
        <f>IFERROR(DTE_demand_forecast!T65*#REF!,"-")</f>
        <v>-</v>
      </c>
      <c r="U118" s="78" t="str">
        <f>IFERROR(DTE_demand_forecast!U65*#REF!,"-")</f>
        <v>-</v>
      </c>
      <c r="V118" s="78" t="str">
        <f>IFERROR(DTE_demand_forecast!V65*#REF!,"-")</f>
        <v>-</v>
      </c>
    </row>
    <row r="119" spans="1:22" x14ac:dyDescent="0.3">
      <c r="A119" s="511"/>
      <c r="B119" s="30" t="s">
        <v>44</v>
      </c>
      <c r="C119" s="78" t="str">
        <f>IFERROR(DTE_demand_forecast!C66*#REF!,"-")</f>
        <v>-</v>
      </c>
      <c r="D119" s="78" t="str">
        <f>IFERROR(DTE_demand_forecast!D66*#REF!,"-")</f>
        <v>-</v>
      </c>
      <c r="E119" s="78" t="str">
        <f>IFERROR(DTE_demand_forecast!E66*#REF!,"-")</f>
        <v>-</v>
      </c>
      <c r="F119" s="78" t="str">
        <f>IFERROR(DTE_demand_forecast!F66*#REF!,"-")</f>
        <v>-</v>
      </c>
      <c r="G119" s="78" t="str">
        <f>IFERROR(DTE_demand_forecast!G66*#REF!,"-")</f>
        <v>-</v>
      </c>
      <c r="H119" s="78" t="str">
        <f>IFERROR(DTE_demand_forecast!H66*#REF!,"-")</f>
        <v>-</v>
      </c>
      <c r="I119" s="78" t="str">
        <f>IFERROR(DTE_demand_forecast!I66*#REF!,"-")</f>
        <v>-</v>
      </c>
      <c r="J119" s="78" t="str">
        <f>IFERROR(DTE_demand_forecast!J66*#REF!,"-")</f>
        <v>-</v>
      </c>
      <c r="K119" s="78" t="str">
        <f>IFERROR(DTE_demand_forecast!K66*#REF!,"-")</f>
        <v>-</v>
      </c>
      <c r="L119" s="78" t="str">
        <f>IFERROR(DTE_demand_forecast!L66*#REF!,"-")</f>
        <v>-</v>
      </c>
      <c r="M119" s="78" t="str">
        <f>IFERROR(DTE_demand_forecast!M66*#REF!,"-")</f>
        <v>-</v>
      </c>
      <c r="N119" s="78" t="str">
        <f>IFERROR(DTE_demand_forecast!N66*#REF!,"-")</f>
        <v>-</v>
      </c>
      <c r="O119" s="78" t="str">
        <f>IFERROR(DTE_demand_forecast!O66*#REF!,"-")</f>
        <v>-</v>
      </c>
      <c r="P119" s="78" t="str">
        <f>IFERROR(DTE_demand_forecast!P66*#REF!,"-")</f>
        <v>-</v>
      </c>
      <c r="Q119" s="78" t="str">
        <f>IFERROR(DTE_demand_forecast!Q66*#REF!,"-")</f>
        <v>-</v>
      </c>
      <c r="R119" s="78" t="str">
        <f>IFERROR(DTE_demand_forecast!R66*#REF!,"-")</f>
        <v>-</v>
      </c>
      <c r="S119" s="78" t="str">
        <f>IFERROR(DTE_demand_forecast!S66*#REF!,"-")</f>
        <v>-</v>
      </c>
      <c r="T119" s="78" t="str">
        <f>IFERROR(DTE_demand_forecast!T66*#REF!,"-")</f>
        <v>-</v>
      </c>
      <c r="U119" s="78" t="str">
        <f>IFERROR(DTE_demand_forecast!U66*#REF!,"-")</f>
        <v>-</v>
      </c>
      <c r="V119" s="78" t="str">
        <f>IFERROR(DTE_demand_forecast!V66*#REF!,"-")</f>
        <v>-</v>
      </c>
    </row>
    <row r="120" spans="1:22" x14ac:dyDescent="0.3">
      <c r="A120" s="511"/>
      <c r="B120" s="30" t="s">
        <v>81</v>
      </c>
      <c r="C120" s="78" t="str">
        <f>IFERROR(DTE_demand_forecast!C67*#REF!,"-")</f>
        <v>-</v>
      </c>
      <c r="D120" s="78" t="str">
        <f>IFERROR(DTE_demand_forecast!D67*#REF!,"-")</f>
        <v>-</v>
      </c>
      <c r="E120" s="78" t="str">
        <f>IFERROR(DTE_demand_forecast!E67*#REF!,"-")</f>
        <v>-</v>
      </c>
      <c r="F120" s="78" t="str">
        <f>IFERROR(DTE_demand_forecast!F67*#REF!,"-")</f>
        <v>-</v>
      </c>
      <c r="G120" s="78" t="str">
        <f>IFERROR(DTE_demand_forecast!G67*#REF!,"-")</f>
        <v>-</v>
      </c>
      <c r="H120" s="78" t="str">
        <f>IFERROR(DTE_demand_forecast!H67*#REF!,"-")</f>
        <v>-</v>
      </c>
      <c r="I120" s="78" t="str">
        <f>IFERROR(DTE_demand_forecast!I67*#REF!,"-")</f>
        <v>-</v>
      </c>
      <c r="J120" s="78" t="str">
        <f>IFERROR(DTE_demand_forecast!J67*#REF!,"-")</f>
        <v>-</v>
      </c>
      <c r="K120" s="78" t="str">
        <f>IFERROR(DTE_demand_forecast!K67*#REF!,"-")</f>
        <v>-</v>
      </c>
      <c r="L120" s="78" t="str">
        <f>IFERROR(DTE_demand_forecast!L67*#REF!,"-")</f>
        <v>-</v>
      </c>
      <c r="M120" s="78" t="str">
        <f>IFERROR(DTE_demand_forecast!M67*#REF!,"-")</f>
        <v>-</v>
      </c>
      <c r="N120" s="78" t="str">
        <f>IFERROR(DTE_demand_forecast!N67*#REF!,"-")</f>
        <v>-</v>
      </c>
      <c r="O120" s="78" t="str">
        <f>IFERROR(DTE_demand_forecast!O67*#REF!,"-")</f>
        <v>-</v>
      </c>
      <c r="P120" s="78" t="str">
        <f>IFERROR(DTE_demand_forecast!P67*#REF!,"-")</f>
        <v>-</v>
      </c>
      <c r="Q120" s="78" t="str">
        <f>IFERROR(DTE_demand_forecast!Q67*#REF!,"-")</f>
        <v>-</v>
      </c>
      <c r="R120" s="78" t="str">
        <f>IFERROR(DTE_demand_forecast!R67*#REF!,"-")</f>
        <v>-</v>
      </c>
      <c r="S120" s="78" t="str">
        <f>IFERROR(DTE_demand_forecast!S67*#REF!,"-")</f>
        <v>-</v>
      </c>
      <c r="T120" s="78" t="str">
        <f>IFERROR(DTE_demand_forecast!T67*#REF!,"-")</f>
        <v>-</v>
      </c>
      <c r="U120" s="78" t="str">
        <f>IFERROR(DTE_demand_forecast!U67*#REF!,"-")</f>
        <v>-</v>
      </c>
      <c r="V120" s="78" t="str">
        <f>IFERROR(DTE_demand_forecast!V67*#REF!,"-")</f>
        <v>-</v>
      </c>
    </row>
    <row r="121" spans="1:22" x14ac:dyDescent="0.3">
      <c r="A121" s="511"/>
      <c r="B121" s="30" t="s">
        <v>42</v>
      </c>
      <c r="C121" s="78" t="str">
        <f>IFERROR(DTE_demand_forecast!C68*#REF!,"-")</f>
        <v>-</v>
      </c>
      <c r="D121" s="78" t="str">
        <f>IFERROR(DTE_demand_forecast!D68*#REF!,"-")</f>
        <v>-</v>
      </c>
      <c r="E121" s="78" t="str">
        <f>IFERROR(DTE_demand_forecast!E68*#REF!,"-")</f>
        <v>-</v>
      </c>
      <c r="F121" s="78" t="str">
        <f>IFERROR(DTE_demand_forecast!F68*#REF!,"-")</f>
        <v>-</v>
      </c>
      <c r="G121" s="78" t="str">
        <f>IFERROR(DTE_demand_forecast!G68*#REF!,"-")</f>
        <v>-</v>
      </c>
      <c r="H121" s="78" t="str">
        <f>IFERROR(DTE_demand_forecast!H68*#REF!,"-")</f>
        <v>-</v>
      </c>
      <c r="I121" s="78" t="str">
        <f>IFERROR(DTE_demand_forecast!I68*#REF!,"-")</f>
        <v>-</v>
      </c>
      <c r="J121" s="78" t="str">
        <f>IFERROR(DTE_demand_forecast!J68*#REF!,"-")</f>
        <v>-</v>
      </c>
      <c r="K121" s="78" t="str">
        <f>IFERROR(DTE_demand_forecast!K68*#REF!,"-")</f>
        <v>-</v>
      </c>
      <c r="L121" s="78" t="str">
        <f>IFERROR(DTE_demand_forecast!L68*#REF!,"-")</f>
        <v>-</v>
      </c>
      <c r="M121" s="78" t="str">
        <f>IFERROR(DTE_demand_forecast!M68*#REF!,"-")</f>
        <v>-</v>
      </c>
      <c r="N121" s="78" t="str">
        <f>IFERROR(DTE_demand_forecast!N68*#REF!,"-")</f>
        <v>-</v>
      </c>
      <c r="O121" s="78" t="str">
        <f>IFERROR(DTE_demand_forecast!O68*#REF!,"-")</f>
        <v>-</v>
      </c>
      <c r="P121" s="78" t="str">
        <f>IFERROR(DTE_demand_forecast!P68*#REF!,"-")</f>
        <v>-</v>
      </c>
      <c r="Q121" s="78" t="str">
        <f>IFERROR(DTE_demand_forecast!Q68*#REF!,"-")</f>
        <v>-</v>
      </c>
      <c r="R121" s="78" t="str">
        <f>IFERROR(DTE_demand_forecast!R68*#REF!,"-")</f>
        <v>-</v>
      </c>
      <c r="S121" s="78" t="str">
        <f>IFERROR(DTE_demand_forecast!S68*#REF!,"-")</f>
        <v>-</v>
      </c>
      <c r="T121" s="78" t="str">
        <f>IFERROR(DTE_demand_forecast!T68*#REF!,"-")</f>
        <v>-</v>
      </c>
      <c r="U121" s="78" t="str">
        <f>IFERROR(DTE_demand_forecast!U68*#REF!,"-")</f>
        <v>-</v>
      </c>
      <c r="V121" s="78" t="str">
        <f>IFERROR(DTE_demand_forecast!V68*#REF!,"-")</f>
        <v>-</v>
      </c>
    </row>
    <row r="122" spans="1:22" x14ac:dyDescent="0.3">
      <c r="A122" s="511"/>
      <c r="B122" s="30" t="s">
        <v>45</v>
      </c>
      <c r="C122" s="78" t="str">
        <f>IFERROR(DTE_demand_forecast!C69*#REF!,"-")</f>
        <v>-</v>
      </c>
      <c r="D122" s="78" t="str">
        <f>IFERROR(DTE_demand_forecast!D69*#REF!,"-")</f>
        <v>-</v>
      </c>
      <c r="E122" s="78" t="str">
        <f>IFERROR(DTE_demand_forecast!E69*#REF!,"-")</f>
        <v>-</v>
      </c>
      <c r="F122" s="78" t="str">
        <f>IFERROR(DTE_demand_forecast!F69*#REF!,"-")</f>
        <v>-</v>
      </c>
      <c r="G122" s="78" t="str">
        <f>IFERROR(DTE_demand_forecast!G69*#REF!,"-")</f>
        <v>-</v>
      </c>
      <c r="H122" s="78" t="str">
        <f>IFERROR(DTE_demand_forecast!H69*#REF!,"-")</f>
        <v>-</v>
      </c>
      <c r="I122" s="78" t="str">
        <f>IFERROR(DTE_demand_forecast!I69*#REF!,"-")</f>
        <v>-</v>
      </c>
      <c r="J122" s="78" t="str">
        <f>IFERROR(DTE_demand_forecast!J69*#REF!,"-")</f>
        <v>-</v>
      </c>
      <c r="K122" s="78" t="str">
        <f>IFERROR(DTE_demand_forecast!K69*#REF!,"-")</f>
        <v>-</v>
      </c>
      <c r="L122" s="78" t="str">
        <f>IFERROR(DTE_demand_forecast!L69*#REF!,"-")</f>
        <v>-</v>
      </c>
      <c r="M122" s="78" t="str">
        <f>IFERROR(DTE_demand_forecast!M69*#REF!,"-")</f>
        <v>-</v>
      </c>
      <c r="N122" s="78" t="str">
        <f>IFERROR(DTE_demand_forecast!N69*#REF!,"-")</f>
        <v>-</v>
      </c>
      <c r="O122" s="78" t="str">
        <f>IFERROR(DTE_demand_forecast!O69*#REF!,"-")</f>
        <v>-</v>
      </c>
      <c r="P122" s="78" t="str">
        <f>IFERROR(DTE_demand_forecast!P69*#REF!,"-")</f>
        <v>-</v>
      </c>
      <c r="Q122" s="78" t="str">
        <f>IFERROR(DTE_demand_forecast!Q69*#REF!,"-")</f>
        <v>-</v>
      </c>
      <c r="R122" s="78" t="str">
        <f>IFERROR(DTE_demand_forecast!R69*#REF!,"-")</f>
        <v>-</v>
      </c>
      <c r="S122" s="78" t="str">
        <f>IFERROR(DTE_demand_forecast!S69*#REF!,"-")</f>
        <v>-</v>
      </c>
      <c r="T122" s="78" t="str">
        <f>IFERROR(DTE_demand_forecast!T69*#REF!,"-")</f>
        <v>-</v>
      </c>
      <c r="U122" s="78" t="str">
        <f>IFERROR(DTE_demand_forecast!U69*#REF!,"-")</f>
        <v>-</v>
      </c>
      <c r="V122" s="78" t="str">
        <f>IFERROR(DTE_demand_forecast!V69*#REF!,"-")</f>
        <v>-</v>
      </c>
    </row>
    <row r="123" spans="1:22" x14ac:dyDescent="0.3">
      <c r="A123" s="511"/>
      <c r="B123" s="31" t="s">
        <v>84</v>
      </c>
      <c r="C123" s="124">
        <f t="shared" ref="C123:V123" si="6">SUM(C115:C122)</f>
        <v>0</v>
      </c>
      <c r="D123" s="124">
        <f t="shared" si="6"/>
        <v>0</v>
      </c>
      <c r="E123" s="124">
        <f t="shared" si="6"/>
        <v>0</v>
      </c>
      <c r="F123" s="124">
        <f t="shared" si="6"/>
        <v>0</v>
      </c>
      <c r="G123" s="124">
        <f t="shared" si="6"/>
        <v>0</v>
      </c>
      <c r="H123" s="124">
        <f t="shared" si="6"/>
        <v>0</v>
      </c>
      <c r="I123" s="124">
        <f t="shared" si="6"/>
        <v>0</v>
      </c>
      <c r="J123" s="124">
        <f t="shared" si="6"/>
        <v>0</v>
      </c>
      <c r="K123" s="124">
        <f t="shared" si="6"/>
        <v>0</v>
      </c>
      <c r="L123" s="124">
        <f t="shared" si="6"/>
        <v>0</v>
      </c>
      <c r="M123" s="124">
        <f t="shared" si="6"/>
        <v>0</v>
      </c>
      <c r="N123" s="124">
        <f t="shared" si="6"/>
        <v>0</v>
      </c>
      <c r="O123" s="124">
        <f t="shared" si="6"/>
        <v>0</v>
      </c>
      <c r="P123" s="124">
        <f t="shared" si="6"/>
        <v>0</v>
      </c>
      <c r="Q123" s="124">
        <f t="shared" si="6"/>
        <v>0</v>
      </c>
      <c r="R123" s="124">
        <f t="shared" si="6"/>
        <v>0</v>
      </c>
      <c r="S123" s="124">
        <f t="shared" si="6"/>
        <v>0</v>
      </c>
      <c r="T123" s="124">
        <f t="shared" si="6"/>
        <v>0</v>
      </c>
      <c r="U123" s="124">
        <f t="shared" si="6"/>
        <v>0</v>
      </c>
      <c r="V123" s="124">
        <f t="shared" si="6"/>
        <v>0</v>
      </c>
    </row>
    <row r="124" spans="1:22" x14ac:dyDescent="0.3">
      <c r="A124" s="511"/>
      <c r="B124" s="125"/>
      <c r="C124" s="126"/>
      <c r="D124" s="126"/>
      <c r="E124" s="126"/>
      <c r="F124" s="126"/>
      <c r="G124" s="126"/>
      <c r="H124" s="126"/>
      <c r="I124" s="126"/>
      <c r="J124" s="126"/>
      <c r="K124" s="126"/>
      <c r="L124" s="126"/>
      <c r="M124" s="126"/>
      <c r="N124" s="126"/>
      <c r="O124" s="126"/>
      <c r="P124" s="126"/>
      <c r="Q124" s="126"/>
      <c r="R124" s="126"/>
      <c r="S124" s="126"/>
      <c r="T124" s="126"/>
      <c r="U124" s="126"/>
      <c r="V124" s="126"/>
    </row>
    <row r="125" spans="1:22" x14ac:dyDescent="0.3">
      <c r="A125" s="511"/>
      <c r="B125" s="125"/>
      <c r="C125" s="126"/>
      <c r="D125" s="126"/>
      <c r="E125" s="126"/>
      <c r="F125" s="126"/>
      <c r="G125" s="126"/>
      <c r="H125" s="126"/>
      <c r="I125" s="126"/>
      <c r="J125" s="126"/>
      <c r="K125" s="126"/>
      <c r="L125" s="126"/>
      <c r="M125" s="126"/>
      <c r="N125" s="126"/>
      <c r="O125" s="126"/>
      <c r="P125" s="126"/>
      <c r="Q125" s="126"/>
      <c r="R125" s="126"/>
      <c r="S125" s="126"/>
      <c r="T125" s="126"/>
      <c r="U125" s="126"/>
      <c r="V125" s="126"/>
    </row>
    <row r="126" spans="1:22" x14ac:dyDescent="0.3">
      <c r="A126" s="511"/>
      <c r="B126" s="125"/>
      <c r="C126" s="126"/>
      <c r="D126" s="126"/>
      <c r="E126" s="126"/>
      <c r="F126" s="126"/>
      <c r="G126" s="126"/>
      <c r="H126" s="126"/>
      <c r="I126" s="126"/>
      <c r="J126" s="126"/>
      <c r="K126" s="126"/>
      <c r="L126" s="126"/>
      <c r="M126" s="126"/>
      <c r="N126" s="126"/>
      <c r="O126" s="126"/>
      <c r="P126" s="126"/>
      <c r="Q126" s="126"/>
      <c r="R126" s="126"/>
      <c r="S126" s="126"/>
      <c r="T126" s="126"/>
      <c r="U126" s="126"/>
      <c r="V126" s="126"/>
    </row>
    <row r="127" spans="1:22" x14ac:dyDescent="0.3">
      <c r="A127" s="511"/>
      <c r="B127" s="125"/>
      <c r="C127" s="126"/>
      <c r="D127" s="126"/>
      <c r="E127" s="126"/>
      <c r="F127" s="126"/>
      <c r="G127" s="126"/>
      <c r="H127" s="126"/>
      <c r="I127" s="126"/>
      <c r="J127" s="126"/>
      <c r="K127" s="126"/>
      <c r="L127" s="126"/>
      <c r="M127" s="126"/>
      <c r="N127" s="126"/>
      <c r="O127" s="126"/>
      <c r="P127" s="126"/>
      <c r="Q127" s="126"/>
      <c r="R127" s="126"/>
      <c r="S127" s="126"/>
      <c r="T127" s="126"/>
      <c r="U127" s="126"/>
      <c r="V127" s="126"/>
    </row>
    <row r="128" spans="1:22" x14ac:dyDescent="0.3">
      <c r="A128" s="511"/>
      <c r="B128" s="125"/>
      <c r="C128" s="126"/>
      <c r="D128" s="126"/>
      <c r="E128" s="126"/>
      <c r="F128" s="126"/>
      <c r="G128" s="126"/>
      <c r="H128" s="126"/>
      <c r="I128" s="126"/>
      <c r="J128" s="126"/>
      <c r="K128" s="126"/>
      <c r="L128" s="126"/>
      <c r="M128" s="126"/>
      <c r="N128" s="126"/>
      <c r="O128" s="126"/>
      <c r="P128" s="126"/>
      <c r="Q128" s="126"/>
      <c r="R128" s="126"/>
      <c r="S128" s="126"/>
      <c r="T128" s="126"/>
      <c r="U128" s="126"/>
      <c r="V128" s="126"/>
    </row>
    <row r="129" spans="1:22" x14ac:dyDescent="0.3">
      <c r="A129" s="511"/>
    </row>
    <row r="130" spans="1:22" x14ac:dyDescent="0.3">
      <c r="A130" s="511"/>
    </row>
    <row r="131" spans="1:22" x14ac:dyDescent="0.3">
      <c r="A131" s="511"/>
      <c r="B131" s="32" t="s">
        <v>150</v>
      </c>
      <c r="L131" s="18"/>
      <c r="M131" s="18"/>
    </row>
    <row r="132" spans="1:22" x14ac:dyDescent="0.3">
      <c r="A132" s="511"/>
      <c r="B132" s="75" t="s">
        <v>82</v>
      </c>
      <c r="C132" s="75">
        <v>2021</v>
      </c>
      <c r="D132" s="76">
        <v>2022</v>
      </c>
      <c r="E132" s="75">
        <v>2023</v>
      </c>
      <c r="F132" s="76">
        <v>2024</v>
      </c>
      <c r="G132" s="75">
        <v>2025</v>
      </c>
      <c r="H132" s="76">
        <v>2026</v>
      </c>
      <c r="I132" s="75">
        <v>2027</v>
      </c>
      <c r="J132" s="76">
        <v>2028</v>
      </c>
      <c r="K132" s="75">
        <v>2029</v>
      </c>
      <c r="L132" s="76">
        <v>2030</v>
      </c>
      <c r="M132" s="75">
        <v>2031</v>
      </c>
      <c r="N132" s="76">
        <v>2032</v>
      </c>
      <c r="O132" s="75">
        <v>2033</v>
      </c>
      <c r="P132" s="76">
        <v>2034</v>
      </c>
      <c r="Q132" s="75">
        <v>2035</v>
      </c>
      <c r="R132" s="76">
        <v>2036</v>
      </c>
      <c r="S132" s="75">
        <v>2037</v>
      </c>
      <c r="T132" s="76">
        <v>2038</v>
      </c>
      <c r="U132" s="75">
        <v>2039</v>
      </c>
      <c r="V132" s="76">
        <v>2040</v>
      </c>
    </row>
    <row r="133" spans="1:22" x14ac:dyDescent="0.3">
      <c r="A133" s="511"/>
      <c r="B133" s="30" t="s">
        <v>43</v>
      </c>
      <c r="C133" s="78" t="str">
        <f>IFERROR(DTE_demand_forecast!C141*#REF!,"-")</f>
        <v>-</v>
      </c>
      <c r="D133" s="78" t="str">
        <f>IFERROR(DTE_demand_forecast!D141*#REF!,"-")</f>
        <v>-</v>
      </c>
      <c r="E133" s="78" t="str">
        <f>IFERROR(DTE_demand_forecast!E141*#REF!,"-")</f>
        <v>-</v>
      </c>
      <c r="F133" s="78" t="str">
        <f>IFERROR(DTE_demand_forecast!F141*#REF!,"-")</f>
        <v>-</v>
      </c>
      <c r="G133" s="78" t="str">
        <f>IFERROR(DTE_demand_forecast!G141*#REF!,"-")</f>
        <v>-</v>
      </c>
      <c r="H133" s="78" t="str">
        <f>IFERROR(DTE_demand_forecast!H141*#REF!,"-")</f>
        <v>-</v>
      </c>
      <c r="I133" s="78" t="str">
        <f>IFERROR(DTE_demand_forecast!I141*#REF!,"-")</f>
        <v>-</v>
      </c>
      <c r="J133" s="78" t="str">
        <f>IFERROR(DTE_demand_forecast!J141*#REF!,"-")</f>
        <v>-</v>
      </c>
      <c r="K133" s="78" t="str">
        <f>IFERROR(DTE_demand_forecast!K141*#REF!,"-")</f>
        <v>-</v>
      </c>
      <c r="L133" s="78" t="str">
        <f>IFERROR(DTE_demand_forecast!L141*#REF!,"-")</f>
        <v>-</v>
      </c>
      <c r="M133" s="78" t="str">
        <f>IFERROR(DTE_demand_forecast!M141*#REF!,"-")</f>
        <v>-</v>
      </c>
      <c r="N133" s="78" t="str">
        <f>IFERROR(DTE_demand_forecast!N141*#REF!,"-")</f>
        <v>-</v>
      </c>
      <c r="O133" s="78" t="str">
        <f>IFERROR(DTE_demand_forecast!O141*#REF!,"-")</f>
        <v>-</v>
      </c>
      <c r="P133" s="78" t="str">
        <f>IFERROR(DTE_demand_forecast!P141*#REF!,"-")</f>
        <v>-</v>
      </c>
      <c r="Q133" s="78" t="str">
        <f>IFERROR(DTE_demand_forecast!Q141*#REF!,"-")</f>
        <v>-</v>
      </c>
      <c r="R133" s="78" t="str">
        <f>IFERROR(DTE_demand_forecast!R141*#REF!,"-")</f>
        <v>-</v>
      </c>
      <c r="S133" s="78" t="str">
        <f>IFERROR(DTE_demand_forecast!S141*#REF!,"-")</f>
        <v>-</v>
      </c>
      <c r="T133" s="78" t="str">
        <f>IFERROR(DTE_demand_forecast!T141*#REF!,"-")</f>
        <v>-</v>
      </c>
      <c r="U133" s="78" t="str">
        <f>IFERROR(DTE_demand_forecast!U141*#REF!,"-")</f>
        <v>-</v>
      </c>
      <c r="V133" s="78" t="str">
        <f>IFERROR(DTE_demand_forecast!V141*#REF!,"-")</f>
        <v>-</v>
      </c>
    </row>
    <row r="134" spans="1:22" x14ac:dyDescent="0.3">
      <c r="A134" s="511"/>
      <c r="B134" s="30" t="s">
        <v>41</v>
      </c>
      <c r="C134" s="78" t="str">
        <f>IFERROR(DTE_demand_forecast!C142*#REF!,"-")</f>
        <v>-</v>
      </c>
      <c r="D134" s="78" t="str">
        <f>IFERROR(DTE_demand_forecast!D142*#REF!,"-")</f>
        <v>-</v>
      </c>
      <c r="E134" s="78" t="str">
        <f>IFERROR(DTE_demand_forecast!E142*#REF!,"-")</f>
        <v>-</v>
      </c>
      <c r="F134" s="78" t="str">
        <f>IFERROR(DTE_demand_forecast!F142*#REF!,"-")</f>
        <v>-</v>
      </c>
      <c r="G134" s="78" t="str">
        <f>IFERROR(DTE_demand_forecast!G142*#REF!,"-")</f>
        <v>-</v>
      </c>
      <c r="H134" s="78" t="str">
        <f>IFERROR(DTE_demand_forecast!H142*#REF!,"-")</f>
        <v>-</v>
      </c>
      <c r="I134" s="78" t="str">
        <f>IFERROR(DTE_demand_forecast!I142*#REF!,"-")</f>
        <v>-</v>
      </c>
      <c r="J134" s="78" t="str">
        <f>IFERROR(DTE_demand_forecast!J142*#REF!,"-")</f>
        <v>-</v>
      </c>
      <c r="K134" s="78" t="str">
        <f>IFERROR(DTE_demand_forecast!K142*#REF!,"-")</f>
        <v>-</v>
      </c>
      <c r="L134" s="78" t="str">
        <f>IFERROR(DTE_demand_forecast!L142*#REF!,"-")</f>
        <v>-</v>
      </c>
      <c r="M134" s="78" t="str">
        <f>IFERROR(DTE_demand_forecast!M142*#REF!,"-")</f>
        <v>-</v>
      </c>
      <c r="N134" s="78" t="str">
        <f>IFERROR(DTE_demand_forecast!N142*#REF!,"-")</f>
        <v>-</v>
      </c>
      <c r="O134" s="78" t="str">
        <f>IFERROR(DTE_demand_forecast!O142*#REF!,"-")</f>
        <v>-</v>
      </c>
      <c r="P134" s="78" t="str">
        <f>IFERROR(DTE_demand_forecast!P142*#REF!,"-")</f>
        <v>-</v>
      </c>
      <c r="Q134" s="78" t="str">
        <f>IFERROR(DTE_demand_forecast!Q142*#REF!,"-")</f>
        <v>-</v>
      </c>
      <c r="R134" s="78" t="str">
        <f>IFERROR(DTE_demand_forecast!R142*#REF!,"-")</f>
        <v>-</v>
      </c>
      <c r="S134" s="78" t="str">
        <f>IFERROR(DTE_demand_forecast!S142*#REF!,"-")</f>
        <v>-</v>
      </c>
      <c r="T134" s="78" t="str">
        <f>IFERROR(DTE_demand_forecast!T142*#REF!,"-")</f>
        <v>-</v>
      </c>
      <c r="U134" s="78" t="str">
        <f>IFERROR(DTE_demand_forecast!U142*#REF!,"-")</f>
        <v>-</v>
      </c>
      <c r="V134" s="78" t="str">
        <f>IFERROR(DTE_demand_forecast!V142*#REF!,"-")</f>
        <v>-</v>
      </c>
    </row>
    <row r="135" spans="1:22" x14ac:dyDescent="0.3">
      <c r="A135" s="511"/>
      <c r="B135" s="30" t="s">
        <v>40</v>
      </c>
      <c r="C135" s="78" t="str">
        <f>IFERROR(DTE_demand_forecast!C143*#REF!,"-")</f>
        <v>-</v>
      </c>
      <c r="D135" s="78" t="str">
        <f>IFERROR(DTE_demand_forecast!D143*#REF!,"-")</f>
        <v>-</v>
      </c>
      <c r="E135" s="78" t="str">
        <f>IFERROR(DTE_demand_forecast!E143*#REF!,"-")</f>
        <v>-</v>
      </c>
      <c r="F135" s="78" t="str">
        <f>IFERROR(DTE_demand_forecast!F143*#REF!,"-")</f>
        <v>-</v>
      </c>
      <c r="G135" s="78" t="str">
        <f>IFERROR(DTE_demand_forecast!G143*#REF!,"-")</f>
        <v>-</v>
      </c>
      <c r="H135" s="78" t="str">
        <f>IFERROR(DTE_demand_forecast!H143*#REF!,"-")</f>
        <v>-</v>
      </c>
      <c r="I135" s="78" t="str">
        <f>IFERROR(DTE_demand_forecast!I143*#REF!,"-")</f>
        <v>-</v>
      </c>
      <c r="J135" s="78" t="str">
        <f>IFERROR(DTE_demand_forecast!J143*#REF!,"-")</f>
        <v>-</v>
      </c>
      <c r="K135" s="78" t="str">
        <f>IFERROR(DTE_demand_forecast!K143*#REF!,"-")</f>
        <v>-</v>
      </c>
      <c r="L135" s="78" t="str">
        <f>IFERROR(DTE_demand_forecast!L143*#REF!,"-")</f>
        <v>-</v>
      </c>
      <c r="M135" s="78" t="str">
        <f>IFERROR(DTE_demand_forecast!M143*#REF!,"-")</f>
        <v>-</v>
      </c>
      <c r="N135" s="78" t="str">
        <f>IFERROR(DTE_demand_forecast!N143*#REF!,"-")</f>
        <v>-</v>
      </c>
      <c r="O135" s="78" t="str">
        <f>IFERROR(DTE_demand_forecast!O143*#REF!,"-")</f>
        <v>-</v>
      </c>
      <c r="P135" s="78" t="str">
        <f>IFERROR(DTE_demand_forecast!P143*#REF!,"-")</f>
        <v>-</v>
      </c>
      <c r="Q135" s="78" t="str">
        <f>IFERROR(DTE_demand_forecast!Q143*#REF!,"-")</f>
        <v>-</v>
      </c>
      <c r="R135" s="78" t="str">
        <f>IFERROR(DTE_demand_forecast!R143*#REF!,"-")</f>
        <v>-</v>
      </c>
      <c r="S135" s="78" t="str">
        <f>IFERROR(DTE_demand_forecast!S143*#REF!,"-")</f>
        <v>-</v>
      </c>
      <c r="T135" s="78" t="str">
        <f>IFERROR(DTE_demand_forecast!T143*#REF!,"-")</f>
        <v>-</v>
      </c>
      <c r="U135" s="78" t="str">
        <f>IFERROR(DTE_demand_forecast!U143*#REF!,"-")</f>
        <v>-</v>
      </c>
      <c r="V135" s="78" t="str">
        <f>IFERROR(DTE_demand_forecast!V143*#REF!,"-")</f>
        <v>-</v>
      </c>
    </row>
    <row r="136" spans="1:22" x14ac:dyDescent="0.3">
      <c r="A136" s="511"/>
      <c r="B136" s="30" t="s">
        <v>80</v>
      </c>
      <c r="C136" s="78" t="str">
        <f>IFERROR(DTE_demand_forecast!C144*#REF!,"-")</f>
        <v>-</v>
      </c>
      <c r="D136" s="78" t="str">
        <f>IFERROR(DTE_demand_forecast!D144*#REF!,"-")</f>
        <v>-</v>
      </c>
      <c r="E136" s="78" t="str">
        <f>IFERROR(DTE_demand_forecast!E144*#REF!,"-")</f>
        <v>-</v>
      </c>
      <c r="F136" s="78" t="str">
        <f>IFERROR(DTE_demand_forecast!F144*#REF!,"-")</f>
        <v>-</v>
      </c>
      <c r="G136" s="78" t="str">
        <f>IFERROR(DTE_demand_forecast!G144*#REF!,"-")</f>
        <v>-</v>
      </c>
      <c r="H136" s="78" t="str">
        <f>IFERROR(DTE_demand_forecast!H144*#REF!,"-")</f>
        <v>-</v>
      </c>
      <c r="I136" s="78" t="str">
        <f>IFERROR(DTE_demand_forecast!I144*#REF!,"-")</f>
        <v>-</v>
      </c>
      <c r="J136" s="78" t="str">
        <f>IFERROR(DTE_demand_forecast!J144*#REF!,"-")</f>
        <v>-</v>
      </c>
      <c r="K136" s="78" t="str">
        <f>IFERROR(DTE_demand_forecast!K144*#REF!,"-")</f>
        <v>-</v>
      </c>
      <c r="L136" s="78" t="str">
        <f>IFERROR(DTE_demand_forecast!L144*#REF!,"-")</f>
        <v>-</v>
      </c>
      <c r="M136" s="78" t="str">
        <f>IFERROR(DTE_demand_forecast!M144*#REF!,"-")</f>
        <v>-</v>
      </c>
      <c r="N136" s="78" t="str">
        <f>IFERROR(DTE_demand_forecast!N144*#REF!,"-")</f>
        <v>-</v>
      </c>
      <c r="O136" s="78" t="str">
        <f>IFERROR(DTE_demand_forecast!O144*#REF!,"-")</f>
        <v>-</v>
      </c>
      <c r="P136" s="78" t="str">
        <f>IFERROR(DTE_demand_forecast!P144*#REF!,"-")</f>
        <v>-</v>
      </c>
      <c r="Q136" s="78" t="str">
        <f>IFERROR(DTE_demand_forecast!Q144*#REF!,"-")</f>
        <v>-</v>
      </c>
      <c r="R136" s="78" t="str">
        <f>IFERROR(DTE_demand_forecast!R144*#REF!,"-")</f>
        <v>-</v>
      </c>
      <c r="S136" s="78" t="str">
        <f>IFERROR(DTE_demand_forecast!S144*#REF!,"-")</f>
        <v>-</v>
      </c>
      <c r="T136" s="78" t="str">
        <f>IFERROR(DTE_demand_forecast!T144*#REF!,"-")</f>
        <v>-</v>
      </c>
      <c r="U136" s="78" t="str">
        <f>IFERROR(DTE_demand_forecast!U144*#REF!,"-")</f>
        <v>-</v>
      </c>
      <c r="V136" s="78" t="str">
        <f>IFERROR(DTE_demand_forecast!V144*#REF!,"-")</f>
        <v>-</v>
      </c>
    </row>
    <row r="137" spans="1:22" x14ac:dyDescent="0.3">
      <c r="A137" s="511"/>
      <c r="B137" s="30" t="s">
        <v>44</v>
      </c>
      <c r="C137" s="78" t="str">
        <f>IFERROR(DTE_demand_forecast!C145*#REF!,"-")</f>
        <v>-</v>
      </c>
      <c r="D137" s="78" t="str">
        <f>IFERROR(DTE_demand_forecast!D145*#REF!,"-")</f>
        <v>-</v>
      </c>
      <c r="E137" s="78" t="str">
        <f>IFERROR(DTE_demand_forecast!E145*#REF!,"-")</f>
        <v>-</v>
      </c>
      <c r="F137" s="78" t="str">
        <f>IFERROR(DTE_demand_forecast!F145*#REF!,"-")</f>
        <v>-</v>
      </c>
      <c r="G137" s="78" t="str">
        <f>IFERROR(DTE_demand_forecast!G145*#REF!,"-")</f>
        <v>-</v>
      </c>
      <c r="H137" s="78" t="str">
        <f>IFERROR(DTE_demand_forecast!H145*#REF!,"-")</f>
        <v>-</v>
      </c>
      <c r="I137" s="78" t="str">
        <f>IFERROR(DTE_demand_forecast!I145*#REF!,"-")</f>
        <v>-</v>
      </c>
      <c r="J137" s="78" t="str">
        <f>IFERROR(DTE_demand_forecast!J145*#REF!,"-")</f>
        <v>-</v>
      </c>
      <c r="K137" s="78" t="str">
        <f>IFERROR(DTE_demand_forecast!K145*#REF!,"-")</f>
        <v>-</v>
      </c>
      <c r="L137" s="78" t="str">
        <f>IFERROR(DTE_demand_forecast!L145*#REF!,"-")</f>
        <v>-</v>
      </c>
      <c r="M137" s="78" t="str">
        <f>IFERROR(DTE_demand_forecast!M145*#REF!,"-")</f>
        <v>-</v>
      </c>
      <c r="N137" s="78" t="str">
        <f>IFERROR(DTE_demand_forecast!N145*#REF!,"-")</f>
        <v>-</v>
      </c>
      <c r="O137" s="78" t="str">
        <f>IFERROR(DTE_demand_forecast!O145*#REF!,"-")</f>
        <v>-</v>
      </c>
      <c r="P137" s="78" t="str">
        <f>IFERROR(DTE_demand_forecast!P145*#REF!,"-")</f>
        <v>-</v>
      </c>
      <c r="Q137" s="78" t="str">
        <f>IFERROR(DTE_demand_forecast!Q145*#REF!,"-")</f>
        <v>-</v>
      </c>
      <c r="R137" s="78" t="str">
        <f>IFERROR(DTE_demand_forecast!R145*#REF!,"-")</f>
        <v>-</v>
      </c>
      <c r="S137" s="78" t="str">
        <f>IFERROR(DTE_demand_forecast!S145*#REF!,"-")</f>
        <v>-</v>
      </c>
      <c r="T137" s="78" t="str">
        <f>IFERROR(DTE_demand_forecast!T145*#REF!,"-")</f>
        <v>-</v>
      </c>
      <c r="U137" s="78" t="str">
        <f>IFERROR(DTE_demand_forecast!U145*#REF!,"-")</f>
        <v>-</v>
      </c>
      <c r="V137" s="78" t="str">
        <f>IFERROR(DTE_demand_forecast!V145*#REF!,"-")</f>
        <v>-</v>
      </c>
    </row>
    <row r="138" spans="1:22" x14ac:dyDescent="0.3">
      <c r="A138" s="511"/>
      <c r="B138" s="30" t="s">
        <v>81</v>
      </c>
      <c r="C138" s="78" t="str">
        <f>IFERROR(DTE_demand_forecast!C146*#REF!,"-")</f>
        <v>-</v>
      </c>
      <c r="D138" s="78" t="str">
        <f>IFERROR(DTE_demand_forecast!D146*#REF!,"-")</f>
        <v>-</v>
      </c>
      <c r="E138" s="78" t="str">
        <f>IFERROR(DTE_demand_forecast!E146*#REF!,"-")</f>
        <v>-</v>
      </c>
      <c r="F138" s="78" t="str">
        <f>IFERROR(DTE_demand_forecast!F146*#REF!,"-")</f>
        <v>-</v>
      </c>
      <c r="G138" s="78" t="str">
        <f>IFERROR(DTE_demand_forecast!G146*#REF!,"-")</f>
        <v>-</v>
      </c>
      <c r="H138" s="78" t="str">
        <f>IFERROR(DTE_demand_forecast!H146*#REF!,"-")</f>
        <v>-</v>
      </c>
      <c r="I138" s="78" t="str">
        <f>IFERROR(DTE_demand_forecast!I146*#REF!,"-")</f>
        <v>-</v>
      </c>
      <c r="J138" s="78" t="str">
        <f>IFERROR(DTE_demand_forecast!J146*#REF!,"-")</f>
        <v>-</v>
      </c>
      <c r="K138" s="78" t="str">
        <f>IFERROR(DTE_demand_forecast!K146*#REF!,"-")</f>
        <v>-</v>
      </c>
      <c r="L138" s="78" t="str">
        <f>IFERROR(DTE_demand_forecast!L146*#REF!,"-")</f>
        <v>-</v>
      </c>
      <c r="M138" s="78" t="str">
        <f>IFERROR(DTE_demand_forecast!M146*#REF!,"-")</f>
        <v>-</v>
      </c>
      <c r="N138" s="78" t="str">
        <f>IFERROR(DTE_demand_forecast!N146*#REF!,"-")</f>
        <v>-</v>
      </c>
      <c r="O138" s="78" t="str">
        <f>IFERROR(DTE_demand_forecast!O146*#REF!,"-")</f>
        <v>-</v>
      </c>
      <c r="P138" s="78" t="str">
        <f>IFERROR(DTE_demand_forecast!P146*#REF!,"-")</f>
        <v>-</v>
      </c>
      <c r="Q138" s="78" t="str">
        <f>IFERROR(DTE_demand_forecast!Q146*#REF!,"-")</f>
        <v>-</v>
      </c>
      <c r="R138" s="78" t="str">
        <f>IFERROR(DTE_demand_forecast!R146*#REF!,"-")</f>
        <v>-</v>
      </c>
      <c r="S138" s="78" t="str">
        <f>IFERROR(DTE_demand_forecast!S146*#REF!,"-")</f>
        <v>-</v>
      </c>
      <c r="T138" s="78" t="str">
        <f>IFERROR(DTE_demand_forecast!T146*#REF!,"-")</f>
        <v>-</v>
      </c>
      <c r="U138" s="78" t="str">
        <f>IFERROR(DTE_demand_forecast!U146*#REF!,"-")</f>
        <v>-</v>
      </c>
      <c r="V138" s="78" t="str">
        <f>IFERROR(DTE_demand_forecast!V146*#REF!,"-")</f>
        <v>-</v>
      </c>
    </row>
    <row r="139" spans="1:22" x14ac:dyDescent="0.3">
      <c r="A139" s="511"/>
      <c r="B139" s="30" t="s">
        <v>42</v>
      </c>
      <c r="C139" s="78" t="str">
        <f>IFERROR(DTE_demand_forecast!C147*#REF!,"-")</f>
        <v>-</v>
      </c>
      <c r="D139" s="78" t="str">
        <f>IFERROR(DTE_demand_forecast!D147*#REF!,"-")</f>
        <v>-</v>
      </c>
      <c r="E139" s="78" t="str">
        <f>IFERROR(DTE_demand_forecast!E147*#REF!,"-")</f>
        <v>-</v>
      </c>
      <c r="F139" s="78" t="str">
        <f>IFERROR(DTE_demand_forecast!F147*#REF!,"-")</f>
        <v>-</v>
      </c>
      <c r="G139" s="78" t="str">
        <f>IFERROR(DTE_demand_forecast!G147*#REF!,"-")</f>
        <v>-</v>
      </c>
      <c r="H139" s="78" t="str">
        <f>IFERROR(DTE_demand_forecast!H147*#REF!,"-")</f>
        <v>-</v>
      </c>
      <c r="I139" s="78" t="str">
        <f>IFERROR(DTE_demand_forecast!I147*#REF!,"-")</f>
        <v>-</v>
      </c>
      <c r="J139" s="78" t="str">
        <f>IFERROR(DTE_demand_forecast!J147*#REF!,"-")</f>
        <v>-</v>
      </c>
      <c r="K139" s="78" t="str">
        <f>IFERROR(DTE_demand_forecast!K147*#REF!,"-")</f>
        <v>-</v>
      </c>
      <c r="L139" s="78" t="str">
        <f>IFERROR(DTE_demand_forecast!L147*#REF!,"-")</f>
        <v>-</v>
      </c>
      <c r="M139" s="78" t="str">
        <f>IFERROR(DTE_demand_forecast!M147*#REF!,"-")</f>
        <v>-</v>
      </c>
      <c r="N139" s="78" t="str">
        <f>IFERROR(DTE_demand_forecast!N147*#REF!,"-")</f>
        <v>-</v>
      </c>
      <c r="O139" s="78" t="str">
        <f>IFERROR(DTE_demand_forecast!O147*#REF!,"-")</f>
        <v>-</v>
      </c>
      <c r="P139" s="78" t="str">
        <f>IFERROR(DTE_demand_forecast!P147*#REF!,"-")</f>
        <v>-</v>
      </c>
      <c r="Q139" s="78" t="str">
        <f>IFERROR(DTE_demand_forecast!Q147*#REF!,"-")</f>
        <v>-</v>
      </c>
      <c r="R139" s="78" t="str">
        <f>IFERROR(DTE_demand_forecast!R147*#REF!,"-")</f>
        <v>-</v>
      </c>
      <c r="S139" s="78" t="str">
        <f>IFERROR(DTE_demand_forecast!S147*#REF!,"-")</f>
        <v>-</v>
      </c>
      <c r="T139" s="78" t="str">
        <f>IFERROR(DTE_demand_forecast!T147*#REF!,"-")</f>
        <v>-</v>
      </c>
      <c r="U139" s="78" t="str">
        <f>IFERROR(DTE_demand_forecast!U147*#REF!,"-")</f>
        <v>-</v>
      </c>
      <c r="V139" s="78" t="str">
        <f>IFERROR(DTE_demand_forecast!V147*#REF!,"-")</f>
        <v>-</v>
      </c>
    </row>
    <row r="140" spans="1:22" x14ac:dyDescent="0.3">
      <c r="A140" s="511"/>
      <c r="B140" s="30" t="s">
        <v>45</v>
      </c>
      <c r="C140" s="78" t="str">
        <f>IFERROR(DTE_demand_forecast!C148*#REF!,"-")</f>
        <v>-</v>
      </c>
      <c r="D140" s="78" t="str">
        <f>IFERROR(DTE_demand_forecast!D148*#REF!,"-")</f>
        <v>-</v>
      </c>
      <c r="E140" s="78" t="str">
        <f>IFERROR(DTE_demand_forecast!E148*#REF!,"-")</f>
        <v>-</v>
      </c>
      <c r="F140" s="78" t="str">
        <f>IFERROR(DTE_demand_forecast!F148*#REF!,"-")</f>
        <v>-</v>
      </c>
      <c r="G140" s="78" t="str">
        <f>IFERROR(DTE_demand_forecast!G148*#REF!,"-")</f>
        <v>-</v>
      </c>
      <c r="H140" s="78" t="str">
        <f>IFERROR(DTE_demand_forecast!H148*#REF!,"-")</f>
        <v>-</v>
      </c>
      <c r="I140" s="78" t="str">
        <f>IFERROR(DTE_demand_forecast!I148*#REF!,"-")</f>
        <v>-</v>
      </c>
      <c r="J140" s="78" t="str">
        <f>IFERROR(DTE_demand_forecast!J148*#REF!,"-")</f>
        <v>-</v>
      </c>
      <c r="K140" s="78" t="str">
        <f>IFERROR(DTE_demand_forecast!K148*#REF!,"-")</f>
        <v>-</v>
      </c>
      <c r="L140" s="78" t="str">
        <f>IFERROR(DTE_demand_forecast!L148*#REF!,"-")</f>
        <v>-</v>
      </c>
      <c r="M140" s="78" t="str">
        <f>IFERROR(DTE_demand_forecast!M148*#REF!,"-")</f>
        <v>-</v>
      </c>
      <c r="N140" s="78" t="str">
        <f>IFERROR(DTE_demand_forecast!N148*#REF!,"-")</f>
        <v>-</v>
      </c>
      <c r="O140" s="78" t="str">
        <f>IFERROR(DTE_demand_forecast!O148*#REF!,"-")</f>
        <v>-</v>
      </c>
      <c r="P140" s="78" t="str">
        <f>IFERROR(DTE_demand_forecast!P148*#REF!,"-")</f>
        <v>-</v>
      </c>
      <c r="Q140" s="78" t="str">
        <f>IFERROR(DTE_demand_forecast!Q148*#REF!,"-")</f>
        <v>-</v>
      </c>
      <c r="R140" s="78" t="str">
        <f>IFERROR(DTE_demand_forecast!R148*#REF!,"-")</f>
        <v>-</v>
      </c>
      <c r="S140" s="78" t="str">
        <f>IFERROR(DTE_demand_forecast!S148*#REF!,"-")</f>
        <v>-</v>
      </c>
      <c r="T140" s="78" t="str">
        <f>IFERROR(DTE_demand_forecast!T148*#REF!,"-")</f>
        <v>-</v>
      </c>
      <c r="U140" s="78" t="str">
        <f>IFERROR(DTE_demand_forecast!U148*#REF!,"-")</f>
        <v>-</v>
      </c>
      <c r="V140" s="78" t="str">
        <f>IFERROR(DTE_demand_forecast!V148*#REF!,"-")</f>
        <v>-</v>
      </c>
    </row>
    <row r="141" spans="1:22" x14ac:dyDescent="0.3">
      <c r="A141" s="511"/>
      <c r="B141" s="30" t="s">
        <v>84</v>
      </c>
      <c r="C141" s="124">
        <f t="shared" ref="C141:V141" si="7">SUM(C133:C140)</f>
        <v>0</v>
      </c>
      <c r="D141" s="124">
        <f t="shared" si="7"/>
        <v>0</v>
      </c>
      <c r="E141" s="124">
        <f t="shared" si="7"/>
        <v>0</v>
      </c>
      <c r="F141" s="124">
        <f t="shared" si="7"/>
        <v>0</v>
      </c>
      <c r="G141" s="124">
        <f t="shared" si="7"/>
        <v>0</v>
      </c>
      <c r="H141" s="124">
        <f t="shared" si="7"/>
        <v>0</v>
      </c>
      <c r="I141" s="124">
        <f t="shared" si="7"/>
        <v>0</v>
      </c>
      <c r="J141" s="124">
        <f t="shared" si="7"/>
        <v>0</v>
      </c>
      <c r="K141" s="124">
        <f t="shared" si="7"/>
        <v>0</v>
      </c>
      <c r="L141" s="124">
        <f t="shared" si="7"/>
        <v>0</v>
      </c>
      <c r="M141" s="124">
        <f t="shared" si="7"/>
        <v>0</v>
      </c>
      <c r="N141" s="124">
        <f t="shared" si="7"/>
        <v>0</v>
      </c>
      <c r="O141" s="124">
        <f t="shared" si="7"/>
        <v>0</v>
      </c>
      <c r="P141" s="124">
        <f t="shared" si="7"/>
        <v>0</v>
      </c>
      <c r="Q141" s="124">
        <f t="shared" si="7"/>
        <v>0</v>
      </c>
      <c r="R141" s="124">
        <f t="shared" si="7"/>
        <v>0</v>
      </c>
      <c r="S141" s="124">
        <f t="shared" si="7"/>
        <v>0</v>
      </c>
      <c r="T141" s="124">
        <f t="shared" si="7"/>
        <v>0</v>
      </c>
      <c r="U141" s="124">
        <f t="shared" si="7"/>
        <v>0</v>
      </c>
      <c r="V141" s="124">
        <f t="shared" si="7"/>
        <v>0</v>
      </c>
    </row>
    <row r="142" spans="1:22" x14ac:dyDescent="0.3">
      <c r="A142" s="511"/>
    </row>
    <row r="143" spans="1:22" x14ac:dyDescent="0.3">
      <c r="A143" s="511"/>
    </row>
    <row r="144" spans="1:22" x14ac:dyDescent="0.3">
      <c r="A144" s="511"/>
    </row>
    <row r="145" spans="1:22" x14ac:dyDescent="0.3">
      <c r="A145" s="511"/>
    </row>
    <row r="146" spans="1:22" x14ac:dyDescent="0.3">
      <c r="A146" s="511"/>
    </row>
    <row r="147" spans="1:22" x14ac:dyDescent="0.3">
      <c r="A147" s="511"/>
    </row>
    <row r="148" spans="1:22" x14ac:dyDescent="0.3">
      <c r="A148" s="511"/>
    </row>
    <row r="149" spans="1:22" x14ac:dyDescent="0.3">
      <c r="A149" s="511"/>
      <c r="B149" s="32" t="s">
        <v>151</v>
      </c>
      <c r="L149" s="18"/>
      <c r="M149" s="18"/>
    </row>
    <row r="150" spans="1:22" x14ac:dyDescent="0.3">
      <c r="A150" s="511"/>
      <c r="B150" s="75" t="s">
        <v>82</v>
      </c>
      <c r="C150" s="75">
        <v>2021</v>
      </c>
      <c r="D150" s="76">
        <v>2022</v>
      </c>
      <c r="E150" s="75">
        <v>2023</v>
      </c>
      <c r="F150" s="76">
        <v>2024</v>
      </c>
      <c r="G150" s="75">
        <v>2025</v>
      </c>
      <c r="H150" s="76">
        <v>2026</v>
      </c>
      <c r="I150" s="75">
        <v>2027</v>
      </c>
      <c r="J150" s="76">
        <v>2028</v>
      </c>
      <c r="K150" s="75">
        <v>2029</v>
      </c>
      <c r="L150" s="76">
        <v>2030</v>
      </c>
      <c r="M150" s="75">
        <v>2031</v>
      </c>
      <c r="N150" s="76">
        <v>2032</v>
      </c>
      <c r="O150" s="75">
        <v>2033</v>
      </c>
      <c r="P150" s="76">
        <v>2034</v>
      </c>
      <c r="Q150" s="75">
        <v>2035</v>
      </c>
      <c r="R150" s="76">
        <v>2036</v>
      </c>
      <c r="S150" s="75">
        <v>2037</v>
      </c>
      <c r="T150" s="76">
        <v>2038</v>
      </c>
      <c r="U150" s="75">
        <v>2039</v>
      </c>
      <c r="V150" s="76">
        <v>2040</v>
      </c>
    </row>
    <row r="151" spans="1:22" x14ac:dyDescent="0.3">
      <c r="A151" s="511"/>
      <c r="B151" s="30" t="s">
        <v>43</v>
      </c>
      <c r="C151" s="78" t="str">
        <f>IFERROR(DTE_demand_forecast!C220*#REF!,"-")</f>
        <v>-</v>
      </c>
      <c r="D151" s="78" t="str">
        <f>IFERROR(DTE_demand_forecast!D220*#REF!,"-")</f>
        <v>-</v>
      </c>
      <c r="E151" s="78" t="str">
        <f>IFERROR(DTE_demand_forecast!E220*#REF!,"-")</f>
        <v>-</v>
      </c>
      <c r="F151" s="78" t="str">
        <f>IFERROR(DTE_demand_forecast!F220*#REF!,"-")</f>
        <v>-</v>
      </c>
      <c r="G151" s="78" t="str">
        <f>IFERROR(DTE_demand_forecast!G220*#REF!,"-")</f>
        <v>-</v>
      </c>
      <c r="H151" s="78" t="str">
        <f>IFERROR(DTE_demand_forecast!H220*#REF!,"-")</f>
        <v>-</v>
      </c>
      <c r="I151" s="78" t="str">
        <f>IFERROR(DTE_demand_forecast!I220*#REF!,"-")</f>
        <v>-</v>
      </c>
      <c r="J151" s="78" t="str">
        <f>IFERROR(DTE_demand_forecast!J220*#REF!,"-")</f>
        <v>-</v>
      </c>
      <c r="K151" s="78" t="str">
        <f>IFERROR(DTE_demand_forecast!K220*#REF!,"-")</f>
        <v>-</v>
      </c>
      <c r="L151" s="78" t="str">
        <f>IFERROR(DTE_demand_forecast!L220*#REF!,"-")</f>
        <v>-</v>
      </c>
      <c r="M151" s="78" t="str">
        <f>IFERROR(DTE_demand_forecast!M220*#REF!,"-")</f>
        <v>-</v>
      </c>
      <c r="N151" s="78" t="str">
        <f>IFERROR(DTE_demand_forecast!N220*#REF!,"-")</f>
        <v>-</v>
      </c>
      <c r="O151" s="78" t="str">
        <f>IFERROR(DTE_demand_forecast!O220*#REF!,"-")</f>
        <v>-</v>
      </c>
      <c r="P151" s="78" t="str">
        <f>IFERROR(DTE_demand_forecast!P220*#REF!,"-")</f>
        <v>-</v>
      </c>
      <c r="Q151" s="78" t="str">
        <f>IFERROR(DTE_demand_forecast!Q220*#REF!,"-")</f>
        <v>-</v>
      </c>
      <c r="R151" s="78" t="str">
        <f>IFERROR(DTE_demand_forecast!R220*#REF!,"-")</f>
        <v>-</v>
      </c>
      <c r="S151" s="78" t="str">
        <f>IFERROR(DTE_demand_forecast!S220*#REF!,"-")</f>
        <v>-</v>
      </c>
      <c r="T151" s="78" t="str">
        <f>IFERROR(DTE_demand_forecast!T220*#REF!,"-")</f>
        <v>-</v>
      </c>
      <c r="U151" s="78" t="str">
        <f>IFERROR(DTE_demand_forecast!U220*#REF!,"-")</f>
        <v>-</v>
      </c>
      <c r="V151" s="78" t="str">
        <f>IFERROR(DTE_demand_forecast!V220*#REF!,"-")</f>
        <v>-</v>
      </c>
    </row>
    <row r="152" spans="1:22" x14ac:dyDescent="0.3">
      <c r="A152" s="511"/>
      <c r="B152" s="30" t="s">
        <v>41</v>
      </c>
      <c r="C152" s="78" t="str">
        <f>IFERROR(DTE_demand_forecast!C221*#REF!,"-")</f>
        <v>-</v>
      </c>
      <c r="D152" s="78" t="str">
        <f>IFERROR(DTE_demand_forecast!D221*#REF!,"-")</f>
        <v>-</v>
      </c>
      <c r="E152" s="78" t="str">
        <f>IFERROR(DTE_demand_forecast!E221*#REF!,"-")</f>
        <v>-</v>
      </c>
      <c r="F152" s="78" t="str">
        <f>IFERROR(DTE_demand_forecast!F221*#REF!,"-")</f>
        <v>-</v>
      </c>
      <c r="G152" s="78" t="str">
        <f>IFERROR(DTE_demand_forecast!G221*#REF!,"-")</f>
        <v>-</v>
      </c>
      <c r="H152" s="78" t="str">
        <f>IFERROR(DTE_demand_forecast!H221*#REF!,"-")</f>
        <v>-</v>
      </c>
      <c r="I152" s="78" t="str">
        <f>IFERROR(DTE_demand_forecast!I221*#REF!,"-")</f>
        <v>-</v>
      </c>
      <c r="J152" s="78" t="str">
        <f>IFERROR(DTE_demand_forecast!J221*#REF!,"-")</f>
        <v>-</v>
      </c>
      <c r="K152" s="78" t="str">
        <f>IFERROR(DTE_demand_forecast!K221*#REF!,"-")</f>
        <v>-</v>
      </c>
      <c r="L152" s="78" t="str">
        <f>IFERROR(DTE_demand_forecast!L221*#REF!,"-")</f>
        <v>-</v>
      </c>
      <c r="M152" s="78" t="str">
        <f>IFERROR(DTE_demand_forecast!M221*#REF!,"-")</f>
        <v>-</v>
      </c>
      <c r="N152" s="78" t="str">
        <f>IFERROR(DTE_demand_forecast!N221*#REF!,"-")</f>
        <v>-</v>
      </c>
      <c r="O152" s="78" t="str">
        <f>IFERROR(DTE_demand_forecast!O221*#REF!,"-")</f>
        <v>-</v>
      </c>
      <c r="P152" s="78" t="str">
        <f>IFERROR(DTE_demand_forecast!P221*#REF!,"-")</f>
        <v>-</v>
      </c>
      <c r="Q152" s="78" t="str">
        <f>IFERROR(DTE_demand_forecast!Q221*#REF!,"-")</f>
        <v>-</v>
      </c>
      <c r="R152" s="78" t="str">
        <f>IFERROR(DTE_demand_forecast!R221*#REF!,"-")</f>
        <v>-</v>
      </c>
      <c r="S152" s="78" t="str">
        <f>IFERROR(DTE_demand_forecast!S221*#REF!,"-")</f>
        <v>-</v>
      </c>
      <c r="T152" s="78" t="str">
        <f>IFERROR(DTE_demand_forecast!T221*#REF!,"-")</f>
        <v>-</v>
      </c>
      <c r="U152" s="78" t="str">
        <f>IFERROR(DTE_demand_forecast!U221*#REF!,"-")</f>
        <v>-</v>
      </c>
      <c r="V152" s="78" t="str">
        <f>IFERROR(DTE_demand_forecast!V221*#REF!,"-")</f>
        <v>-</v>
      </c>
    </row>
    <row r="153" spans="1:22" x14ac:dyDescent="0.3">
      <c r="A153" s="511"/>
      <c r="B153" s="30" t="s">
        <v>40</v>
      </c>
      <c r="C153" s="78" t="str">
        <f>IFERROR(DTE_demand_forecast!C222*#REF!,"-")</f>
        <v>-</v>
      </c>
      <c r="D153" s="78" t="str">
        <f>IFERROR(DTE_demand_forecast!D222*#REF!,"-")</f>
        <v>-</v>
      </c>
      <c r="E153" s="78" t="str">
        <f>IFERROR(DTE_demand_forecast!E222*#REF!,"-")</f>
        <v>-</v>
      </c>
      <c r="F153" s="78" t="str">
        <f>IFERROR(DTE_demand_forecast!F222*#REF!,"-")</f>
        <v>-</v>
      </c>
      <c r="G153" s="78" t="str">
        <f>IFERROR(DTE_demand_forecast!G222*#REF!,"-")</f>
        <v>-</v>
      </c>
      <c r="H153" s="78" t="str">
        <f>IFERROR(DTE_demand_forecast!H222*#REF!,"-")</f>
        <v>-</v>
      </c>
      <c r="I153" s="78" t="str">
        <f>IFERROR(DTE_demand_forecast!I222*#REF!,"-")</f>
        <v>-</v>
      </c>
      <c r="J153" s="78" t="str">
        <f>IFERROR(DTE_demand_forecast!J222*#REF!,"-")</f>
        <v>-</v>
      </c>
      <c r="K153" s="78" t="str">
        <f>IFERROR(DTE_demand_forecast!K222*#REF!,"-")</f>
        <v>-</v>
      </c>
      <c r="L153" s="78" t="str">
        <f>IFERROR(DTE_demand_forecast!L222*#REF!,"-")</f>
        <v>-</v>
      </c>
      <c r="M153" s="78" t="str">
        <f>IFERROR(DTE_demand_forecast!M222*#REF!,"-")</f>
        <v>-</v>
      </c>
      <c r="N153" s="78" t="str">
        <f>IFERROR(DTE_demand_forecast!N222*#REF!,"-")</f>
        <v>-</v>
      </c>
      <c r="O153" s="78" t="str">
        <f>IFERROR(DTE_demand_forecast!O222*#REF!,"-")</f>
        <v>-</v>
      </c>
      <c r="P153" s="78" t="str">
        <f>IFERROR(DTE_demand_forecast!P222*#REF!,"-")</f>
        <v>-</v>
      </c>
      <c r="Q153" s="78" t="str">
        <f>IFERROR(DTE_demand_forecast!Q222*#REF!,"-")</f>
        <v>-</v>
      </c>
      <c r="R153" s="78" t="str">
        <f>IFERROR(DTE_demand_forecast!R222*#REF!,"-")</f>
        <v>-</v>
      </c>
      <c r="S153" s="78" t="str">
        <f>IFERROR(DTE_demand_forecast!S222*#REF!,"-")</f>
        <v>-</v>
      </c>
      <c r="T153" s="78" t="str">
        <f>IFERROR(DTE_demand_forecast!T222*#REF!,"-")</f>
        <v>-</v>
      </c>
      <c r="U153" s="78" t="str">
        <f>IFERROR(DTE_demand_forecast!U222*#REF!,"-")</f>
        <v>-</v>
      </c>
      <c r="V153" s="78" t="str">
        <f>IFERROR(DTE_demand_forecast!V222*#REF!,"-")</f>
        <v>-</v>
      </c>
    </row>
    <row r="154" spans="1:22" x14ac:dyDescent="0.3">
      <c r="A154" s="511"/>
      <c r="B154" s="30" t="s">
        <v>80</v>
      </c>
      <c r="C154" s="78" t="str">
        <f>IFERROR(DTE_demand_forecast!C223*#REF!,"-")</f>
        <v>-</v>
      </c>
      <c r="D154" s="78" t="str">
        <f>IFERROR(DTE_demand_forecast!D223*#REF!,"-")</f>
        <v>-</v>
      </c>
      <c r="E154" s="78" t="str">
        <f>IFERROR(DTE_demand_forecast!E223*#REF!,"-")</f>
        <v>-</v>
      </c>
      <c r="F154" s="78" t="str">
        <f>IFERROR(DTE_demand_forecast!F223*#REF!,"-")</f>
        <v>-</v>
      </c>
      <c r="G154" s="78" t="str">
        <f>IFERROR(DTE_demand_forecast!G223*#REF!,"-")</f>
        <v>-</v>
      </c>
      <c r="H154" s="78" t="str">
        <f>IFERROR(DTE_demand_forecast!H223*#REF!,"-")</f>
        <v>-</v>
      </c>
      <c r="I154" s="78" t="str">
        <f>IFERROR(DTE_demand_forecast!I223*#REF!,"-")</f>
        <v>-</v>
      </c>
      <c r="J154" s="78" t="str">
        <f>IFERROR(DTE_demand_forecast!J223*#REF!,"-")</f>
        <v>-</v>
      </c>
      <c r="K154" s="78" t="str">
        <f>IFERROR(DTE_demand_forecast!K223*#REF!,"-")</f>
        <v>-</v>
      </c>
      <c r="L154" s="78" t="str">
        <f>IFERROR(DTE_demand_forecast!L223*#REF!,"-")</f>
        <v>-</v>
      </c>
      <c r="M154" s="78" t="str">
        <f>IFERROR(DTE_demand_forecast!M223*#REF!,"-")</f>
        <v>-</v>
      </c>
      <c r="N154" s="78" t="str">
        <f>IFERROR(DTE_demand_forecast!N223*#REF!,"-")</f>
        <v>-</v>
      </c>
      <c r="O154" s="78" t="str">
        <f>IFERROR(DTE_demand_forecast!O223*#REF!,"-")</f>
        <v>-</v>
      </c>
      <c r="P154" s="78" t="str">
        <f>IFERROR(DTE_demand_forecast!P223*#REF!,"-")</f>
        <v>-</v>
      </c>
      <c r="Q154" s="78" t="str">
        <f>IFERROR(DTE_demand_forecast!Q223*#REF!,"-")</f>
        <v>-</v>
      </c>
      <c r="R154" s="78" t="str">
        <f>IFERROR(DTE_demand_forecast!R223*#REF!,"-")</f>
        <v>-</v>
      </c>
      <c r="S154" s="78" t="str">
        <f>IFERROR(DTE_demand_forecast!S223*#REF!,"-")</f>
        <v>-</v>
      </c>
      <c r="T154" s="78" t="str">
        <f>IFERROR(DTE_demand_forecast!T223*#REF!,"-")</f>
        <v>-</v>
      </c>
      <c r="U154" s="78" t="str">
        <f>IFERROR(DTE_demand_forecast!U223*#REF!,"-")</f>
        <v>-</v>
      </c>
      <c r="V154" s="78" t="str">
        <f>IFERROR(DTE_demand_forecast!V223*#REF!,"-")</f>
        <v>-</v>
      </c>
    </row>
    <row r="155" spans="1:22" x14ac:dyDescent="0.3">
      <c r="A155" s="511"/>
      <c r="B155" s="30" t="s">
        <v>44</v>
      </c>
      <c r="C155" s="78" t="str">
        <f>IFERROR(DTE_demand_forecast!C224*#REF!,"-")</f>
        <v>-</v>
      </c>
      <c r="D155" s="78" t="str">
        <f>IFERROR(DTE_demand_forecast!D224*#REF!,"-")</f>
        <v>-</v>
      </c>
      <c r="E155" s="78" t="str">
        <f>IFERROR(DTE_demand_forecast!E224*#REF!,"-")</f>
        <v>-</v>
      </c>
      <c r="F155" s="78" t="str">
        <f>IFERROR(DTE_demand_forecast!F224*#REF!,"-")</f>
        <v>-</v>
      </c>
      <c r="G155" s="78" t="str">
        <f>IFERROR(DTE_demand_forecast!G224*#REF!,"-")</f>
        <v>-</v>
      </c>
      <c r="H155" s="78" t="str">
        <f>IFERROR(DTE_demand_forecast!H224*#REF!,"-")</f>
        <v>-</v>
      </c>
      <c r="I155" s="78" t="str">
        <f>IFERROR(DTE_demand_forecast!I224*#REF!,"-")</f>
        <v>-</v>
      </c>
      <c r="J155" s="78" t="str">
        <f>IFERROR(DTE_demand_forecast!J224*#REF!,"-")</f>
        <v>-</v>
      </c>
      <c r="K155" s="78" t="str">
        <f>IFERROR(DTE_demand_forecast!K224*#REF!,"-")</f>
        <v>-</v>
      </c>
      <c r="L155" s="78" t="str">
        <f>IFERROR(DTE_demand_forecast!L224*#REF!,"-")</f>
        <v>-</v>
      </c>
      <c r="M155" s="78" t="str">
        <f>IFERROR(DTE_demand_forecast!M224*#REF!,"-")</f>
        <v>-</v>
      </c>
      <c r="N155" s="78" t="str">
        <f>IFERROR(DTE_demand_forecast!N224*#REF!,"-")</f>
        <v>-</v>
      </c>
      <c r="O155" s="78" t="str">
        <f>IFERROR(DTE_demand_forecast!O224*#REF!,"-")</f>
        <v>-</v>
      </c>
      <c r="P155" s="78" t="str">
        <f>IFERROR(DTE_demand_forecast!P224*#REF!,"-")</f>
        <v>-</v>
      </c>
      <c r="Q155" s="78" t="str">
        <f>IFERROR(DTE_demand_forecast!Q224*#REF!,"-")</f>
        <v>-</v>
      </c>
      <c r="R155" s="78" t="str">
        <f>IFERROR(DTE_demand_forecast!R224*#REF!,"-")</f>
        <v>-</v>
      </c>
      <c r="S155" s="78" t="str">
        <f>IFERROR(DTE_demand_forecast!S224*#REF!,"-")</f>
        <v>-</v>
      </c>
      <c r="T155" s="78" t="str">
        <f>IFERROR(DTE_demand_forecast!T224*#REF!,"-")</f>
        <v>-</v>
      </c>
      <c r="U155" s="78" t="str">
        <f>IFERROR(DTE_demand_forecast!U224*#REF!,"-")</f>
        <v>-</v>
      </c>
      <c r="V155" s="78" t="str">
        <f>IFERROR(DTE_demand_forecast!V224*#REF!,"-")</f>
        <v>-</v>
      </c>
    </row>
    <row r="156" spans="1:22" x14ac:dyDescent="0.3">
      <c r="A156" s="511"/>
      <c r="B156" s="30" t="s">
        <v>81</v>
      </c>
      <c r="C156" s="78" t="str">
        <f>IFERROR(DTE_demand_forecast!C225*#REF!,"-")</f>
        <v>-</v>
      </c>
      <c r="D156" s="78" t="str">
        <f>IFERROR(DTE_demand_forecast!D225*#REF!,"-")</f>
        <v>-</v>
      </c>
      <c r="E156" s="78" t="str">
        <f>IFERROR(DTE_demand_forecast!E225*#REF!,"-")</f>
        <v>-</v>
      </c>
      <c r="F156" s="78" t="str">
        <f>IFERROR(DTE_demand_forecast!F225*#REF!,"-")</f>
        <v>-</v>
      </c>
      <c r="G156" s="78" t="str">
        <f>IFERROR(DTE_demand_forecast!G225*#REF!,"-")</f>
        <v>-</v>
      </c>
      <c r="H156" s="78" t="str">
        <f>IFERROR(DTE_demand_forecast!H225*#REF!,"-")</f>
        <v>-</v>
      </c>
      <c r="I156" s="78" t="str">
        <f>IFERROR(DTE_demand_forecast!I225*#REF!,"-")</f>
        <v>-</v>
      </c>
      <c r="J156" s="78" t="str">
        <f>IFERROR(DTE_demand_forecast!J225*#REF!,"-")</f>
        <v>-</v>
      </c>
      <c r="K156" s="78" t="str">
        <f>IFERROR(DTE_demand_forecast!K225*#REF!,"-")</f>
        <v>-</v>
      </c>
      <c r="L156" s="78" t="str">
        <f>IFERROR(DTE_demand_forecast!L225*#REF!,"-")</f>
        <v>-</v>
      </c>
      <c r="M156" s="78" t="str">
        <f>IFERROR(DTE_demand_forecast!M225*#REF!,"-")</f>
        <v>-</v>
      </c>
      <c r="N156" s="78" t="str">
        <f>IFERROR(DTE_demand_forecast!N225*#REF!,"-")</f>
        <v>-</v>
      </c>
      <c r="O156" s="78" t="str">
        <f>IFERROR(DTE_demand_forecast!O225*#REF!,"-")</f>
        <v>-</v>
      </c>
      <c r="P156" s="78" t="str">
        <f>IFERROR(DTE_demand_forecast!P225*#REF!,"-")</f>
        <v>-</v>
      </c>
      <c r="Q156" s="78" t="str">
        <f>IFERROR(DTE_demand_forecast!Q225*#REF!,"-")</f>
        <v>-</v>
      </c>
      <c r="R156" s="78" t="str">
        <f>IFERROR(DTE_demand_forecast!R225*#REF!,"-")</f>
        <v>-</v>
      </c>
      <c r="S156" s="78" t="str">
        <f>IFERROR(DTE_demand_forecast!S225*#REF!,"-")</f>
        <v>-</v>
      </c>
      <c r="T156" s="78" t="str">
        <f>IFERROR(DTE_demand_forecast!T225*#REF!,"-")</f>
        <v>-</v>
      </c>
      <c r="U156" s="78" t="str">
        <f>IFERROR(DTE_demand_forecast!U225*#REF!,"-")</f>
        <v>-</v>
      </c>
      <c r="V156" s="78" t="str">
        <f>IFERROR(DTE_demand_forecast!V225*#REF!,"-")</f>
        <v>-</v>
      </c>
    </row>
    <row r="157" spans="1:22" x14ac:dyDescent="0.3">
      <c r="A157" s="511"/>
      <c r="B157" s="30" t="s">
        <v>42</v>
      </c>
      <c r="C157" s="78" t="str">
        <f>IFERROR(DTE_demand_forecast!C226*#REF!,"-")</f>
        <v>-</v>
      </c>
      <c r="D157" s="78" t="str">
        <f>IFERROR(DTE_demand_forecast!D226*#REF!,"-")</f>
        <v>-</v>
      </c>
      <c r="E157" s="78" t="str">
        <f>IFERROR(DTE_demand_forecast!E226*#REF!,"-")</f>
        <v>-</v>
      </c>
      <c r="F157" s="78" t="str">
        <f>IFERROR(DTE_demand_forecast!F226*#REF!,"-")</f>
        <v>-</v>
      </c>
      <c r="G157" s="78" t="str">
        <f>IFERROR(DTE_demand_forecast!G226*#REF!,"-")</f>
        <v>-</v>
      </c>
      <c r="H157" s="78" t="str">
        <f>IFERROR(DTE_demand_forecast!H226*#REF!,"-")</f>
        <v>-</v>
      </c>
      <c r="I157" s="78" t="str">
        <f>IFERROR(DTE_demand_forecast!I226*#REF!,"-")</f>
        <v>-</v>
      </c>
      <c r="J157" s="78" t="str">
        <f>IFERROR(DTE_demand_forecast!J226*#REF!,"-")</f>
        <v>-</v>
      </c>
      <c r="K157" s="78" t="str">
        <f>IFERROR(DTE_demand_forecast!K226*#REF!,"-")</f>
        <v>-</v>
      </c>
      <c r="L157" s="78" t="str">
        <f>IFERROR(DTE_demand_forecast!L226*#REF!,"-")</f>
        <v>-</v>
      </c>
      <c r="M157" s="78" t="str">
        <f>IFERROR(DTE_demand_forecast!M226*#REF!,"-")</f>
        <v>-</v>
      </c>
      <c r="N157" s="78" t="str">
        <f>IFERROR(DTE_demand_forecast!N226*#REF!,"-")</f>
        <v>-</v>
      </c>
      <c r="O157" s="78" t="str">
        <f>IFERROR(DTE_demand_forecast!O226*#REF!,"-")</f>
        <v>-</v>
      </c>
      <c r="P157" s="78" t="str">
        <f>IFERROR(DTE_demand_forecast!P226*#REF!,"-")</f>
        <v>-</v>
      </c>
      <c r="Q157" s="78" t="str">
        <f>IFERROR(DTE_demand_forecast!Q226*#REF!,"-")</f>
        <v>-</v>
      </c>
      <c r="R157" s="78" t="str">
        <f>IFERROR(DTE_demand_forecast!R226*#REF!,"-")</f>
        <v>-</v>
      </c>
      <c r="S157" s="78" t="str">
        <f>IFERROR(DTE_demand_forecast!S226*#REF!,"-")</f>
        <v>-</v>
      </c>
      <c r="T157" s="78" t="str">
        <f>IFERROR(DTE_demand_forecast!T226*#REF!,"-")</f>
        <v>-</v>
      </c>
      <c r="U157" s="78" t="str">
        <f>IFERROR(DTE_demand_forecast!U226*#REF!,"-")</f>
        <v>-</v>
      </c>
      <c r="V157" s="78" t="str">
        <f>IFERROR(DTE_demand_forecast!V226*#REF!,"-")</f>
        <v>-</v>
      </c>
    </row>
    <row r="158" spans="1:22" x14ac:dyDescent="0.3">
      <c r="A158" s="511"/>
      <c r="B158" s="30" t="s">
        <v>45</v>
      </c>
      <c r="C158" s="78" t="str">
        <f>IFERROR(DTE_demand_forecast!C227*#REF!,"-")</f>
        <v>-</v>
      </c>
      <c r="D158" s="78" t="str">
        <f>IFERROR(DTE_demand_forecast!D227*#REF!,"-")</f>
        <v>-</v>
      </c>
      <c r="E158" s="78" t="str">
        <f>IFERROR(DTE_demand_forecast!E227*#REF!,"-")</f>
        <v>-</v>
      </c>
      <c r="F158" s="78" t="str">
        <f>IFERROR(DTE_demand_forecast!F227*#REF!,"-")</f>
        <v>-</v>
      </c>
      <c r="G158" s="78" t="str">
        <f>IFERROR(DTE_demand_forecast!G227*#REF!,"-")</f>
        <v>-</v>
      </c>
      <c r="H158" s="78" t="str">
        <f>IFERROR(DTE_demand_forecast!H227*#REF!,"-")</f>
        <v>-</v>
      </c>
      <c r="I158" s="78" t="str">
        <f>IFERROR(DTE_demand_forecast!I227*#REF!,"-")</f>
        <v>-</v>
      </c>
      <c r="J158" s="78" t="str">
        <f>IFERROR(DTE_demand_forecast!J227*#REF!,"-")</f>
        <v>-</v>
      </c>
      <c r="K158" s="78" t="str">
        <f>IFERROR(DTE_demand_forecast!K227*#REF!,"-")</f>
        <v>-</v>
      </c>
      <c r="L158" s="78" t="str">
        <f>IFERROR(DTE_demand_forecast!L227*#REF!,"-")</f>
        <v>-</v>
      </c>
      <c r="M158" s="78" t="str">
        <f>IFERROR(DTE_demand_forecast!M227*#REF!,"-")</f>
        <v>-</v>
      </c>
      <c r="N158" s="78" t="str">
        <f>IFERROR(DTE_demand_forecast!N227*#REF!,"-")</f>
        <v>-</v>
      </c>
      <c r="O158" s="78" t="str">
        <f>IFERROR(DTE_demand_forecast!O227*#REF!,"-")</f>
        <v>-</v>
      </c>
      <c r="P158" s="78" t="str">
        <f>IFERROR(DTE_demand_forecast!P227*#REF!,"-")</f>
        <v>-</v>
      </c>
      <c r="Q158" s="78" t="str">
        <f>IFERROR(DTE_demand_forecast!Q227*#REF!,"-")</f>
        <v>-</v>
      </c>
      <c r="R158" s="78" t="str">
        <f>IFERROR(DTE_demand_forecast!R227*#REF!,"-")</f>
        <v>-</v>
      </c>
      <c r="S158" s="78" t="str">
        <f>IFERROR(DTE_demand_forecast!S227*#REF!,"-")</f>
        <v>-</v>
      </c>
      <c r="T158" s="78" t="str">
        <f>IFERROR(DTE_demand_forecast!T227*#REF!,"-")</f>
        <v>-</v>
      </c>
      <c r="U158" s="78" t="str">
        <f>IFERROR(DTE_demand_forecast!U227*#REF!,"-")</f>
        <v>-</v>
      </c>
      <c r="V158" s="78" t="str">
        <f>IFERROR(DTE_demand_forecast!V227*#REF!,"-")</f>
        <v>-</v>
      </c>
    </row>
    <row r="159" spans="1:22" x14ac:dyDescent="0.3">
      <c r="A159" s="511"/>
      <c r="B159" s="30" t="s">
        <v>84</v>
      </c>
      <c r="C159" s="124">
        <f t="shared" ref="C159:V159" si="8">SUM(C151:C158)</f>
        <v>0</v>
      </c>
      <c r="D159" s="124">
        <f t="shared" si="8"/>
        <v>0</v>
      </c>
      <c r="E159" s="124">
        <f t="shared" si="8"/>
        <v>0</v>
      </c>
      <c r="F159" s="124">
        <f t="shared" si="8"/>
        <v>0</v>
      </c>
      <c r="G159" s="124">
        <f t="shared" si="8"/>
        <v>0</v>
      </c>
      <c r="H159" s="124">
        <f t="shared" si="8"/>
        <v>0</v>
      </c>
      <c r="I159" s="124">
        <f t="shared" si="8"/>
        <v>0</v>
      </c>
      <c r="J159" s="124">
        <f t="shared" si="8"/>
        <v>0</v>
      </c>
      <c r="K159" s="124">
        <f t="shared" si="8"/>
        <v>0</v>
      </c>
      <c r="L159" s="124">
        <f t="shared" si="8"/>
        <v>0</v>
      </c>
      <c r="M159" s="124">
        <f t="shared" si="8"/>
        <v>0</v>
      </c>
      <c r="N159" s="124">
        <f t="shared" si="8"/>
        <v>0</v>
      </c>
      <c r="O159" s="124">
        <f t="shared" si="8"/>
        <v>0</v>
      </c>
      <c r="P159" s="124">
        <f t="shared" si="8"/>
        <v>0</v>
      </c>
      <c r="Q159" s="124">
        <f t="shared" si="8"/>
        <v>0</v>
      </c>
      <c r="R159" s="124">
        <f t="shared" si="8"/>
        <v>0</v>
      </c>
      <c r="S159" s="124">
        <f t="shared" si="8"/>
        <v>0</v>
      </c>
      <c r="T159" s="124">
        <f t="shared" si="8"/>
        <v>0</v>
      </c>
      <c r="U159" s="124">
        <f t="shared" si="8"/>
        <v>0</v>
      </c>
      <c r="V159" s="124">
        <f t="shared" si="8"/>
        <v>0</v>
      </c>
    </row>
    <row r="160" spans="1:22" x14ac:dyDescent="0.3">
      <c r="A160" s="511"/>
    </row>
    <row r="161" spans="1:22" x14ac:dyDescent="0.3">
      <c r="A161" s="511"/>
    </row>
    <row r="162" spans="1:22" x14ac:dyDescent="0.3">
      <c r="A162" s="511"/>
    </row>
    <row r="163" spans="1:22" x14ac:dyDescent="0.3">
      <c r="A163" s="511"/>
    </row>
    <row r="164" spans="1:22" x14ac:dyDescent="0.3">
      <c r="A164" s="511"/>
    </row>
    <row r="165" spans="1:22" x14ac:dyDescent="0.3">
      <c r="A165" s="511"/>
    </row>
    <row r="166" spans="1:22" x14ac:dyDescent="0.3">
      <c r="A166" s="511"/>
    </row>
    <row r="167" spans="1:22" x14ac:dyDescent="0.3">
      <c r="A167" s="511"/>
    </row>
    <row r="168" spans="1:22" x14ac:dyDescent="0.3">
      <c r="A168" s="511"/>
    </row>
    <row r="169" spans="1:22" x14ac:dyDescent="0.3">
      <c r="A169" s="510">
        <v>0.8</v>
      </c>
      <c r="B169" s="32" t="s">
        <v>149</v>
      </c>
      <c r="L169" s="18"/>
      <c r="M169" s="18"/>
    </row>
    <row r="170" spans="1:22" x14ac:dyDescent="0.3">
      <c r="A170" s="511"/>
      <c r="B170" s="75" t="s">
        <v>82</v>
      </c>
      <c r="C170" s="75">
        <v>2021</v>
      </c>
      <c r="D170" s="76">
        <v>2022</v>
      </c>
      <c r="E170" s="75">
        <v>2023</v>
      </c>
      <c r="F170" s="76">
        <v>2024</v>
      </c>
      <c r="G170" s="75">
        <v>2025</v>
      </c>
      <c r="H170" s="76">
        <v>2026</v>
      </c>
      <c r="I170" s="75">
        <v>2027</v>
      </c>
      <c r="J170" s="76">
        <v>2028</v>
      </c>
      <c r="K170" s="75">
        <v>2029</v>
      </c>
      <c r="L170" s="76">
        <v>2030</v>
      </c>
      <c r="M170" s="75">
        <v>2031</v>
      </c>
      <c r="N170" s="76">
        <v>2032</v>
      </c>
      <c r="O170" s="75">
        <v>2033</v>
      </c>
      <c r="P170" s="76">
        <v>2034</v>
      </c>
      <c r="Q170" s="75">
        <v>2035</v>
      </c>
      <c r="R170" s="76">
        <v>2036</v>
      </c>
      <c r="S170" s="75">
        <v>2037</v>
      </c>
      <c r="T170" s="76">
        <v>2038</v>
      </c>
      <c r="U170" s="75">
        <v>2039</v>
      </c>
      <c r="V170" s="76">
        <v>2040</v>
      </c>
    </row>
    <row r="171" spans="1:22" x14ac:dyDescent="0.3">
      <c r="A171" s="511"/>
      <c r="B171" s="30" t="s">
        <v>43</v>
      </c>
      <c r="C171" s="78" t="str">
        <f>IFERROR(DTE_demand_forecast!C62*#REF!,"-")</f>
        <v>-</v>
      </c>
      <c r="D171" s="78" t="str">
        <f>IFERROR(DTE_demand_forecast!D62*#REF!,"-")</f>
        <v>-</v>
      </c>
      <c r="E171" s="78" t="str">
        <f>IFERROR(DTE_demand_forecast!E62*#REF!,"-")</f>
        <v>-</v>
      </c>
      <c r="F171" s="78" t="str">
        <f>IFERROR(DTE_demand_forecast!F62*#REF!,"-")</f>
        <v>-</v>
      </c>
      <c r="G171" s="78" t="str">
        <f>IFERROR(DTE_demand_forecast!G62*#REF!,"-")</f>
        <v>-</v>
      </c>
      <c r="H171" s="78" t="str">
        <f>IFERROR(DTE_demand_forecast!H62*#REF!,"-")</f>
        <v>-</v>
      </c>
      <c r="I171" s="78" t="str">
        <f>IFERROR(DTE_demand_forecast!I62*#REF!,"-")</f>
        <v>-</v>
      </c>
      <c r="J171" s="78" t="str">
        <f>IFERROR(DTE_demand_forecast!J62*#REF!,"-")</f>
        <v>-</v>
      </c>
      <c r="K171" s="78" t="str">
        <f>IFERROR(DTE_demand_forecast!K62*#REF!,"-")</f>
        <v>-</v>
      </c>
      <c r="L171" s="78" t="str">
        <f>IFERROR(DTE_demand_forecast!L62*#REF!,"-")</f>
        <v>-</v>
      </c>
      <c r="M171" s="78" t="str">
        <f>IFERROR(DTE_demand_forecast!M62*#REF!,"-")</f>
        <v>-</v>
      </c>
      <c r="N171" s="78" t="str">
        <f>IFERROR(DTE_demand_forecast!N62*#REF!,"-")</f>
        <v>-</v>
      </c>
      <c r="O171" s="78" t="str">
        <f>IFERROR(DTE_demand_forecast!O62*#REF!,"-")</f>
        <v>-</v>
      </c>
      <c r="P171" s="78" t="str">
        <f>IFERROR(DTE_demand_forecast!P62*#REF!,"-")</f>
        <v>-</v>
      </c>
      <c r="Q171" s="78" t="str">
        <f>IFERROR(DTE_demand_forecast!Q62*#REF!,"-")</f>
        <v>-</v>
      </c>
      <c r="R171" s="78" t="str">
        <f>IFERROR(DTE_demand_forecast!R62*#REF!,"-")</f>
        <v>-</v>
      </c>
      <c r="S171" s="78" t="str">
        <f>IFERROR(DTE_demand_forecast!S62*#REF!,"-")</f>
        <v>-</v>
      </c>
      <c r="T171" s="78" t="str">
        <f>IFERROR(DTE_demand_forecast!T62*#REF!,"-")</f>
        <v>-</v>
      </c>
      <c r="U171" s="78" t="str">
        <f>IFERROR(DTE_demand_forecast!U62*#REF!,"-")</f>
        <v>-</v>
      </c>
      <c r="V171" s="78" t="str">
        <f>IFERROR(DTE_demand_forecast!V62*#REF!,"-")</f>
        <v>-</v>
      </c>
    </row>
    <row r="172" spans="1:22" x14ac:dyDescent="0.3">
      <c r="A172" s="511"/>
      <c r="B172" s="30" t="s">
        <v>41</v>
      </c>
      <c r="C172" s="78" t="str">
        <f>IFERROR(DTE_demand_forecast!C63*#REF!,"-")</f>
        <v>-</v>
      </c>
      <c r="D172" s="78" t="str">
        <f>IFERROR(DTE_demand_forecast!D63*#REF!,"-")</f>
        <v>-</v>
      </c>
      <c r="E172" s="78" t="str">
        <f>IFERROR(DTE_demand_forecast!E63*#REF!,"-")</f>
        <v>-</v>
      </c>
      <c r="F172" s="78" t="str">
        <f>IFERROR(DTE_demand_forecast!F63*#REF!,"-")</f>
        <v>-</v>
      </c>
      <c r="G172" s="78" t="str">
        <f>IFERROR(DTE_demand_forecast!G63*#REF!,"-")</f>
        <v>-</v>
      </c>
      <c r="H172" s="78" t="str">
        <f>IFERROR(DTE_demand_forecast!H63*#REF!,"-")</f>
        <v>-</v>
      </c>
      <c r="I172" s="78" t="str">
        <f>IFERROR(DTE_demand_forecast!I63*#REF!,"-")</f>
        <v>-</v>
      </c>
      <c r="J172" s="78" t="str">
        <f>IFERROR(DTE_demand_forecast!J63*#REF!,"-")</f>
        <v>-</v>
      </c>
      <c r="K172" s="78" t="str">
        <f>IFERROR(DTE_demand_forecast!K63*#REF!,"-")</f>
        <v>-</v>
      </c>
      <c r="L172" s="78" t="str">
        <f>IFERROR(DTE_demand_forecast!L63*#REF!,"-")</f>
        <v>-</v>
      </c>
      <c r="M172" s="78" t="str">
        <f>IFERROR(DTE_demand_forecast!M63*#REF!,"-")</f>
        <v>-</v>
      </c>
      <c r="N172" s="78" t="str">
        <f>IFERROR(DTE_demand_forecast!N63*#REF!,"-")</f>
        <v>-</v>
      </c>
      <c r="O172" s="78" t="str">
        <f>IFERROR(DTE_demand_forecast!O63*#REF!,"-")</f>
        <v>-</v>
      </c>
      <c r="P172" s="78" t="str">
        <f>IFERROR(DTE_demand_forecast!P63*#REF!,"-")</f>
        <v>-</v>
      </c>
      <c r="Q172" s="78" t="str">
        <f>IFERROR(DTE_demand_forecast!Q63*#REF!,"-")</f>
        <v>-</v>
      </c>
      <c r="R172" s="78" t="str">
        <f>IFERROR(DTE_demand_forecast!R63*#REF!,"-")</f>
        <v>-</v>
      </c>
      <c r="S172" s="78" t="str">
        <f>IFERROR(DTE_demand_forecast!S63*#REF!,"-")</f>
        <v>-</v>
      </c>
      <c r="T172" s="78" t="str">
        <f>IFERROR(DTE_demand_forecast!T63*#REF!,"-")</f>
        <v>-</v>
      </c>
      <c r="U172" s="78" t="str">
        <f>IFERROR(DTE_demand_forecast!U63*#REF!,"-")</f>
        <v>-</v>
      </c>
      <c r="V172" s="78" t="str">
        <f>IFERROR(DTE_demand_forecast!V63*#REF!,"-")</f>
        <v>-</v>
      </c>
    </row>
    <row r="173" spans="1:22" x14ac:dyDescent="0.3">
      <c r="A173" s="511"/>
      <c r="B173" s="30" t="s">
        <v>40</v>
      </c>
      <c r="C173" s="78" t="str">
        <f>IFERROR(DTE_demand_forecast!C64*#REF!,"-")</f>
        <v>-</v>
      </c>
      <c r="D173" s="78" t="str">
        <f>IFERROR(DTE_demand_forecast!D64*#REF!,"-")</f>
        <v>-</v>
      </c>
      <c r="E173" s="78" t="str">
        <f>IFERROR(DTE_demand_forecast!E64*#REF!,"-")</f>
        <v>-</v>
      </c>
      <c r="F173" s="78" t="str">
        <f>IFERROR(DTE_demand_forecast!F64*#REF!,"-")</f>
        <v>-</v>
      </c>
      <c r="G173" s="78" t="str">
        <f>IFERROR(DTE_demand_forecast!G64*#REF!,"-")</f>
        <v>-</v>
      </c>
      <c r="H173" s="78" t="str">
        <f>IFERROR(DTE_demand_forecast!H64*#REF!,"-")</f>
        <v>-</v>
      </c>
      <c r="I173" s="78" t="str">
        <f>IFERROR(DTE_demand_forecast!I64*#REF!,"-")</f>
        <v>-</v>
      </c>
      <c r="J173" s="78" t="str">
        <f>IFERROR(DTE_demand_forecast!J64*#REF!,"-")</f>
        <v>-</v>
      </c>
      <c r="K173" s="78" t="str">
        <f>IFERROR(DTE_demand_forecast!K64*#REF!,"-")</f>
        <v>-</v>
      </c>
      <c r="L173" s="78" t="str">
        <f>IFERROR(DTE_demand_forecast!L64*#REF!,"-")</f>
        <v>-</v>
      </c>
      <c r="M173" s="78" t="str">
        <f>IFERROR(DTE_demand_forecast!M64*#REF!,"-")</f>
        <v>-</v>
      </c>
      <c r="N173" s="78" t="str">
        <f>IFERROR(DTE_demand_forecast!N64*#REF!,"-")</f>
        <v>-</v>
      </c>
      <c r="O173" s="78" t="str">
        <f>IFERROR(DTE_demand_forecast!O64*#REF!,"-")</f>
        <v>-</v>
      </c>
      <c r="P173" s="78" t="str">
        <f>IFERROR(DTE_demand_forecast!P64*#REF!,"-")</f>
        <v>-</v>
      </c>
      <c r="Q173" s="78" t="str">
        <f>IFERROR(DTE_demand_forecast!Q64*#REF!,"-")</f>
        <v>-</v>
      </c>
      <c r="R173" s="78" t="str">
        <f>IFERROR(DTE_demand_forecast!R64*#REF!,"-")</f>
        <v>-</v>
      </c>
      <c r="S173" s="78" t="str">
        <f>IFERROR(DTE_demand_forecast!S64*#REF!,"-")</f>
        <v>-</v>
      </c>
      <c r="T173" s="78" t="str">
        <f>IFERROR(DTE_demand_forecast!T64*#REF!,"-")</f>
        <v>-</v>
      </c>
      <c r="U173" s="78" t="str">
        <f>IFERROR(DTE_demand_forecast!U64*#REF!,"-")</f>
        <v>-</v>
      </c>
      <c r="V173" s="78" t="str">
        <f>IFERROR(DTE_demand_forecast!V64*#REF!,"-")</f>
        <v>-</v>
      </c>
    </row>
    <row r="174" spans="1:22" x14ac:dyDescent="0.3">
      <c r="A174" s="511"/>
      <c r="B174" s="30" t="s">
        <v>80</v>
      </c>
      <c r="C174" s="78" t="str">
        <f>IFERROR(DTE_demand_forecast!C65*#REF!,"-")</f>
        <v>-</v>
      </c>
      <c r="D174" s="78" t="str">
        <f>IFERROR(DTE_demand_forecast!D65*#REF!,"-")</f>
        <v>-</v>
      </c>
      <c r="E174" s="78" t="str">
        <f>IFERROR(DTE_demand_forecast!E65*#REF!,"-")</f>
        <v>-</v>
      </c>
      <c r="F174" s="78" t="str">
        <f>IFERROR(DTE_demand_forecast!F65*#REF!,"-")</f>
        <v>-</v>
      </c>
      <c r="G174" s="78" t="str">
        <f>IFERROR(DTE_demand_forecast!G65*#REF!,"-")</f>
        <v>-</v>
      </c>
      <c r="H174" s="78" t="str">
        <f>IFERROR(DTE_demand_forecast!H65*#REF!,"-")</f>
        <v>-</v>
      </c>
      <c r="I174" s="78" t="str">
        <f>IFERROR(DTE_demand_forecast!I65*#REF!,"-")</f>
        <v>-</v>
      </c>
      <c r="J174" s="78" t="str">
        <f>IFERROR(DTE_demand_forecast!J65*#REF!,"-")</f>
        <v>-</v>
      </c>
      <c r="K174" s="78" t="str">
        <f>IFERROR(DTE_demand_forecast!K65*#REF!,"-")</f>
        <v>-</v>
      </c>
      <c r="L174" s="78" t="str">
        <f>IFERROR(DTE_demand_forecast!L65*#REF!,"-")</f>
        <v>-</v>
      </c>
      <c r="M174" s="78" t="str">
        <f>IFERROR(DTE_demand_forecast!M65*#REF!,"-")</f>
        <v>-</v>
      </c>
      <c r="N174" s="78" t="str">
        <f>IFERROR(DTE_demand_forecast!N65*#REF!,"-")</f>
        <v>-</v>
      </c>
      <c r="O174" s="78" t="str">
        <f>IFERROR(DTE_demand_forecast!O65*#REF!,"-")</f>
        <v>-</v>
      </c>
      <c r="P174" s="78" t="str">
        <f>IFERROR(DTE_demand_forecast!P65*#REF!,"-")</f>
        <v>-</v>
      </c>
      <c r="Q174" s="78" t="str">
        <f>IFERROR(DTE_demand_forecast!Q65*#REF!,"-")</f>
        <v>-</v>
      </c>
      <c r="R174" s="78" t="str">
        <f>IFERROR(DTE_demand_forecast!R65*#REF!,"-")</f>
        <v>-</v>
      </c>
      <c r="S174" s="78" t="str">
        <f>IFERROR(DTE_demand_forecast!S65*#REF!,"-")</f>
        <v>-</v>
      </c>
      <c r="T174" s="78" t="str">
        <f>IFERROR(DTE_demand_forecast!T65*#REF!,"-")</f>
        <v>-</v>
      </c>
      <c r="U174" s="78" t="str">
        <f>IFERROR(DTE_demand_forecast!U65*#REF!,"-")</f>
        <v>-</v>
      </c>
      <c r="V174" s="78" t="str">
        <f>IFERROR(DTE_demand_forecast!V65*#REF!,"-")</f>
        <v>-</v>
      </c>
    </row>
    <row r="175" spans="1:22" x14ac:dyDescent="0.3">
      <c r="A175" s="511"/>
      <c r="B175" s="30" t="s">
        <v>44</v>
      </c>
      <c r="C175" s="78" t="str">
        <f>IFERROR(DTE_demand_forecast!C66*#REF!,"-")</f>
        <v>-</v>
      </c>
      <c r="D175" s="78" t="str">
        <f>IFERROR(DTE_demand_forecast!D66*#REF!,"-")</f>
        <v>-</v>
      </c>
      <c r="E175" s="78" t="str">
        <f>IFERROR(DTE_demand_forecast!E66*#REF!,"-")</f>
        <v>-</v>
      </c>
      <c r="F175" s="78" t="str">
        <f>IFERROR(DTE_demand_forecast!F66*#REF!,"-")</f>
        <v>-</v>
      </c>
      <c r="G175" s="78" t="str">
        <f>IFERROR(DTE_demand_forecast!G66*#REF!,"-")</f>
        <v>-</v>
      </c>
      <c r="H175" s="78" t="str">
        <f>IFERROR(DTE_demand_forecast!H66*#REF!,"-")</f>
        <v>-</v>
      </c>
      <c r="I175" s="78" t="str">
        <f>IFERROR(DTE_demand_forecast!I66*#REF!,"-")</f>
        <v>-</v>
      </c>
      <c r="J175" s="78" t="str">
        <f>IFERROR(DTE_demand_forecast!J66*#REF!,"-")</f>
        <v>-</v>
      </c>
      <c r="K175" s="78" t="str">
        <f>IFERROR(DTE_demand_forecast!K66*#REF!,"-")</f>
        <v>-</v>
      </c>
      <c r="L175" s="78" t="str">
        <f>IFERROR(DTE_demand_forecast!L66*#REF!,"-")</f>
        <v>-</v>
      </c>
      <c r="M175" s="78" t="str">
        <f>IFERROR(DTE_demand_forecast!M66*#REF!,"-")</f>
        <v>-</v>
      </c>
      <c r="N175" s="78" t="str">
        <f>IFERROR(DTE_demand_forecast!N66*#REF!,"-")</f>
        <v>-</v>
      </c>
      <c r="O175" s="78" t="str">
        <f>IFERROR(DTE_demand_forecast!O66*#REF!,"-")</f>
        <v>-</v>
      </c>
      <c r="P175" s="78" t="str">
        <f>IFERROR(DTE_demand_forecast!P66*#REF!,"-")</f>
        <v>-</v>
      </c>
      <c r="Q175" s="78" t="str">
        <f>IFERROR(DTE_demand_forecast!Q66*#REF!,"-")</f>
        <v>-</v>
      </c>
      <c r="R175" s="78" t="str">
        <f>IFERROR(DTE_demand_forecast!R66*#REF!,"-")</f>
        <v>-</v>
      </c>
      <c r="S175" s="78" t="str">
        <f>IFERROR(DTE_demand_forecast!S66*#REF!,"-")</f>
        <v>-</v>
      </c>
      <c r="T175" s="78" t="str">
        <f>IFERROR(DTE_demand_forecast!T66*#REF!,"-")</f>
        <v>-</v>
      </c>
      <c r="U175" s="78" t="str">
        <f>IFERROR(DTE_demand_forecast!U66*#REF!,"-")</f>
        <v>-</v>
      </c>
      <c r="V175" s="78" t="str">
        <f>IFERROR(DTE_demand_forecast!V66*#REF!,"-")</f>
        <v>-</v>
      </c>
    </row>
    <row r="176" spans="1:22" x14ac:dyDescent="0.3">
      <c r="A176" s="511"/>
      <c r="B176" s="30" t="s">
        <v>81</v>
      </c>
      <c r="C176" s="78" t="str">
        <f>IFERROR(DTE_demand_forecast!C67*#REF!,"-")</f>
        <v>-</v>
      </c>
      <c r="D176" s="78" t="str">
        <f>IFERROR(DTE_demand_forecast!D67*#REF!,"-")</f>
        <v>-</v>
      </c>
      <c r="E176" s="78" t="str">
        <f>IFERROR(DTE_demand_forecast!E67*#REF!,"-")</f>
        <v>-</v>
      </c>
      <c r="F176" s="78" t="str">
        <f>IFERROR(DTE_demand_forecast!F67*#REF!,"-")</f>
        <v>-</v>
      </c>
      <c r="G176" s="78" t="str">
        <f>IFERROR(DTE_demand_forecast!G67*#REF!,"-")</f>
        <v>-</v>
      </c>
      <c r="H176" s="78" t="str">
        <f>IFERROR(DTE_demand_forecast!H67*#REF!,"-")</f>
        <v>-</v>
      </c>
      <c r="I176" s="78" t="str">
        <f>IFERROR(DTE_demand_forecast!I67*#REF!,"-")</f>
        <v>-</v>
      </c>
      <c r="J176" s="78" t="str">
        <f>IFERROR(DTE_demand_forecast!J67*#REF!,"-")</f>
        <v>-</v>
      </c>
      <c r="K176" s="78" t="str">
        <f>IFERROR(DTE_demand_forecast!K67*#REF!,"-")</f>
        <v>-</v>
      </c>
      <c r="L176" s="78" t="str">
        <f>IFERROR(DTE_demand_forecast!L67*#REF!,"-")</f>
        <v>-</v>
      </c>
      <c r="M176" s="78" t="str">
        <f>IFERROR(DTE_demand_forecast!M67*#REF!,"-")</f>
        <v>-</v>
      </c>
      <c r="N176" s="78" t="str">
        <f>IFERROR(DTE_demand_forecast!N67*#REF!,"-")</f>
        <v>-</v>
      </c>
      <c r="O176" s="78" t="str">
        <f>IFERROR(DTE_demand_forecast!O67*#REF!,"-")</f>
        <v>-</v>
      </c>
      <c r="P176" s="78" t="str">
        <f>IFERROR(DTE_demand_forecast!P67*#REF!,"-")</f>
        <v>-</v>
      </c>
      <c r="Q176" s="78" t="str">
        <f>IFERROR(DTE_demand_forecast!Q67*#REF!,"-")</f>
        <v>-</v>
      </c>
      <c r="R176" s="78" t="str">
        <f>IFERROR(DTE_demand_forecast!R67*#REF!,"-")</f>
        <v>-</v>
      </c>
      <c r="S176" s="78" t="str">
        <f>IFERROR(DTE_demand_forecast!S67*#REF!,"-")</f>
        <v>-</v>
      </c>
      <c r="T176" s="78" t="str">
        <f>IFERROR(DTE_demand_forecast!T67*#REF!,"-")</f>
        <v>-</v>
      </c>
      <c r="U176" s="78" t="str">
        <f>IFERROR(DTE_demand_forecast!U67*#REF!,"-")</f>
        <v>-</v>
      </c>
      <c r="V176" s="78" t="str">
        <f>IFERROR(DTE_demand_forecast!V67*#REF!,"-")</f>
        <v>-</v>
      </c>
    </row>
    <row r="177" spans="1:22" x14ac:dyDescent="0.3">
      <c r="A177" s="511"/>
      <c r="B177" s="30" t="s">
        <v>42</v>
      </c>
      <c r="C177" s="78" t="str">
        <f>IFERROR(DTE_demand_forecast!C68*#REF!,"-")</f>
        <v>-</v>
      </c>
      <c r="D177" s="78" t="str">
        <f>IFERROR(DTE_demand_forecast!D68*#REF!,"-")</f>
        <v>-</v>
      </c>
      <c r="E177" s="78" t="str">
        <f>IFERROR(DTE_demand_forecast!E68*#REF!,"-")</f>
        <v>-</v>
      </c>
      <c r="F177" s="78" t="str">
        <f>IFERROR(DTE_demand_forecast!F68*#REF!,"-")</f>
        <v>-</v>
      </c>
      <c r="G177" s="78" t="str">
        <f>IFERROR(DTE_demand_forecast!G68*#REF!,"-")</f>
        <v>-</v>
      </c>
      <c r="H177" s="78" t="str">
        <f>IFERROR(DTE_demand_forecast!H68*#REF!,"-")</f>
        <v>-</v>
      </c>
      <c r="I177" s="78" t="str">
        <f>IFERROR(DTE_demand_forecast!I68*#REF!,"-")</f>
        <v>-</v>
      </c>
      <c r="J177" s="78" t="str">
        <f>IFERROR(DTE_demand_forecast!J68*#REF!,"-")</f>
        <v>-</v>
      </c>
      <c r="K177" s="78" t="str">
        <f>IFERROR(DTE_demand_forecast!K68*#REF!,"-")</f>
        <v>-</v>
      </c>
      <c r="L177" s="78" t="str">
        <f>IFERROR(DTE_demand_forecast!L68*#REF!,"-")</f>
        <v>-</v>
      </c>
      <c r="M177" s="78" t="str">
        <f>IFERROR(DTE_demand_forecast!M68*#REF!,"-")</f>
        <v>-</v>
      </c>
      <c r="N177" s="78" t="str">
        <f>IFERROR(DTE_demand_forecast!N68*#REF!,"-")</f>
        <v>-</v>
      </c>
      <c r="O177" s="78" t="str">
        <f>IFERROR(DTE_demand_forecast!O68*#REF!,"-")</f>
        <v>-</v>
      </c>
      <c r="P177" s="78" t="str">
        <f>IFERROR(DTE_demand_forecast!P68*#REF!,"-")</f>
        <v>-</v>
      </c>
      <c r="Q177" s="78" t="str">
        <f>IFERROR(DTE_demand_forecast!Q68*#REF!,"-")</f>
        <v>-</v>
      </c>
      <c r="R177" s="78" t="str">
        <f>IFERROR(DTE_demand_forecast!R68*#REF!,"-")</f>
        <v>-</v>
      </c>
      <c r="S177" s="78" t="str">
        <f>IFERROR(DTE_demand_forecast!S68*#REF!,"-")</f>
        <v>-</v>
      </c>
      <c r="T177" s="78" t="str">
        <f>IFERROR(DTE_demand_forecast!T68*#REF!,"-")</f>
        <v>-</v>
      </c>
      <c r="U177" s="78" t="str">
        <f>IFERROR(DTE_demand_forecast!U68*#REF!,"-")</f>
        <v>-</v>
      </c>
      <c r="V177" s="78" t="str">
        <f>IFERROR(DTE_demand_forecast!V68*#REF!,"-")</f>
        <v>-</v>
      </c>
    </row>
    <row r="178" spans="1:22" x14ac:dyDescent="0.3">
      <c r="A178" s="511"/>
      <c r="B178" s="30" t="s">
        <v>45</v>
      </c>
      <c r="C178" s="78" t="str">
        <f>IFERROR(DTE_demand_forecast!C69*#REF!,"-")</f>
        <v>-</v>
      </c>
      <c r="D178" s="78" t="str">
        <f>IFERROR(DTE_demand_forecast!D69*#REF!,"-")</f>
        <v>-</v>
      </c>
      <c r="E178" s="78" t="str">
        <f>IFERROR(DTE_demand_forecast!E69*#REF!,"-")</f>
        <v>-</v>
      </c>
      <c r="F178" s="78" t="str">
        <f>IFERROR(DTE_demand_forecast!F69*#REF!,"-")</f>
        <v>-</v>
      </c>
      <c r="G178" s="78" t="str">
        <f>IFERROR(DTE_demand_forecast!G69*#REF!,"-")</f>
        <v>-</v>
      </c>
      <c r="H178" s="78" t="str">
        <f>IFERROR(DTE_demand_forecast!H69*#REF!,"-")</f>
        <v>-</v>
      </c>
      <c r="I178" s="78" t="str">
        <f>IFERROR(DTE_demand_forecast!I69*#REF!,"-")</f>
        <v>-</v>
      </c>
      <c r="J178" s="78" t="str">
        <f>IFERROR(DTE_demand_forecast!J69*#REF!,"-")</f>
        <v>-</v>
      </c>
      <c r="K178" s="78" t="str">
        <f>IFERROR(DTE_demand_forecast!K69*#REF!,"-")</f>
        <v>-</v>
      </c>
      <c r="L178" s="78" t="str">
        <f>IFERROR(DTE_demand_forecast!L69*#REF!,"-")</f>
        <v>-</v>
      </c>
      <c r="M178" s="78" t="str">
        <f>IFERROR(DTE_demand_forecast!M69*#REF!,"-")</f>
        <v>-</v>
      </c>
      <c r="N178" s="78" t="str">
        <f>IFERROR(DTE_demand_forecast!N69*#REF!,"-")</f>
        <v>-</v>
      </c>
      <c r="O178" s="78" t="str">
        <f>IFERROR(DTE_demand_forecast!O69*#REF!,"-")</f>
        <v>-</v>
      </c>
      <c r="P178" s="78" t="str">
        <f>IFERROR(DTE_demand_forecast!P69*#REF!,"-")</f>
        <v>-</v>
      </c>
      <c r="Q178" s="78" t="str">
        <f>IFERROR(DTE_demand_forecast!Q69*#REF!,"-")</f>
        <v>-</v>
      </c>
      <c r="R178" s="78" t="str">
        <f>IFERROR(DTE_demand_forecast!R69*#REF!,"-")</f>
        <v>-</v>
      </c>
      <c r="S178" s="78" t="str">
        <f>IFERROR(DTE_demand_forecast!S69*#REF!,"-")</f>
        <v>-</v>
      </c>
      <c r="T178" s="78" t="str">
        <f>IFERROR(DTE_demand_forecast!T69*#REF!,"-")</f>
        <v>-</v>
      </c>
      <c r="U178" s="78" t="str">
        <f>IFERROR(DTE_demand_forecast!U69*#REF!,"-")</f>
        <v>-</v>
      </c>
      <c r="V178" s="78" t="str">
        <f>IFERROR(DTE_demand_forecast!V69*#REF!,"-")</f>
        <v>-</v>
      </c>
    </row>
    <row r="179" spans="1:22" x14ac:dyDescent="0.3">
      <c r="A179" s="511"/>
      <c r="B179" s="31" t="s">
        <v>84</v>
      </c>
      <c r="C179" s="124">
        <f t="shared" ref="C179:V179" si="9">SUM(C171:C178)</f>
        <v>0</v>
      </c>
      <c r="D179" s="124">
        <f t="shared" si="9"/>
        <v>0</v>
      </c>
      <c r="E179" s="124">
        <f t="shared" si="9"/>
        <v>0</v>
      </c>
      <c r="F179" s="124">
        <f t="shared" si="9"/>
        <v>0</v>
      </c>
      <c r="G179" s="124">
        <f t="shared" si="9"/>
        <v>0</v>
      </c>
      <c r="H179" s="124">
        <f t="shared" si="9"/>
        <v>0</v>
      </c>
      <c r="I179" s="124">
        <f t="shared" si="9"/>
        <v>0</v>
      </c>
      <c r="J179" s="124">
        <f t="shared" si="9"/>
        <v>0</v>
      </c>
      <c r="K179" s="124">
        <f t="shared" si="9"/>
        <v>0</v>
      </c>
      <c r="L179" s="124">
        <f t="shared" si="9"/>
        <v>0</v>
      </c>
      <c r="M179" s="124">
        <f t="shared" si="9"/>
        <v>0</v>
      </c>
      <c r="N179" s="124">
        <f t="shared" si="9"/>
        <v>0</v>
      </c>
      <c r="O179" s="124">
        <f t="shared" si="9"/>
        <v>0</v>
      </c>
      <c r="P179" s="124">
        <f t="shared" si="9"/>
        <v>0</v>
      </c>
      <c r="Q179" s="124">
        <f t="shared" si="9"/>
        <v>0</v>
      </c>
      <c r="R179" s="124">
        <f t="shared" si="9"/>
        <v>0</v>
      </c>
      <c r="S179" s="124">
        <f t="shared" si="9"/>
        <v>0</v>
      </c>
      <c r="T179" s="124">
        <f t="shared" si="9"/>
        <v>0</v>
      </c>
      <c r="U179" s="124">
        <f t="shared" si="9"/>
        <v>0</v>
      </c>
      <c r="V179" s="124">
        <f t="shared" si="9"/>
        <v>0</v>
      </c>
    </row>
    <row r="180" spans="1:22" x14ac:dyDescent="0.3">
      <c r="A180" s="511"/>
      <c r="B180" s="125"/>
      <c r="C180" s="126"/>
      <c r="D180" s="126"/>
      <c r="E180" s="126"/>
      <c r="F180" s="126"/>
      <c r="G180" s="126"/>
      <c r="H180" s="126"/>
      <c r="I180" s="126"/>
      <c r="J180" s="126"/>
      <c r="K180" s="126"/>
      <c r="L180" s="126"/>
      <c r="M180" s="126"/>
      <c r="N180" s="126"/>
      <c r="O180" s="126"/>
      <c r="P180" s="126"/>
      <c r="Q180" s="126"/>
      <c r="R180" s="126"/>
      <c r="S180" s="126"/>
      <c r="T180" s="126"/>
      <c r="U180" s="126"/>
      <c r="V180" s="126"/>
    </row>
    <row r="181" spans="1:22" x14ac:dyDescent="0.3">
      <c r="A181" s="511"/>
      <c r="B181" s="125"/>
      <c r="C181" s="126"/>
      <c r="D181" s="126"/>
      <c r="E181" s="126"/>
      <c r="F181" s="126"/>
      <c r="G181" s="126"/>
      <c r="H181" s="126"/>
      <c r="I181" s="126"/>
      <c r="J181" s="126"/>
      <c r="K181" s="126"/>
      <c r="L181" s="126"/>
      <c r="M181" s="126"/>
      <c r="N181" s="126"/>
      <c r="O181" s="126"/>
      <c r="P181" s="126"/>
      <c r="Q181" s="126"/>
      <c r="R181" s="126"/>
      <c r="S181" s="126"/>
      <c r="T181" s="126"/>
      <c r="U181" s="126"/>
      <c r="V181" s="126"/>
    </row>
    <row r="182" spans="1:22" x14ac:dyDescent="0.3">
      <c r="A182" s="511"/>
      <c r="B182" s="125"/>
      <c r="C182" s="126"/>
      <c r="D182" s="126"/>
      <c r="E182" s="126"/>
      <c r="F182" s="126"/>
      <c r="G182" s="126"/>
      <c r="H182" s="126"/>
      <c r="I182" s="126"/>
      <c r="J182" s="126"/>
      <c r="K182" s="126"/>
      <c r="L182" s="126"/>
      <c r="M182" s="126"/>
      <c r="N182" s="126"/>
      <c r="O182" s="126"/>
      <c r="P182" s="126"/>
      <c r="Q182" s="126"/>
      <c r="R182" s="126"/>
      <c r="S182" s="126"/>
      <c r="T182" s="126"/>
      <c r="U182" s="126"/>
      <c r="V182" s="126"/>
    </row>
    <row r="183" spans="1:22" x14ac:dyDescent="0.3">
      <c r="A183" s="511"/>
      <c r="B183" s="125"/>
      <c r="C183" s="126"/>
      <c r="D183" s="126"/>
      <c r="E183" s="126"/>
      <c r="F183" s="126"/>
      <c r="G183" s="126"/>
      <c r="H183" s="126"/>
      <c r="I183" s="126"/>
      <c r="J183" s="126"/>
      <c r="K183" s="126"/>
      <c r="L183" s="126"/>
      <c r="M183" s="126"/>
      <c r="N183" s="126"/>
      <c r="O183" s="126"/>
      <c r="P183" s="126"/>
      <c r="Q183" s="126"/>
      <c r="R183" s="126"/>
      <c r="S183" s="126"/>
      <c r="T183" s="126"/>
      <c r="U183" s="126"/>
      <c r="V183" s="126"/>
    </row>
    <row r="184" spans="1:22" x14ac:dyDescent="0.3">
      <c r="A184" s="511"/>
      <c r="B184" s="125"/>
      <c r="C184" s="126"/>
      <c r="D184" s="126"/>
      <c r="E184" s="126"/>
      <c r="F184" s="126"/>
      <c r="G184" s="126"/>
      <c r="H184" s="126"/>
      <c r="I184" s="126"/>
      <c r="J184" s="126"/>
      <c r="K184" s="126"/>
      <c r="L184" s="126"/>
      <c r="M184" s="126"/>
      <c r="N184" s="126"/>
      <c r="O184" s="126"/>
      <c r="P184" s="126"/>
      <c r="Q184" s="126"/>
      <c r="R184" s="126"/>
      <c r="S184" s="126"/>
      <c r="T184" s="126"/>
      <c r="U184" s="126"/>
      <c r="V184" s="126"/>
    </row>
    <row r="185" spans="1:22" x14ac:dyDescent="0.3">
      <c r="A185" s="511"/>
    </row>
    <row r="186" spans="1:22" x14ac:dyDescent="0.3">
      <c r="A186" s="511"/>
    </row>
    <row r="187" spans="1:22" x14ac:dyDescent="0.3">
      <c r="A187" s="511"/>
      <c r="B187" s="32" t="s">
        <v>150</v>
      </c>
      <c r="L187" s="18"/>
      <c r="M187" s="18"/>
    </row>
    <row r="188" spans="1:22" x14ac:dyDescent="0.3">
      <c r="A188" s="511"/>
      <c r="B188" s="75" t="s">
        <v>82</v>
      </c>
      <c r="C188" s="75">
        <v>2021</v>
      </c>
      <c r="D188" s="76">
        <v>2022</v>
      </c>
      <c r="E188" s="75">
        <v>2023</v>
      </c>
      <c r="F188" s="76">
        <v>2024</v>
      </c>
      <c r="G188" s="75">
        <v>2025</v>
      </c>
      <c r="H188" s="76">
        <v>2026</v>
      </c>
      <c r="I188" s="75">
        <v>2027</v>
      </c>
      <c r="J188" s="76">
        <v>2028</v>
      </c>
      <c r="K188" s="75">
        <v>2029</v>
      </c>
      <c r="L188" s="76">
        <v>2030</v>
      </c>
      <c r="M188" s="75">
        <v>2031</v>
      </c>
      <c r="N188" s="76">
        <v>2032</v>
      </c>
      <c r="O188" s="75">
        <v>2033</v>
      </c>
      <c r="P188" s="76">
        <v>2034</v>
      </c>
      <c r="Q188" s="75">
        <v>2035</v>
      </c>
      <c r="R188" s="76">
        <v>2036</v>
      </c>
      <c r="S188" s="75">
        <v>2037</v>
      </c>
      <c r="T188" s="76">
        <v>2038</v>
      </c>
      <c r="U188" s="75">
        <v>2039</v>
      </c>
      <c r="V188" s="76">
        <v>2040</v>
      </c>
    </row>
    <row r="189" spans="1:22" x14ac:dyDescent="0.3">
      <c r="A189" s="511"/>
      <c r="B189" s="30" t="s">
        <v>43</v>
      </c>
      <c r="C189" s="78" t="str">
        <f>IFERROR(DTE_demand_forecast!C141*#REF!,"-")</f>
        <v>-</v>
      </c>
      <c r="D189" s="78" t="str">
        <f>IFERROR(DTE_demand_forecast!D141*#REF!,"-")</f>
        <v>-</v>
      </c>
      <c r="E189" s="78" t="str">
        <f>IFERROR(DTE_demand_forecast!E141*#REF!,"-")</f>
        <v>-</v>
      </c>
      <c r="F189" s="78" t="str">
        <f>IFERROR(DTE_demand_forecast!F141*#REF!,"-")</f>
        <v>-</v>
      </c>
      <c r="G189" s="78" t="str">
        <f>IFERROR(DTE_demand_forecast!G141*#REF!,"-")</f>
        <v>-</v>
      </c>
      <c r="H189" s="78" t="str">
        <f>IFERROR(DTE_demand_forecast!H141*#REF!,"-")</f>
        <v>-</v>
      </c>
      <c r="I189" s="78" t="str">
        <f>IFERROR(DTE_demand_forecast!I141*#REF!,"-")</f>
        <v>-</v>
      </c>
      <c r="J189" s="78" t="str">
        <f>IFERROR(DTE_demand_forecast!J141*#REF!,"-")</f>
        <v>-</v>
      </c>
      <c r="K189" s="78" t="str">
        <f>IFERROR(DTE_demand_forecast!K141*#REF!,"-")</f>
        <v>-</v>
      </c>
      <c r="L189" s="78" t="str">
        <f>IFERROR(DTE_demand_forecast!L141*#REF!,"-")</f>
        <v>-</v>
      </c>
      <c r="M189" s="78" t="str">
        <f>IFERROR(DTE_demand_forecast!M141*#REF!,"-")</f>
        <v>-</v>
      </c>
      <c r="N189" s="78" t="str">
        <f>IFERROR(DTE_demand_forecast!N141*#REF!,"-")</f>
        <v>-</v>
      </c>
      <c r="O189" s="78" t="str">
        <f>IFERROR(DTE_demand_forecast!O141*#REF!,"-")</f>
        <v>-</v>
      </c>
      <c r="P189" s="78" t="str">
        <f>IFERROR(DTE_demand_forecast!P141*#REF!,"-")</f>
        <v>-</v>
      </c>
      <c r="Q189" s="78" t="str">
        <f>IFERROR(DTE_demand_forecast!Q141*#REF!,"-")</f>
        <v>-</v>
      </c>
      <c r="R189" s="78" t="str">
        <f>IFERROR(DTE_demand_forecast!R141*#REF!,"-")</f>
        <v>-</v>
      </c>
      <c r="S189" s="78" t="str">
        <f>IFERROR(DTE_demand_forecast!S141*#REF!,"-")</f>
        <v>-</v>
      </c>
      <c r="T189" s="78" t="str">
        <f>IFERROR(DTE_demand_forecast!T141*#REF!,"-")</f>
        <v>-</v>
      </c>
      <c r="U189" s="78" t="str">
        <f>IFERROR(DTE_demand_forecast!U141*#REF!,"-")</f>
        <v>-</v>
      </c>
      <c r="V189" s="78" t="str">
        <f>IFERROR(DTE_demand_forecast!V141*#REF!,"-")</f>
        <v>-</v>
      </c>
    </row>
    <row r="190" spans="1:22" x14ac:dyDescent="0.3">
      <c r="A190" s="511"/>
      <c r="B190" s="30" t="s">
        <v>41</v>
      </c>
      <c r="C190" s="78" t="str">
        <f>IFERROR(DTE_demand_forecast!C142*#REF!,"-")</f>
        <v>-</v>
      </c>
      <c r="D190" s="78" t="str">
        <f>IFERROR(DTE_demand_forecast!D142*#REF!,"-")</f>
        <v>-</v>
      </c>
      <c r="E190" s="78" t="str">
        <f>IFERROR(DTE_demand_forecast!E142*#REF!,"-")</f>
        <v>-</v>
      </c>
      <c r="F190" s="78" t="str">
        <f>IFERROR(DTE_demand_forecast!F142*#REF!,"-")</f>
        <v>-</v>
      </c>
      <c r="G190" s="78" t="str">
        <f>IFERROR(DTE_demand_forecast!G142*#REF!,"-")</f>
        <v>-</v>
      </c>
      <c r="H190" s="78" t="str">
        <f>IFERROR(DTE_demand_forecast!H142*#REF!,"-")</f>
        <v>-</v>
      </c>
      <c r="I190" s="78" t="str">
        <f>IFERROR(DTE_demand_forecast!I142*#REF!,"-")</f>
        <v>-</v>
      </c>
      <c r="J190" s="78" t="str">
        <f>IFERROR(DTE_demand_forecast!J142*#REF!,"-")</f>
        <v>-</v>
      </c>
      <c r="K190" s="78" t="str">
        <f>IFERROR(DTE_demand_forecast!K142*#REF!,"-")</f>
        <v>-</v>
      </c>
      <c r="L190" s="78" t="str">
        <f>IFERROR(DTE_demand_forecast!L142*#REF!,"-")</f>
        <v>-</v>
      </c>
      <c r="M190" s="78" t="str">
        <f>IFERROR(DTE_demand_forecast!M142*#REF!,"-")</f>
        <v>-</v>
      </c>
      <c r="N190" s="78" t="str">
        <f>IFERROR(DTE_demand_forecast!N142*#REF!,"-")</f>
        <v>-</v>
      </c>
      <c r="O190" s="78" t="str">
        <f>IFERROR(DTE_demand_forecast!O142*#REF!,"-")</f>
        <v>-</v>
      </c>
      <c r="P190" s="78" t="str">
        <f>IFERROR(DTE_demand_forecast!P142*#REF!,"-")</f>
        <v>-</v>
      </c>
      <c r="Q190" s="78" t="str">
        <f>IFERROR(DTE_demand_forecast!Q142*#REF!,"-")</f>
        <v>-</v>
      </c>
      <c r="R190" s="78" t="str">
        <f>IFERROR(DTE_demand_forecast!R142*#REF!,"-")</f>
        <v>-</v>
      </c>
      <c r="S190" s="78" t="str">
        <f>IFERROR(DTE_demand_forecast!S142*#REF!,"-")</f>
        <v>-</v>
      </c>
      <c r="T190" s="78" t="str">
        <f>IFERROR(DTE_demand_forecast!T142*#REF!,"-")</f>
        <v>-</v>
      </c>
      <c r="U190" s="78" t="str">
        <f>IFERROR(DTE_demand_forecast!U142*#REF!,"-")</f>
        <v>-</v>
      </c>
      <c r="V190" s="78" t="str">
        <f>IFERROR(DTE_demand_forecast!V142*#REF!,"-")</f>
        <v>-</v>
      </c>
    </row>
    <row r="191" spans="1:22" x14ac:dyDescent="0.3">
      <c r="A191" s="511"/>
      <c r="B191" s="30" t="s">
        <v>40</v>
      </c>
      <c r="C191" s="78" t="str">
        <f>IFERROR(DTE_demand_forecast!C143*#REF!,"-")</f>
        <v>-</v>
      </c>
      <c r="D191" s="78" t="str">
        <f>IFERROR(DTE_demand_forecast!D143*#REF!,"-")</f>
        <v>-</v>
      </c>
      <c r="E191" s="78" t="str">
        <f>IFERROR(DTE_demand_forecast!E143*#REF!,"-")</f>
        <v>-</v>
      </c>
      <c r="F191" s="78" t="str">
        <f>IFERROR(DTE_demand_forecast!F143*#REF!,"-")</f>
        <v>-</v>
      </c>
      <c r="G191" s="78" t="str">
        <f>IFERROR(DTE_demand_forecast!G143*#REF!,"-")</f>
        <v>-</v>
      </c>
      <c r="H191" s="78" t="str">
        <f>IFERROR(DTE_demand_forecast!H143*#REF!,"-")</f>
        <v>-</v>
      </c>
      <c r="I191" s="78" t="str">
        <f>IFERROR(DTE_demand_forecast!I143*#REF!,"-")</f>
        <v>-</v>
      </c>
      <c r="J191" s="78" t="str">
        <f>IFERROR(DTE_demand_forecast!J143*#REF!,"-")</f>
        <v>-</v>
      </c>
      <c r="K191" s="78" t="str">
        <f>IFERROR(DTE_demand_forecast!K143*#REF!,"-")</f>
        <v>-</v>
      </c>
      <c r="L191" s="78" t="str">
        <f>IFERROR(DTE_demand_forecast!L143*#REF!,"-")</f>
        <v>-</v>
      </c>
      <c r="M191" s="78" t="str">
        <f>IFERROR(DTE_demand_forecast!M143*#REF!,"-")</f>
        <v>-</v>
      </c>
      <c r="N191" s="78" t="str">
        <f>IFERROR(DTE_demand_forecast!N143*#REF!,"-")</f>
        <v>-</v>
      </c>
      <c r="O191" s="78" t="str">
        <f>IFERROR(DTE_demand_forecast!O143*#REF!,"-")</f>
        <v>-</v>
      </c>
      <c r="P191" s="78" t="str">
        <f>IFERROR(DTE_demand_forecast!P143*#REF!,"-")</f>
        <v>-</v>
      </c>
      <c r="Q191" s="78" t="str">
        <f>IFERROR(DTE_demand_forecast!Q143*#REF!,"-")</f>
        <v>-</v>
      </c>
      <c r="R191" s="78" t="str">
        <f>IFERROR(DTE_demand_forecast!R143*#REF!,"-")</f>
        <v>-</v>
      </c>
      <c r="S191" s="78" t="str">
        <f>IFERROR(DTE_demand_forecast!S143*#REF!,"-")</f>
        <v>-</v>
      </c>
      <c r="T191" s="78" t="str">
        <f>IFERROR(DTE_demand_forecast!T143*#REF!,"-")</f>
        <v>-</v>
      </c>
      <c r="U191" s="78" t="str">
        <f>IFERROR(DTE_demand_forecast!U143*#REF!,"-")</f>
        <v>-</v>
      </c>
      <c r="V191" s="78" t="str">
        <f>IFERROR(DTE_demand_forecast!V143*#REF!,"-")</f>
        <v>-</v>
      </c>
    </row>
    <row r="192" spans="1:22" x14ac:dyDescent="0.3">
      <c r="A192" s="511"/>
      <c r="B192" s="30" t="s">
        <v>80</v>
      </c>
      <c r="C192" s="78" t="str">
        <f>IFERROR(DTE_demand_forecast!C144*#REF!,"-")</f>
        <v>-</v>
      </c>
      <c r="D192" s="78" t="str">
        <f>IFERROR(DTE_demand_forecast!D144*#REF!,"-")</f>
        <v>-</v>
      </c>
      <c r="E192" s="78" t="str">
        <f>IFERROR(DTE_demand_forecast!E144*#REF!,"-")</f>
        <v>-</v>
      </c>
      <c r="F192" s="78" t="str">
        <f>IFERROR(DTE_demand_forecast!F144*#REF!,"-")</f>
        <v>-</v>
      </c>
      <c r="G192" s="78" t="str">
        <f>IFERROR(DTE_demand_forecast!G144*#REF!,"-")</f>
        <v>-</v>
      </c>
      <c r="H192" s="78" t="str">
        <f>IFERROR(DTE_demand_forecast!H144*#REF!,"-")</f>
        <v>-</v>
      </c>
      <c r="I192" s="78" t="str">
        <f>IFERROR(DTE_demand_forecast!I144*#REF!,"-")</f>
        <v>-</v>
      </c>
      <c r="J192" s="78" t="str">
        <f>IFERROR(DTE_demand_forecast!J144*#REF!,"-")</f>
        <v>-</v>
      </c>
      <c r="K192" s="78" t="str">
        <f>IFERROR(DTE_demand_forecast!K144*#REF!,"-")</f>
        <v>-</v>
      </c>
      <c r="L192" s="78" t="str">
        <f>IFERROR(DTE_demand_forecast!L144*#REF!,"-")</f>
        <v>-</v>
      </c>
      <c r="M192" s="78" t="str">
        <f>IFERROR(DTE_demand_forecast!M144*#REF!,"-")</f>
        <v>-</v>
      </c>
      <c r="N192" s="78" t="str">
        <f>IFERROR(DTE_demand_forecast!N144*#REF!,"-")</f>
        <v>-</v>
      </c>
      <c r="O192" s="78" t="str">
        <f>IFERROR(DTE_demand_forecast!O144*#REF!,"-")</f>
        <v>-</v>
      </c>
      <c r="P192" s="78" t="str">
        <f>IFERROR(DTE_demand_forecast!P144*#REF!,"-")</f>
        <v>-</v>
      </c>
      <c r="Q192" s="78" t="str">
        <f>IFERROR(DTE_demand_forecast!Q144*#REF!,"-")</f>
        <v>-</v>
      </c>
      <c r="R192" s="78" t="str">
        <f>IFERROR(DTE_demand_forecast!R144*#REF!,"-")</f>
        <v>-</v>
      </c>
      <c r="S192" s="78" t="str">
        <f>IFERROR(DTE_demand_forecast!S144*#REF!,"-")</f>
        <v>-</v>
      </c>
      <c r="T192" s="78" t="str">
        <f>IFERROR(DTE_demand_forecast!T144*#REF!,"-")</f>
        <v>-</v>
      </c>
      <c r="U192" s="78" t="str">
        <f>IFERROR(DTE_demand_forecast!U144*#REF!,"-")</f>
        <v>-</v>
      </c>
      <c r="V192" s="78" t="str">
        <f>IFERROR(DTE_demand_forecast!V144*#REF!,"-")</f>
        <v>-</v>
      </c>
    </row>
    <row r="193" spans="1:22" x14ac:dyDescent="0.3">
      <c r="A193" s="511"/>
      <c r="B193" s="30" t="s">
        <v>44</v>
      </c>
      <c r="C193" s="78" t="str">
        <f>IFERROR(DTE_demand_forecast!C145*#REF!,"-")</f>
        <v>-</v>
      </c>
      <c r="D193" s="78" t="str">
        <f>IFERROR(DTE_demand_forecast!D145*#REF!,"-")</f>
        <v>-</v>
      </c>
      <c r="E193" s="78" t="str">
        <f>IFERROR(DTE_demand_forecast!E145*#REF!,"-")</f>
        <v>-</v>
      </c>
      <c r="F193" s="78" t="str">
        <f>IFERROR(DTE_demand_forecast!F145*#REF!,"-")</f>
        <v>-</v>
      </c>
      <c r="G193" s="78" t="str">
        <f>IFERROR(DTE_demand_forecast!G145*#REF!,"-")</f>
        <v>-</v>
      </c>
      <c r="H193" s="78" t="str">
        <f>IFERROR(DTE_demand_forecast!H145*#REF!,"-")</f>
        <v>-</v>
      </c>
      <c r="I193" s="78" t="str">
        <f>IFERROR(DTE_demand_forecast!I145*#REF!,"-")</f>
        <v>-</v>
      </c>
      <c r="J193" s="78" t="str">
        <f>IFERROR(DTE_demand_forecast!J145*#REF!,"-")</f>
        <v>-</v>
      </c>
      <c r="K193" s="78" t="str">
        <f>IFERROR(DTE_demand_forecast!K145*#REF!,"-")</f>
        <v>-</v>
      </c>
      <c r="L193" s="78" t="str">
        <f>IFERROR(DTE_demand_forecast!L145*#REF!,"-")</f>
        <v>-</v>
      </c>
      <c r="M193" s="78" t="str">
        <f>IFERROR(DTE_demand_forecast!M145*#REF!,"-")</f>
        <v>-</v>
      </c>
      <c r="N193" s="78" t="str">
        <f>IFERROR(DTE_demand_forecast!N145*#REF!,"-")</f>
        <v>-</v>
      </c>
      <c r="O193" s="78" t="str">
        <f>IFERROR(DTE_demand_forecast!O145*#REF!,"-")</f>
        <v>-</v>
      </c>
      <c r="P193" s="78" t="str">
        <f>IFERROR(DTE_demand_forecast!P145*#REF!,"-")</f>
        <v>-</v>
      </c>
      <c r="Q193" s="78" t="str">
        <f>IFERROR(DTE_demand_forecast!Q145*#REF!,"-")</f>
        <v>-</v>
      </c>
      <c r="R193" s="78" t="str">
        <f>IFERROR(DTE_demand_forecast!R145*#REF!,"-")</f>
        <v>-</v>
      </c>
      <c r="S193" s="78" t="str">
        <f>IFERROR(DTE_demand_forecast!S145*#REF!,"-")</f>
        <v>-</v>
      </c>
      <c r="T193" s="78" t="str">
        <f>IFERROR(DTE_demand_forecast!T145*#REF!,"-")</f>
        <v>-</v>
      </c>
      <c r="U193" s="78" t="str">
        <f>IFERROR(DTE_demand_forecast!U145*#REF!,"-")</f>
        <v>-</v>
      </c>
      <c r="V193" s="78" t="str">
        <f>IFERROR(DTE_demand_forecast!V145*#REF!,"-")</f>
        <v>-</v>
      </c>
    </row>
    <row r="194" spans="1:22" x14ac:dyDescent="0.3">
      <c r="A194" s="511"/>
      <c r="B194" s="30" t="s">
        <v>81</v>
      </c>
      <c r="C194" s="78" t="str">
        <f>IFERROR(DTE_demand_forecast!C146*#REF!,"-")</f>
        <v>-</v>
      </c>
      <c r="D194" s="78" t="str">
        <f>IFERROR(DTE_demand_forecast!D146*#REF!,"-")</f>
        <v>-</v>
      </c>
      <c r="E194" s="78" t="str">
        <f>IFERROR(DTE_demand_forecast!E146*#REF!,"-")</f>
        <v>-</v>
      </c>
      <c r="F194" s="78" t="str">
        <f>IFERROR(DTE_demand_forecast!F146*#REF!,"-")</f>
        <v>-</v>
      </c>
      <c r="G194" s="78" t="str">
        <f>IFERROR(DTE_demand_forecast!G146*#REF!,"-")</f>
        <v>-</v>
      </c>
      <c r="H194" s="78" t="str">
        <f>IFERROR(DTE_demand_forecast!H146*#REF!,"-")</f>
        <v>-</v>
      </c>
      <c r="I194" s="78" t="str">
        <f>IFERROR(DTE_demand_forecast!I146*#REF!,"-")</f>
        <v>-</v>
      </c>
      <c r="J194" s="78" t="str">
        <f>IFERROR(DTE_demand_forecast!J146*#REF!,"-")</f>
        <v>-</v>
      </c>
      <c r="K194" s="78" t="str">
        <f>IFERROR(DTE_demand_forecast!K146*#REF!,"-")</f>
        <v>-</v>
      </c>
      <c r="L194" s="78" t="str">
        <f>IFERROR(DTE_demand_forecast!L146*#REF!,"-")</f>
        <v>-</v>
      </c>
      <c r="M194" s="78" t="str">
        <f>IFERROR(DTE_demand_forecast!M146*#REF!,"-")</f>
        <v>-</v>
      </c>
      <c r="N194" s="78" t="str">
        <f>IFERROR(DTE_demand_forecast!N146*#REF!,"-")</f>
        <v>-</v>
      </c>
      <c r="O194" s="78" t="str">
        <f>IFERROR(DTE_demand_forecast!O146*#REF!,"-")</f>
        <v>-</v>
      </c>
      <c r="P194" s="78" t="str">
        <f>IFERROR(DTE_demand_forecast!P146*#REF!,"-")</f>
        <v>-</v>
      </c>
      <c r="Q194" s="78" t="str">
        <f>IFERROR(DTE_demand_forecast!Q146*#REF!,"-")</f>
        <v>-</v>
      </c>
      <c r="R194" s="78" t="str">
        <f>IFERROR(DTE_demand_forecast!R146*#REF!,"-")</f>
        <v>-</v>
      </c>
      <c r="S194" s="78" t="str">
        <f>IFERROR(DTE_demand_forecast!S146*#REF!,"-")</f>
        <v>-</v>
      </c>
      <c r="T194" s="78" t="str">
        <f>IFERROR(DTE_demand_forecast!T146*#REF!,"-")</f>
        <v>-</v>
      </c>
      <c r="U194" s="78" t="str">
        <f>IFERROR(DTE_demand_forecast!U146*#REF!,"-")</f>
        <v>-</v>
      </c>
      <c r="V194" s="78" t="str">
        <f>IFERROR(DTE_demand_forecast!V146*#REF!,"-")</f>
        <v>-</v>
      </c>
    </row>
    <row r="195" spans="1:22" x14ac:dyDescent="0.3">
      <c r="A195" s="511"/>
      <c r="B195" s="30" t="s">
        <v>42</v>
      </c>
      <c r="C195" s="78" t="str">
        <f>IFERROR(DTE_demand_forecast!C147*#REF!,"-")</f>
        <v>-</v>
      </c>
      <c r="D195" s="78" t="str">
        <f>IFERROR(DTE_demand_forecast!D147*#REF!,"-")</f>
        <v>-</v>
      </c>
      <c r="E195" s="78" t="str">
        <f>IFERROR(DTE_demand_forecast!E147*#REF!,"-")</f>
        <v>-</v>
      </c>
      <c r="F195" s="78" t="str">
        <f>IFERROR(DTE_demand_forecast!F147*#REF!,"-")</f>
        <v>-</v>
      </c>
      <c r="G195" s="78" t="str">
        <f>IFERROR(DTE_demand_forecast!G147*#REF!,"-")</f>
        <v>-</v>
      </c>
      <c r="H195" s="78" t="str">
        <f>IFERROR(DTE_demand_forecast!H147*#REF!,"-")</f>
        <v>-</v>
      </c>
      <c r="I195" s="78" t="str">
        <f>IFERROR(DTE_demand_forecast!I147*#REF!,"-")</f>
        <v>-</v>
      </c>
      <c r="J195" s="78" t="str">
        <f>IFERROR(DTE_demand_forecast!J147*#REF!,"-")</f>
        <v>-</v>
      </c>
      <c r="K195" s="78" t="str">
        <f>IFERROR(DTE_demand_forecast!K147*#REF!,"-")</f>
        <v>-</v>
      </c>
      <c r="L195" s="78" t="str">
        <f>IFERROR(DTE_demand_forecast!L147*#REF!,"-")</f>
        <v>-</v>
      </c>
      <c r="M195" s="78" t="str">
        <f>IFERROR(DTE_demand_forecast!M147*#REF!,"-")</f>
        <v>-</v>
      </c>
      <c r="N195" s="78" t="str">
        <f>IFERROR(DTE_demand_forecast!N147*#REF!,"-")</f>
        <v>-</v>
      </c>
      <c r="O195" s="78" t="str">
        <f>IFERROR(DTE_demand_forecast!O147*#REF!,"-")</f>
        <v>-</v>
      </c>
      <c r="P195" s="78" t="str">
        <f>IFERROR(DTE_demand_forecast!P147*#REF!,"-")</f>
        <v>-</v>
      </c>
      <c r="Q195" s="78" t="str">
        <f>IFERROR(DTE_demand_forecast!Q147*#REF!,"-")</f>
        <v>-</v>
      </c>
      <c r="R195" s="78" t="str">
        <f>IFERROR(DTE_demand_forecast!R147*#REF!,"-")</f>
        <v>-</v>
      </c>
      <c r="S195" s="78" t="str">
        <f>IFERROR(DTE_demand_forecast!S147*#REF!,"-")</f>
        <v>-</v>
      </c>
      <c r="T195" s="78" t="str">
        <f>IFERROR(DTE_demand_forecast!T147*#REF!,"-")</f>
        <v>-</v>
      </c>
      <c r="U195" s="78" t="str">
        <f>IFERROR(DTE_demand_forecast!U147*#REF!,"-")</f>
        <v>-</v>
      </c>
      <c r="V195" s="78" t="str">
        <f>IFERROR(DTE_demand_forecast!V147*#REF!,"-")</f>
        <v>-</v>
      </c>
    </row>
    <row r="196" spans="1:22" x14ac:dyDescent="0.3">
      <c r="A196" s="511"/>
      <c r="B196" s="30" t="s">
        <v>45</v>
      </c>
      <c r="C196" s="78" t="str">
        <f>IFERROR(DTE_demand_forecast!C148*#REF!,"-")</f>
        <v>-</v>
      </c>
      <c r="D196" s="78" t="str">
        <f>IFERROR(DTE_demand_forecast!D148*#REF!,"-")</f>
        <v>-</v>
      </c>
      <c r="E196" s="78" t="str">
        <f>IFERROR(DTE_demand_forecast!E148*#REF!,"-")</f>
        <v>-</v>
      </c>
      <c r="F196" s="78" t="str">
        <f>IFERROR(DTE_demand_forecast!F148*#REF!,"-")</f>
        <v>-</v>
      </c>
      <c r="G196" s="78" t="str">
        <f>IFERROR(DTE_demand_forecast!G148*#REF!,"-")</f>
        <v>-</v>
      </c>
      <c r="H196" s="78" t="str">
        <f>IFERROR(DTE_demand_forecast!H148*#REF!,"-")</f>
        <v>-</v>
      </c>
      <c r="I196" s="78" t="str">
        <f>IFERROR(DTE_demand_forecast!I148*#REF!,"-")</f>
        <v>-</v>
      </c>
      <c r="J196" s="78" t="str">
        <f>IFERROR(DTE_demand_forecast!J148*#REF!,"-")</f>
        <v>-</v>
      </c>
      <c r="K196" s="78" t="str">
        <f>IFERROR(DTE_demand_forecast!K148*#REF!,"-")</f>
        <v>-</v>
      </c>
      <c r="L196" s="78" t="str">
        <f>IFERROR(DTE_demand_forecast!L148*#REF!,"-")</f>
        <v>-</v>
      </c>
      <c r="M196" s="78" t="str">
        <f>IFERROR(DTE_demand_forecast!M148*#REF!,"-")</f>
        <v>-</v>
      </c>
      <c r="N196" s="78" t="str">
        <f>IFERROR(DTE_demand_forecast!N148*#REF!,"-")</f>
        <v>-</v>
      </c>
      <c r="O196" s="78" t="str">
        <f>IFERROR(DTE_demand_forecast!O148*#REF!,"-")</f>
        <v>-</v>
      </c>
      <c r="P196" s="78" t="str">
        <f>IFERROR(DTE_demand_forecast!P148*#REF!,"-")</f>
        <v>-</v>
      </c>
      <c r="Q196" s="78" t="str">
        <f>IFERROR(DTE_demand_forecast!Q148*#REF!,"-")</f>
        <v>-</v>
      </c>
      <c r="R196" s="78" t="str">
        <f>IFERROR(DTE_demand_forecast!R148*#REF!,"-")</f>
        <v>-</v>
      </c>
      <c r="S196" s="78" t="str">
        <f>IFERROR(DTE_demand_forecast!S148*#REF!,"-")</f>
        <v>-</v>
      </c>
      <c r="T196" s="78" t="str">
        <f>IFERROR(DTE_demand_forecast!T148*#REF!,"-")</f>
        <v>-</v>
      </c>
      <c r="U196" s="78" t="str">
        <f>IFERROR(DTE_demand_forecast!U148*#REF!,"-")</f>
        <v>-</v>
      </c>
      <c r="V196" s="78" t="str">
        <f>IFERROR(DTE_demand_forecast!V148*#REF!,"-")</f>
        <v>-</v>
      </c>
    </row>
    <row r="197" spans="1:22" x14ac:dyDescent="0.3">
      <c r="A197" s="511"/>
      <c r="B197" s="30" t="s">
        <v>84</v>
      </c>
      <c r="C197" s="124">
        <f t="shared" ref="C197:V197" si="10">SUM(C189:C196)</f>
        <v>0</v>
      </c>
      <c r="D197" s="124">
        <f t="shared" si="10"/>
        <v>0</v>
      </c>
      <c r="E197" s="124">
        <f t="shared" si="10"/>
        <v>0</v>
      </c>
      <c r="F197" s="124">
        <f t="shared" si="10"/>
        <v>0</v>
      </c>
      <c r="G197" s="124">
        <f t="shared" si="10"/>
        <v>0</v>
      </c>
      <c r="H197" s="124">
        <f t="shared" si="10"/>
        <v>0</v>
      </c>
      <c r="I197" s="124">
        <f t="shared" si="10"/>
        <v>0</v>
      </c>
      <c r="J197" s="124">
        <f t="shared" si="10"/>
        <v>0</v>
      </c>
      <c r="K197" s="124">
        <f t="shared" si="10"/>
        <v>0</v>
      </c>
      <c r="L197" s="124">
        <f t="shared" si="10"/>
        <v>0</v>
      </c>
      <c r="M197" s="124">
        <f t="shared" si="10"/>
        <v>0</v>
      </c>
      <c r="N197" s="124">
        <f t="shared" si="10"/>
        <v>0</v>
      </c>
      <c r="O197" s="124">
        <f t="shared" si="10"/>
        <v>0</v>
      </c>
      <c r="P197" s="124">
        <f t="shared" si="10"/>
        <v>0</v>
      </c>
      <c r="Q197" s="124">
        <f t="shared" si="10"/>
        <v>0</v>
      </c>
      <c r="R197" s="124">
        <f t="shared" si="10"/>
        <v>0</v>
      </c>
      <c r="S197" s="124">
        <f t="shared" si="10"/>
        <v>0</v>
      </c>
      <c r="T197" s="124">
        <f t="shared" si="10"/>
        <v>0</v>
      </c>
      <c r="U197" s="124">
        <f t="shared" si="10"/>
        <v>0</v>
      </c>
      <c r="V197" s="124">
        <f t="shared" si="10"/>
        <v>0</v>
      </c>
    </row>
    <row r="198" spans="1:22" x14ac:dyDescent="0.3">
      <c r="A198" s="511"/>
    </row>
    <row r="199" spans="1:22" x14ac:dyDescent="0.3">
      <c r="A199" s="511"/>
    </row>
    <row r="200" spans="1:22" x14ac:dyDescent="0.3">
      <c r="A200" s="511"/>
    </row>
    <row r="201" spans="1:22" x14ac:dyDescent="0.3">
      <c r="A201" s="511"/>
    </row>
    <row r="202" spans="1:22" x14ac:dyDescent="0.3">
      <c r="A202" s="511"/>
    </row>
    <row r="203" spans="1:22" x14ac:dyDescent="0.3">
      <c r="A203" s="511"/>
    </row>
    <row r="204" spans="1:22" x14ac:dyDescent="0.3">
      <c r="A204" s="511"/>
    </row>
    <row r="205" spans="1:22" x14ac:dyDescent="0.3">
      <c r="A205" s="511"/>
      <c r="B205" s="32" t="s">
        <v>151</v>
      </c>
      <c r="L205" s="18"/>
      <c r="M205" s="18"/>
    </row>
    <row r="206" spans="1:22" x14ac:dyDescent="0.3">
      <c r="A206" s="511"/>
      <c r="B206" s="75" t="s">
        <v>82</v>
      </c>
      <c r="C206" s="75">
        <v>2021</v>
      </c>
      <c r="D206" s="76">
        <v>2022</v>
      </c>
      <c r="E206" s="75">
        <v>2023</v>
      </c>
      <c r="F206" s="76">
        <v>2024</v>
      </c>
      <c r="G206" s="75">
        <v>2025</v>
      </c>
      <c r="H206" s="76">
        <v>2026</v>
      </c>
      <c r="I206" s="75">
        <v>2027</v>
      </c>
      <c r="J206" s="76">
        <v>2028</v>
      </c>
      <c r="K206" s="75">
        <v>2029</v>
      </c>
      <c r="L206" s="76">
        <v>2030</v>
      </c>
      <c r="M206" s="75">
        <v>2031</v>
      </c>
      <c r="N206" s="76">
        <v>2032</v>
      </c>
      <c r="O206" s="75">
        <v>2033</v>
      </c>
      <c r="P206" s="76">
        <v>2034</v>
      </c>
      <c r="Q206" s="75">
        <v>2035</v>
      </c>
      <c r="R206" s="76">
        <v>2036</v>
      </c>
      <c r="S206" s="75">
        <v>2037</v>
      </c>
      <c r="T206" s="76">
        <v>2038</v>
      </c>
      <c r="U206" s="75">
        <v>2039</v>
      </c>
      <c r="V206" s="76">
        <v>2040</v>
      </c>
    </row>
    <row r="207" spans="1:22" x14ac:dyDescent="0.3">
      <c r="A207" s="511"/>
      <c r="B207" s="30" t="s">
        <v>43</v>
      </c>
      <c r="C207" s="78" t="str">
        <f>IFERROR(DTE_demand_forecast!C220*#REF!,"-")</f>
        <v>-</v>
      </c>
      <c r="D207" s="78" t="str">
        <f>IFERROR(DTE_demand_forecast!D220*#REF!,"-")</f>
        <v>-</v>
      </c>
      <c r="E207" s="78" t="str">
        <f>IFERROR(DTE_demand_forecast!E220*#REF!,"-")</f>
        <v>-</v>
      </c>
      <c r="F207" s="78" t="str">
        <f>IFERROR(DTE_demand_forecast!F220*#REF!,"-")</f>
        <v>-</v>
      </c>
      <c r="G207" s="78" t="str">
        <f>IFERROR(DTE_demand_forecast!G220*#REF!,"-")</f>
        <v>-</v>
      </c>
      <c r="H207" s="78" t="str">
        <f>IFERROR(DTE_demand_forecast!H220*#REF!,"-")</f>
        <v>-</v>
      </c>
      <c r="I207" s="78" t="str">
        <f>IFERROR(DTE_demand_forecast!I220*#REF!,"-")</f>
        <v>-</v>
      </c>
      <c r="J207" s="78" t="str">
        <f>IFERROR(DTE_demand_forecast!J220*#REF!,"-")</f>
        <v>-</v>
      </c>
      <c r="K207" s="78" t="str">
        <f>IFERROR(DTE_demand_forecast!K220*#REF!,"-")</f>
        <v>-</v>
      </c>
      <c r="L207" s="78" t="str">
        <f>IFERROR(DTE_demand_forecast!L220*#REF!,"-")</f>
        <v>-</v>
      </c>
      <c r="M207" s="78" t="str">
        <f>IFERROR(DTE_demand_forecast!M220*#REF!,"-")</f>
        <v>-</v>
      </c>
      <c r="N207" s="78" t="str">
        <f>IFERROR(DTE_demand_forecast!N220*#REF!,"-")</f>
        <v>-</v>
      </c>
      <c r="O207" s="78" t="str">
        <f>IFERROR(DTE_demand_forecast!O220*#REF!,"-")</f>
        <v>-</v>
      </c>
      <c r="P207" s="78" t="str">
        <f>IFERROR(DTE_demand_forecast!P220*#REF!,"-")</f>
        <v>-</v>
      </c>
      <c r="Q207" s="78" t="str">
        <f>IFERROR(DTE_demand_forecast!Q220*#REF!,"-")</f>
        <v>-</v>
      </c>
      <c r="R207" s="78" t="str">
        <f>IFERROR(DTE_demand_forecast!R220*#REF!,"-")</f>
        <v>-</v>
      </c>
      <c r="S207" s="78" t="str">
        <f>IFERROR(DTE_demand_forecast!S220*#REF!,"-")</f>
        <v>-</v>
      </c>
      <c r="T207" s="78" t="str">
        <f>IFERROR(DTE_demand_forecast!T220*#REF!,"-")</f>
        <v>-</v>
      </c>
      <c r="U207" s="78" t="str">
        <f>IFERROR(DTE_demand_forecast!U220*#REF!,"-")</f>
        <v>-</v>
      </c>
      <c r="V207" s="78" t="str">
        <f>IFERROR(DTE_demand_forecast!V220*#REF!,"-")</f>
        <v>-</v>
      </c>
    </row>
    <row r="208" spans="1:22" x14ac:dyDescent="0.3">
      <c r="A208" s="511"/>
      <c r="B208" s="30" t="s">
        <v>41</v>
      </c>
      <c r="C208" s="78" t="str">
        <f>IFERROR(DTE_demand_forecast!C221*#REF!,"-")</f>
        <v>-</v>
      </c>
      <c r="D208" s="78" t="str">
        <f>IFERROR(DTE_demand_forecast!D221*#REF!,"-")</f>
        <v>-</v>
      </c>
      <c r="E208" s="78" t="str">
        <f>IFERROR(DTE_demand_forecast!E221*#REF!,"-")</f>
        <v>-</v>
      </c>
      <c r="F208" s="78" t="str">
        <f>IFERROR(DTE_demand_forecast!F221*#REF!,"-")</f>
        <v>-</v>
      </c>
      <c r="G208" s="78" t="str">
        <f>IFERROR(DTE_demand_forecast!G221*#REF!,"-")</f>
        <v>-</v>
      </c>
      <c r="H208" s="78" t="str">
        <f>IFERROR(DTE_demand_forecast!H221*#REF!,"-")</f>
        <v>-</v>
      </c>
      <c r="I208" s="78" t="str">
        <f>IFERROR(DTE_demand_forecast!I221*#REF!,"-")</f>
        <v>-</v>
      </c>
      <c r="J208" s="78" t="str">
        <f>IFERROR(DTE_demand_forecast!J221*#REF!,"-")</f>
        <v>-</v>
      </c>
      <c r="K208" s="78" t="str">
        <f>IFERROR(DTE_demand_forecast!K221*#REF!,"-")</f>
        <v>-</v>
      </c>
      <c r="L208" s="78" t="str">
        <f>IFERROR(DTE_demand_forecast!L221*#REF!,"-")</f>
        <v>-</v>
      </c>
      <c r="M208" s="78" t="str">
        <f>IFERROR(DTE_demand_forecast!M221*#REF!,"-")</f>
        <v>-</v>
      </c>
      <c r="N208" s="78" t="str">
        <f>IFERROR(DTE_demand_forecast!N221*#REF!,"-")</f>
        <v>-</v>
      </c>
      <c r="O208" s="78" t="str">
        <f>IFERROR(DTE_demand_forecast!O221*#REF!,"-")</f>
        <v>-</v>
      </c>
      <c r="P208" s="78" t="str">
        <f>IFERROR(DTE_demand_forecast!P221*#REF!,"-")</f>
        <v>-</v>
      </c>
      <c r="Q208" s="78" t="str">
        <f>IFERROR(DTE_demand_forecast!Q221*#REF!,"-")</f>
        <v>-</v>
      </c>
      <c r="R208" s="78" t="str">
        <f>IFERROR(DTE_demand_forecast!R221*#REF!,"-")</f>
        <v>-</v>
      </c>
      <c r="S208" s="78" t="str">
        <f>IFERROR(DTE_demand_forecast!S221*#REF!,"-")</f>
        <v>-</v>
      </c>
      <c r="T208" s="78" t="str">
        <f>IFERROR(DTE_demand_forecast!T221*#REF!,"-")</f>
        <v>-</v>
      </c>
      <c r="U208" s="78" t="str">
        <f>IFERROR(DTE_demand_forecast!U221*#REF!,"-")</f>
        <v>-</v>
      </c>
      <c r="V208" s="78" t="str">
        <f>IFERROR(DTE_demand_forecast!V221*#REF!,"-")</f>
        <v>-</v>
      </c>
    </row>
    <row r="209" spans="1:22" x14ac:dyDescent="0.3">
      <c r="A209" s="511"/>
      <c r="B209" s="30" t="s">
        <v>40</v>
      </c>
      <c r="C209" s="78" t="str">
        <f>IFERROR(DTE_demand_forecast!C222*#REF!,"-")</f>
        <v>-</v>
      </c>
      <c r="D209" s="78" t="str">
        <f>IFERROR(DTE_demand_forecast!D222*#REF!,"-")</f>
        <v>-</v>
      </c>
      <c r="E209" s="78" t="str">
        <f>IFERROR(DTE_demand_forecast!E222*#REF!,"-")</f>
        <v>-</v>
      </c>
      <c r="F209" s="78" t="str">
        <f>IFERROR(DTE_demand_forecast!F222*#REF!,"-")</f>
        <v>-</v>
      </c>
      <c r="G209" s="78" t="str">
        <f>IFERROR(DTE_demand_forecast!G222*#REF!,"-")</f>
        <v>-</v>
      </c>
      <c r="H209" s="78" t="str">
        <f>IFERROR(DTE_demand_forecast!H222*#REF!,"-")</f>
        <v>-</v>
      </c>
      <c r="I209" s="78" t="str">
        <f>IFERROR(DTE_demand_forecast!I222*#REF!,"-")</f>
        <v>-</v>
      </c>
      <c r="J209" s="78" t="str">
        <f>IFERROR(DTE_demand_forecast!J222*#REF!,"-")</f>
        <v>-</v>
      </c>
      <c r="K209" s="78" t="str">
        <f>IFERROR(DTE_demand_forecast!K222*#REF!,"-")</f>
        <v>-</v>
      </c>
      <c r="L209" s="78" t="str">
        <f>IFERROR(DTE_demand_forecast!L222*#REF!,"-")</f>
        <v>-</v>
      </c>
      <c r="M209" s="78" t="str">
        <f>IFERROR(DTE_demand_forecast!M222*#REF!,"-")</f>
        <v>-</v>
      </c>
      <c r="N209" s="78" t="str">
        <f>IFERROR(DTE_demand_forecast!N222*#REF!,"-")</f>
        <v>-</v>
      </c>
      <c r="O209" s="78" t="str">
        <f>IFERROR(DTE_demand_forecast!O222*#REF!,"-")</f>
        <v>-</v>
      </c>
      <c r="P209" s="78" t="str">
        <f>IFERROR(DTE_demand_forecast!P222*#REF!,"-")</f>
        <v>-</v>
      </c>
      <c r="Q209" s="78" t="str">
        <f>IFERROR(DTE_demand_forecast!Q222*#REF!,"-")</f>
        <v>-</v>
      </c>
      <c r="R209" s="78" t="str">
        <f>IFERROR(DTE_demand_forecast!R222*#REF!,"-")</f>
        <v>-</v>
      </c>
      <c r="S209" s="78" t="str">
        <f>IFERROR(DTE_demand_forecast!S222*#REF!,"-")</f>
        <v>-</v>
      </c>
      <c r="T209" s="78" t="str">
        <f>IFERROR(DTE_demand_forecast!T222*#REF!,"-")</f>
        <v>-</v>
      </c>
      <c r="U209" s="78" t="str">
        <f>IFERROR(DTE_demand_forecast!U222*#REF!,"-")</f>
        <v>-</v>
      </c>
      <c r="V209" s="78" t="str">
        <f>IFERROR(DTE_demand_forecast!V222*#REF!,"-")</f>
        <v>-</v>
      </c>
    </row>
    <row r="210" spans="1:22" x14ac:dyDescent="0.3">
      <c r="A210" s="511"/>
      <c r="B210" s="30" t="s">
        <v>80</v>
      </c>
      <c r="C210" s="78" t="str">
        <f>IFERROR(DTE_demand_forecast!C223*#REF!,"-")</f>
        <v>-</v>
      </c>
      <c r="D210" s="78" t="str">
        <f>IFERROR(DTE_demand_forecast!D223*#REF!,"-")</f>
        <v>-</v>
      </c>
      <c r="E210" s="78" t="str">
        <f>IFERROR(DTE_demand_forecast!E223*#REF!,"-")</f>
        <v>-</v>
      </c>
      <c r="F210" s="78" t="str">
        <f>IFERROR(DTE_demand_forecast!F223*#REF!,"-")</f>
        <v>-</v>
      </c>
      <c r="G210" s="78" t="str">
        <f>IFERROR(DTE_demand_forecast!G223*#REF!,"-")</f>
        <v>-</v>
      </c>
      <c r="H210" s="78" t="str">
        <f>IFERROR(DTE_demand_forecast!H223*#REF!,"-")</f>
        <v>-</v>
      </c>
      <c r="I210" s="78" t="str">
        <f>IFERROR(DTE_demand_forecast!I223*#REF!,"-")</f>
        <v>-</v>
      </c>
      <c r="J210" s="78" t="str">
        <f>IFERROR(DTE_demand_forecast!J223*#REF!,"-")</f>
        <v>-</v>
      </c>
      <c r="K210" s="78" t="str">
        <f>IFERROR(DTE_demand_forecast!K223*#REF!,"-")</f>
        <v>-</v>
      </c>
      <c r="L210" s="78" t="str">
        <f>IFERROR(DTE_demand_forecast!L223*#REF!,"-")</f>
        <v>-</v>
      </c>
      <c r="M210" s="78" t="str">
        <f>IFERROR(DTE_demand_forecast!M223*#REF!,"-")</f>
        <v>-</v>
      </c>
      <c r="N210" s="78" t="str">
        <f>IFERROR(DTE_demand_forecast!N223*#REF!,"-")</f>
        <v>-</v>
      </c>
      <c r="O210" s="78" t="str">
        <f>IFERROR(DTE_demand_forecast!O223*#REF!,"-")</f>
        <v>-</v>
      </c>
      <c r="P210" s="78" t="str">
        <f>IFERROR(DTE_demand_forecast!P223*#REF!,"-")</f>
        <v>-</v>
      </c>
      <c r="Q210" s="78" t="str">
        <f>IFERROR(DTE_demand_forecast!Q223*#REF!,"-")</f>
        <v>-</v>
      </c>
      <c r="R210" s="78" t="str">
        <f>IFERROR(DTE_demand_forecast!R223*#REF!,"-")</f>
        <v>-</v>
      </c>
      <c r="S210" s="78" t="str">
        <f>IFERROR(DTE_demand_forecast!S223*#REF!,"-")</f>
        <v>-</v>
      </c>
      <c r="T210" s="78" t="str">
        <f>IFERROR(DTE_demand_forecast!T223*#REF!,"-")</f>
        <v>-</v>
      </c>
      <c r="U210" s="78" t="str">
        <f>IFERROR(DTE_demand_forecast!U223*#REF!,"-")</f>
        <v>-</v>
      </c>
      <c r="V210" s="78" t="str">
        <f>IFERROR(DTE_demand_forecast!V223*#REF!,"-")</f>
        <v>-</v>
      </c>
    </row>
    <row r="211" spans="1:22" x14ac:dyDescent="0.3">
      <c r="A211" s="511"/>
      <c r="B211" s="30" t="s">
        <v>44</v>
      </c>
      <c r="C211" s="78" t="str">
        <f>IFERROR(DTE_demand_forecast!C224*#REF!,"-")</f>
        <v>-</v>
      </c>
      <c r="D211" s="78" t="str">
        <f>IFERROR(DTE_demand_forecast!D224*#REF!,"-")</f>
        <v>-</v>
      </c>
      <c r="E211" s="78" t="str">
        <f>IFERROR(DTE_demand_forecast!E224*#REF!,"-")</f>
        <v>-</v>
      </c>
      <c r="F211" s="78" t="str">
        <f>IFERROR(DTE_demand_forecast!F224*#REF!,"-")</f>
        <v>-</v>
      </c>
      <c r="G211" s="78" t="str">
        <f>IFERROR(DTE_demand_forecast!G224*#REF!,"-")</f>
        <v>-</v>
      </c>
      <c r="H211" s="78" t="str">
        <f>IFERROR(DTE_demand_forecast!H224*#REF!,"-")</f>
        <v>-</v>
      </c>
      <c r="I211" s="78" t="str">
        <f>IFERROR(DTE_demand_forecast!I224*#REF!,"-")</f>
        <v>-</v>
      </c>
      <c r="J211" s="78" t="str">
        <f>IFERROR(DTE_demand_forecast!J224*#REF!,"-")</f>
        <v>-</v>
      </c>
      <c r="K211" s="78" t="str">
        <f>IFERROR(DTE_demand_forecast!K224*#REF!,"-")</f>
        <v>-</v>
      </c>
      <c r="L211" s="78" t="str">
        <f>IFERROR(DTE_demand_forecast!L224*#REF!,"-")</f>
        <v>-</v>
      </c>
      <c r="M211" s="78" t="str">
        <f>IFERROR(DTE_demand_forecast!M224*#REF!,"-")</f>
        <v>-</v>
      </c>
      <c r="N211" s="78" t="str">
        <f>IFERROR(DTE_demand_forecast!N224*#REF!,"-")</f>
        <v>-</v>
      </c>
      <c r="O211" s="78" t="str">
        <f>IFERROR(DTE_demand_forecast!O224*#REF!,"-")</f>
        <v>-</v>
      </c>
      <c r="P211" s="78" t="str">
        <f>IFERROR(DTE_demand_forecast!P224*#REF!,"-")</f>
        <v>-</v>
      </c>
      <c r="Q211" s="78" t="str">
        <f>IFERROR(DTE_demand_forecast!Q224*#REF!,"-")</f>
        <v>-</v>
      </c>
      <c r="R211" s="78" t="str">
        <f>IFERROR(DTE_demand_forecast!R224*#REF!,"-")</f>
        <v>-</v>
      </c>
      <c r="S211" s="78" t="str">
        <f>IFERROR(DTE_demand_forecast!S224*#REF!,"-")</f>
        <v>-</v>
      </c>
      <c r="T211" s="78" t="str">
        <f>IFERROR(DTE_demand_forecast!T224*#REF!,"-")</f>
        <v>-</v>
      </c>
      <c r="U211" s="78" t="str">
        <f>IFERROR(DTE_demand_forecast!U224*#REF!,"-")</f>
        <v>-</v>
      </c>
      <c r="V211" s="78" t="str">
        <f>IFERROR(DTE_demand_forecast!V224*#REF!,"-")</f>
        <v>-</v>
      </c>
    </row>
    <row r="212" spans="1:22" x14ac:dyDescent="0.3">
      <c r="A212" s="511"/>
      <c r="B212" s="30" t="s">
        <v>81</v>
      </c>
      <c r="C212" s="78" t="str">
        <f>IFERROR(DTE_demand_forecast!C225*#REF!,"-")</f>
        <v>-</v>
      </c>
      <c r="D212" s="78" t="str">
        <f>IFERROR(DTE_demand_forecast!D225*#REF!,"-")</f>
        <v>-</v>
      </c>
      <c r="E212" s="78" t="str">
        <f>IFERROR(DTE_demand_forecast!E225*#REF!,"-")</f>
        <v>-</v>
      </c>
      <c r="F212" s="78" t="str">
        <f>IFERROR(DTE_demand_forecast!F225*#REF!,"-")</f>
        <v>-</v>
      </c>
      <c r="G212" s="78" t="str">
        <f>IFERROR(DTE_demand_forecast!G225*#REF!,"-")</f>
        <v>-</v>
      </c>
      <c r="H212" s="78" t="str">
        <f>IFERROR(DTE_demand_forecast!H225*#REF!,"-")</f>
        <v>-</v>
      </c>
      <c r="I212" s="78" t="str">
        <f>IFERROR(DTE_demand_forecast!I225*#REF!,"-")</f>
        <v>-</v>
      </c>
      <c r="J212" s="78" t="str">
        <f>IFERROR(DTE_demand_forecast!J225*#REF!,"-")</f>
        <v>-</v>
      </c>
      <c r="K212" s="78" t="str">
        <f>IFERROR(DTE_demand_forecast!K225*#REF!,"-")</f>
        <v>-</v>
      </c>
      <c r="L212" s="78" t="str">
        <f>IFERROR(DTE_demand_forecast!L225*#REF!,"-")</f>
        <v>-</v>
      </c>
      <c r="M212" s="78" t="str">
        <f>IFERROR(DTE_demand_forecast!M225*#REF!,"-")</f>
        <v>-</v>
      </c>
      <c r="N212" s="78" t="str">
        <f>IFERROR(DTE_demand_forecast!N225*#REF!,"-")</f>
        <v>-</v>
      </c>
      <c r="O212" s="78" t="str">
        <f>IFERROR(DTE_demand_forecast!O225*#REF!,"-")</f>
        <v>-</v>
      </c>
      <c r="P212" s="78" t="str">
        <f>IFERROR(DTE_demand_forecast!P225*#REF!,"-")</f>
        <v>-</v>
      </c>
      <c r="Q212" s="78" t="str">
        <f>IFERROR(DTE_demand_forecast!Q225*#REF!,"-")</f>
        <v>-</v>
      </c>
      <c r="R212" s="78" t="str">
        <f>IFERROR(DTE_demand_forecast!R225*#REF!,"-")</f>
        <v>-</v>
      </c>
      <c r="S212" s="78" t="str">
        <f>IFERROR(DTE_demand_forecast!S225*#REF!,"-")</f>
        <v>-</v>
      </c>
      <c r="T212" s="78" t="str">
        <f>IFERROR(DTE_demand_forecast!T225*#REF!,"-")</f>
        <v>-</v>
      </c>
      <c r="U212" s="78" t="str">
        <f>IFERROR(DTE_demand_forecast!U225*#REF!,"-")</f>
        <v>-</v>
      </c>
      <c r="V212" s="78" t="str">
        <f>IFERROR(DTE_demand_forecast!V225*#REF!,"-")</f>
        <v>-</v>
      </c>
    </row>
    <row r="213" spans="1:22" x14ac:dyDescent="0.3">
      <c r="A213" s="511"/>
      <c r="B213" s="30" t="s">
        <v>42</v>
      </c>
      <c r="C213" s="78" t="str">
        <f>IFERROR(DTE_demand_forecast!C226*#REF!,"-")</f>
        <v>-</v>
      </c>
      <c r="D213" s="78" t="str">
        <f>IFERROR(DTE_demand_forecast!D226*#REF!,"-")</f>
        <v>-</v>
      </c>
      <c r="E213" s="78" t="str">
        <f>IFERROR(DTE_demand_forecast!E226*#REF!,"-")</f>
        <v>-</v>
      </c>
      <c r="F213" s="78" t="str">
        <f>IFERROR(DTE_demand_forecast!F226*#REF!,"-")</f>
        <v>-</v>
      </c>
      <c r="G213" s="78" t="str">
        <f>IFERROR(DTE_demand_forecast!G226*#REF!,"-")</f>
        <v>-</v>
      </c>
      <c r="H213" s="78" t="str">
        <f>IFERROR(DTE_demand_forecast!H226*#REF!,"-")</f>
        <v>-</v>
      </c>
      <c r="I213" s="78" t="str">
        <f>IFERROR(DTE_demand_forecast!I226*#REF!,"-")</f>
        <v>-</v>
      </c>
      <c r="J213" s="78" t="str">
        <f>IFERROR(DTE_demand_forecast!J226*#REF!,"-")</f>
        <v>-</v>
      </c>
      <c r="K213" s="78" t="str">
        <f>IFERROR(DTE_demand_forecast!K226*#REF!,"-")</f>
        <v>-</v>
      </c>
      <c r="L213" s="78" t="str">
        <f>IFERROR(DTE_demand_forecast!L226*#REF!,"-")</f>
        <v>-</v>
      </c>
      <c r="M213" s="78" t="str">
        <f>IFERROR(DTE_demand_forecast!M226*#REF!,"-")</f>
        <v>-</v>
      </c>
      <c r="N213" s="78" t="str">
        <f>IFERROR(DTE_demand_forecast!N226*#REF!,"-")</f>
        <v>-</v>
      </c>
      <c r="O213" s="78" t="str">
        <f>IFERROR(DTE_demand_forecast!O226*#REF!,"-")</f>
        <v>-</v>
      </c>
      <c r="P213" s="78" t="str">
        <f>IFERROR(DTE_demand_forecast!P226*#REF!,"-")</f>
        <v>-</v>
      </c>
      <c r="Q213" s="78" t="str">
        <f>IFERROR(DTE_demand_forecast!Q226*#REF!,"-")</f>
        <v>-</v>
      </c>
      <c r="R213" s="78" t="str">
        <f>IFERROR(DTE_demand_forecast!R226*#REF!,"-")</f>
        <v>-</v>
      </c>
      <c r="S213" s="78" t="str">
        <f>IFERROR(DTE_demand_forecast!S226*#REF!,"-")</f>
        <v>-</v>
      </c>
      <c r="T213" s="78" t="str">
        <f>IFERROR(DTE_demand_forecast!T226*#REF!,"-")</f>
        <v>-</v>
      </c>
      <c r="U213" s="78" t="str">
        <f>IFERROR(DTE_demand_forecast!U226*#REF!,"-")</f>
        <v>-</v>
      </c>
      <c r="V213" s="78" t="str">
        <f>IFERROR(DTE_demand_forecast!V226*#REF!,"-")</f>
        <v>-</v>
      </c>
    </row>
    <row r="214" spans="1:22" x14ac:dyDescent="0.3">
      <c r="A214" s="511"/>
      <c r="B214" s="30" t="s">
        <v>45</v>
      </c>
      <c r="C214" s="78" t="str">
        <f>IFERROR(DTE_demand_forecast!C227*#REF!,"-")</f>
        <v>-</v>
      </c>
      <c r="D214" s="78" t="str">
        <f>IFERROR(DTE_demand_forecast!D227*#REF!,"-")</f>
        <v>-</v>
      </c>
      <c r="E214" s="78" t="str">
        <f>IFERROR(DTE_demand_forecast!E227*#REF!,"-")</f>
        <v>-</v>
      </c>
      <c r="F214" s="78" t="str">
        <f>IFERROR(DTE_demand_forecast!F227*#REF!,"-")</f>
        <v>-</v>
      </c>
      <c r="G214" s="78" t="str">
        <f>IFERROR(DTE_demand_forecast!G227*#REF!,"-")</f>
        <v>-</v>
      </c>
      <c r="H214" s="78" t="str">
        <f>IFERROR(DTE_demand_forecast!H227*#REF!,"-")</f>
        <v>-</v>
      </c>
      <c r="I214" s="78" t="str">
        <f>IFERROR(DTE_demand_forecast!I227*#REF!,"-")</f>
        <v>-</v>
      </c>
      <c r="J214" s="78" t="str">
        <f>IFERROR(DTE_demand_forecast!J227*#REF!,"-")</f>
        <v>-</v>
      </c>
      <c r="K214" s="78" t="str">
        <f>IFERROR(DTE_demand_forecast!K227*#REF!,"-")</f>
        <v>-</v>
      </c>
      <c r="L214" s="78" t="str">
        <f>IFERROR(DTE_demand_forecast!L227*#REF!,"-")</f>
        <v>-</v>
      </c>
      <c r="M214" s="78" t="str">
        <f>IFERROR(DTE_demand_forecast!M227*#REF!,"-")</f>
        <v>-</v>
      </c>
      <c r="N214" s="78" t="str">
        <f>IFERROR(DTE_demand_forecast!N227*#REF!,"-")</f>
        <v>-</v>
      </c>
      <c r="O214" s="78" t="str">
        <f>IFERROR(DTE_demand_forecast!O227*#REF!,"-")</f>
        <v>-</v>
      </c>
      <c r="P214" s="78" t="str">
        <f>IFERROR(DTE_demand_forecast!P227*#REF!,"-")</f>
        <v>-</v>
      </c>
      <c r="Q214" s="78" t="str">
        <f>IFERROR(DTE_demand_forecast!Q227*#REF!,"-")</f>
        <v>-</v>
      </c>
      <c r="R214" s="78" t="str">
        <f>IFERROR(DTE_demand_forecast!R227*#REF!,"-")</f>
        <v>-</v>
      </c>
      <c r="S214" s="78" t="str">
        <f>IFERROR(DTE_demand_forecast!S227*#REF!,"-")</f>
        <v>-</v>
      </c>
      <c r="T214" s="78" t="str">
        <f>IFERROR(DTE_demand_forecast!T227*#REF!,"-")</f>
        <v>-</v>
      </c>
      <c r="U214" s="78" t="str">
        <f>IFERROR(DTE_demand_forecast!U227*#REF!,"-")</f>
        <v>-</v>
      </c>
      <c r="V214" s="78" t="str">
        <f>IFERROR(DTE_demand_forecast!V227*#REF!,"-")</f>
        <v>-</v>
      </c>
    </row>
    <row r="215" spans="1:22" x14ac:dyDescent="0.3">
      <c r="A215" s="511"/>
      <c r="B215" s="30" t="s">
        <v>84</v>
      </c>
      <c r="C215" s="124">
        <f t="shared" ref="C215:V215" si="11">SUM(C207:C214)</f>
        <v>0</v>
      </c>
      <c r="D215" s="124">
        <f t="shared" si="11"/>
        <v>0</v>
      </c>
      <c r="E215" s="124">
        <f t="shared" si="11"/>
        <v>0</v>
      </c>
      <c r="F215" s="124">
        <f t="shared" si="11"/>
        <v>0</v>
      </c>
      <c r="G215" s="124">
        <f t="shared" si="11"/>
        <v>0</v>
      </c>
      <c r="H215" s="124">
        <f t="shared" si="11"/>
        <v>0</v>
      </c>
      <c r="I215" s="124">
        <f t="shared" si="11"/>
        <v>0</v>
      </c>
      <c r="J215" s="124">
        <f t="shared" si="11"/>
        <v>0</v>
      </c>
      <c r="K215" s="124">
        <f t="shared" si="11"/>
        <v>0</v>
      </c>
      <c r="L215" s="124">
        <f t="shared" si="11"/>
        <v>0</v>
      </c>
      <c r="M215" s="124">
        <f t="shared" si="11"/>
        <v>0</v>
      </c>
      <c r="N215" s="124">
        <f t="shared" si="11"/>
        <v>0</v>
      </c>
      <c r="O215" s="124">
        <f t="shared" si="11"/>
        <v>0</v>
      </c>
      <c r="P215" s="124">
        <f t="shared" si="11"/>
        <v>0</v>
      </c>
      <c r="Q215" s="124">
        <f t="shared" si="11"/>
        <v>0</v>
      </c>
      <c r="R215" s="124">
        <f t="shared" si="11"/>
        <v>0</v>
      </c>
      <c r="S215" s="124">
        <f t="shared" si="11"/>
        <v>0</v>
      </c>
      <c r="T215" s="124">
        <f t="shared" si="11"/>
        <v>0</v>
      </c>
      <c r="U215" s="124">
        <f t="shared" si="11"/>
        <v>0</v>
      </c>
      <c r="V215" s="124">
        <f t="shared" si="11"/>
        <v>0</v>
      </c>
    </row>
    <row r="216" spans="1:22" x14ac:dyDescent="0.3">
      <c r="A216" s="511"/>
    </row>
    <row r="217" spans="1:22" x14ac:dyDescent="0.3">
      <c r="A217" s="511"/>
    </row>
    <row r="218" spans="1:22" x14ac:dyDescent="0.3">
      <c r="A218" s="511"/>
    </row>
    <row r="219" spans="1:22" x14ac:dyDescent="0.3">
      <c r="A219" s="511"/>
    </row>
    <row r="220" spans="1:22" x14ac:dyDescent="0.3">
      <c r="A220" s="511"/>
    </row>
    <row r="221" spans="1:22" x14ac:dyDescent="0.3">
      <c r="A221" s="511"/>
    </row>
    <row r="222" spans="1:22" x14ac:dyDescent="0.3">
      <c r="A222" s="511"/>
    </row>
    <row r="223" spans="1:22" x14ac:dyDescent="0.3">
      <c r="A223" s="511"/>
    </row>
    <row r="224" spans="1:22" x14ac:dyDescent="0.3">
      <c r="A224" s="511"/>
    </row>
  </sheetData>
  <mergeCells count="4">
    <mergeCell ref="A1:A56"/>
    <mergeCell ref="A57:A112"/>
    <mergeCell ref="A113:A168"/>
    <mergeCell ref="A169:A224"/>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80BDA-829A-487E-980D-B18B45D307D0}">
  <sheetPr>
    <tabColor theme="5"/>
  </sheetPr>
  <dimension ref="A1:V224"/>
  <sheetViews>
    <sheetView zoomScaleNormal="100" workbookViewId="0">
      <selection activeCell="D24" sqref="D24"/>
    </sheetView>
  </sheetViews>
  <sheetFormatPr defaultRowHeight="14.4" x14ac:dyDescent="0.3"/>
  <cols>
    <col min="1" max="1" width="8.88671875" style="32"/>
    <col min="2" max="2" width="57.21875" style="32" customWidth="1"/>
    <col min="3" max="3" width="16.5546875" style="17" bestFit="1" customWidth="1"/>
    <col min="4" max="12" width="16.77734375" style="17" bestFit="1" customWidth="1"/>
    <col min="13" max="13" width="16.5546875" style="17" bestFit="1" customWidth="1"/>
    <col min="14" max="22" width="16.77734375" style="17" bestFit="1" customWidth="1"/>
    <col min="23" max="16384" width="8.88671875" style="32"/>
  </cols>
  <sheetData>
    <row r="1" spans="1:22" x14ac:dyDescent="0.3">
      <c r="A1" s="510">
        <v>0.2</v>
      </c>
      <c r="B1" s="32" t="s">
        <v>149</v>
      </c>
      <c r="L1" s="18"/>
      <c r="M1" s="18"/>
    </row>
    <row r="2" spans="1:22" x14ac:dyDescent="0.3">
      <c r="A2" s="511"/>
      <c r="B2" s="75" t="s">
        <v>82</v>
      </c>
      <c r="C2" s="75">
        <v>2021</v>
      </c>
      <c r="D2" s="76">
        <v>2022</v>
      </c>
      <c r="E2" s="75">
        <v>2023</v>
      </c>
      <c r="F2" s="76">
        <v>2024</v>
      </c>
      <c r="G2" s="75">
        <v>2025</v>
      </c>
      <c r="H2" s="76">
        <v>2026</v>
      </c>
      <c r="I2" s="75">
        <v>2027</v>
      </c>
      <c r="J2" s="76">
        <v>2028</v>
      </c>
      <c r="K2" s="75">
        <v>2029</v>
      </c>
      <c r="L2" s="76">
        <v>2030</v>
      </c>
      <c r="M2" s="75">
        <v>2031</v>
      </c>
      <c r="N2" s="76">
        <v>2032</v>
      </c>
      <c r="O2" s="75">
        <v>2033</v>
      </c>
      <c r="P2" s="76">
        <v>2034</v>
      </c>
      <c r="Q2" s="75">
        <v>2035</v>
      </c>
      <c r="R2" s="76">
        <v>2036</v>
      </c>
      <c r="S2" s="75">
        <v>2037</v>
      </c>
      <c r="T2" s="76">
        <v>2038</v>
      </c>
      <c r="U2" s="75">
        <v>2039</v>
      </c>
      <c r="V2" s="76">
        <v>2040</v>
      </c>
    </row>
    <row r="3" spans="1:22" x14ac:dyDescent="0.3">
      <c r="A3" s="511"/>
      <c r="B3" s="30" t="str">
        <f>DTE_demand_forecast!B62</f>
        <v>Human Space Flight</v>
      </c>
      <c r="C3" s="78" t="str">
        <f>IFERROR(SR_demand_forecast!C56*#REF!,"-")</f>
        <v>-</v>
      </c>
      <c r="D3" s="78" t="str">
        <f>IFERROR(SR_demand_forecast!D56*#REF!,"-")</f>
        <v>-</v>
      </c>
      <c r="E3" s="78" t="str">
        <f>IFERROR(SR_demand_forecast!E56*#REF!,"-")</f>
        <v>-</v>
      </c>
      <c r="F3" s="78" t="str">
        <f>IFERROR(SR_demand_forecast!F56*#REF!,"-")</f>
        <v>-</v>
      </c>
      <c r="G3" s="78" t="str">
        <f>IFERROR(SR_demand_forecast!G56*#REF!,"-")</f>
        <v>-</v>
      </c>
      <c r="H3" s="78" t="str">
        <f>IFERROR(SR_demand_forecast!H56*#REF!,"-")</f>
        <v>-</v>
      </c>
      <c r="I3" s="78" t="str">
        <f>IFERROR(SR_demand_forecast!I56*#REF!,"-")</f>
        <v>-</v>
      </c>
      <c r="J3" s="78" t="str">
        <f>IFERROR(SR_demand_forecast!J56*#REF!,"-")</f>
        <v>-</v>
      </c>
      <c r="K3" s="78" t="str">
        <f>IFERROR(SR_demand_forecast!K56*#REF!,"-")</f>
        <v>-</v>
      </c>
      <c r="L3" s="78" t="str">
        <f>IFERROR(SR_demand_forecast!L56*#REF!,"-")</f>
        <v>-</v>
      </c>
      <c r="M3" s="78" t="str">
        <f>IFERROR(SR_demand_forecast!M56*#REF!,"-")</f>
        <v>-</v>
      </c>
      <c r="N3" s="78" t="str">
        <f>IFERROR(SR_demand_forecast!N56*#REF!,"-")</f>
        <v>-</v>
      </c>
      <c r="O3" s="78" t="str">
        <f>IFERROR(SR_demand_forecast!O56*#REF!,"-")</f>
        <v>-</v>
      </c>
      <c r="P3" s="78" t="str">
        <f>IFERROR(SR_demand_forecast!P56*#REF!,"-")</f>
        <v>-</v>
      </c>
      <c r="Q3" s="78" t="str">
        <f>IFERROR(SR_demand_forecast!Q56*#REF!,"-")</f>
        <v>-</v>
      </c>
      <c r="R3" s="78" t="str">
        <f>IFERROR(SR_demand_forecast!R56*#REF!,"-")</f>
        <v>-</v>
      </c>
      <c r="S3" s="78" t="str">
        <f>IFERROR(SR_demand_forecast!S56*#REF!,"-")</f>
        <v>-</v>
      </c>
      <c r="T3" s="78" t="str">
        <f>IFERROR(SR_demand_forecast!T56*#REF!,"-")</f>
        <v>-</v>
      </c>
      <c r="U3" s="78" t="str">
        <f>IFERROR(SR_demand_forecast!U56*#REF!,"-")</f>
        <v>-</v>
      </c>
      <c r="V3" s="78" t="str">
        <f>IFERROR(SR_demand_forecast!V56*#REF!,"-")</f>
        <v>-</v>
      </c>
    </row>
    <row r="4" spans="1:22" x14ac:dyDescent="0.3">
      <c r="A4" s="511"/>
      <c r="B4" s="30" t="str">
        <f>DTE_demand_forecast!B63</f>
        <v>Near Earth Robotic - LEO Science</v>
      </c>
      <c r="C4" s="78" t="str">
        <f>IFERROR(SR_demand_forecast!C57*#REF!,"-")</f>
        <v>-</v>
      </c>
      <c r="D4" s="78" t="str">
        <f>IFERROR(SR_demand_forecast!D57*#REF!,"-")</f>
        <v>-</v>
      </c>
      <c r="E4" s="78" t="str">
        <f>IFERROR(SR_demand_forecast!E57*#REF!,"-")</f>
        <v>-</v>
      </c>
      <c r="F4" s="78" t="str">
        <f>IFERROR(SR_demand_forecast!F57*#REF!,"-")</f>
        <v>-</v>
      </c>
      <c r="G4" s="78" t="str">
        <f>IFERROR(SR_demand_forecast!G57*#REF!,"-")</f>
        <v>-</v>
      </c>
      <c r="H4" s="78" t="str">
        <f>IFERROR(SR_demand_forecast!H57*#REF!,"-")</f>
        <v>-</v>
      </c>
      <c r="I4" s="78" t="str">
        <f>IFERROR(SR_demand_forecast!I57*#REF!,"-")</f>
        <v>-</v>
      </c>
      <c r="J4" s="78" t="str">
        <f>IFERROR(SR_demand_forecast!J57*#REF!,"-")</f>
        <v>-</v>
      </c>
      <c r="K4" s="78" t="str">
        <f>IFERROR(SR_demand_forecast!K57*#REF!,"-")</f>
        <v>-</v>
      </c>
      <c r="L4" s="78" t="str">
        <f>IFERROR(SR_demand_forecast!L57*#REF!,"-")</f>
        <v>-</v>
      </c>
      <c r="M4" s="78" t="str">
        <f>IFERROR(SR_demand_forecast!M57*#REF!,"-")</f>
        <v>-</v>
      </c>
      <c r="N4" s="78" t="str">
        <f>IFERROR(SR_demand_forecast!N57*#REF!,"-")</f>
        <v>-</v>
      </c>
      <c r="O4" s="78" t="str">
        <f>IFERROR(SR_demand_forecast!O57*#REF!,"-")</f>
        <v>-</v>
      </c>
      <c r="P4" s="78" t="str">
        <f>IFERROR(SR_demand_forecast!P57*#REF!,"-")</f>
        <v>-</v>
      </c>
      <c r="Q4" s="78" t="str">
        <f>IFERROR(SR_demand_forecast!Q57*#REF!,"-")</f>
        <v>-</v>
      </c>
      <c r="R4" s="78" t="str">
        <f>IFERROR(SR_demand_forecast!R57*#REF!,"-")</f>
        <v>-</v>
      </c>
      <c r="S4" s="78" t="str">
        <f>IFERROR(SR_demand_forecast!S57*#REF!,"-")</f>
        <v>-</v>
      </c>
      <c r="T4" s="78" t="str">
        <f>IFERROR(SR_demand_forecast!T57*#REF!,"-")</f>
        <v>-</v>
      </c>
      <c r="U4" s="78" t="str">
        <f>IFERROR(SR_demand_forecast!U57*#REF!,"-")</f>
        <v>-</v>
      </c>
      <c r="V4" s="78" t="str">
        <f>IFERROR(SR_demand_forecast!V57*#REF!,"-")</f>
        <v>-</v>
      </c>
    </row>
    <row r="5" spans="1:22" x14ac:dyDescent="0.3">
      <c r="A5" s="511"/>
      <c r="B5" s="30" t="str">
        <f>DTE_demand_forecast!B64</f>
        <v>Near Earth Robotic - GEO and Near Earth</v>
      </c>
      <c r="C5" s="78" t="str">
        <f>IFERROR(SR_demand_forecast!C58*#REF!,"-")</f>
        <v>-</v>
      </c>
      <c r="D5" s="78" t="str">
        <f>IFERROR(SR_demand_forecast!D58*#REF!,"-")</f>
        <v>-</v>
      </c>
      <c r="E5" s="78" t="str">
        <f>IFERROR(SR_demand_forecast!E58*#REF!,"-")</f>
        <v>-</v>
      </c>
      <c r="F5" s="78" t="str">
        <f>IFERROR(SR_demand_forecast!F58*#REF!,"-")</f>
        <v>-</v>
      </c>
      <c r="G5" s="78" t="str">
        <f>IFERROR(SR_demand_forecast!G58*#REF!,"-")</f>
        <v>-</v>
      </c>
      <c r="H5" s="78" t="str">
        <f>IFERROR(SR_demand_forecast!H58*#REF!,"-")</f>
        <v>-</v>
      </c>
      <c r="I5" s="78" t="str">
        <f>IFERROR(SR_demand_forecast!I58*#REF!,"-")</f>
        <v>-</v>
      </c>
      <c r="J5" s="78" t="str">
        <f>IFERROR(SR_demand_forecast!J58*#REF!,"-")</f>
        <v>-</v>
      </c>
      <c r="K5" s="78" t="str">
        <f>IFERROR(SR_demand_forecast!K58*#REF!,"-")</f>
        <v>-</v>
      </c>
      <c r="L5" s="78" t="str">
        <f>IFERROR(SR_demand_forecast!L58*#REF!,"-")</f>
        <v>-</v>
      </c>
      <c r="M5" s="78" t="str">
        <f>IFERROR(SR_demand_forecast!M58*#REF!,"-")</f>
        <v>-</v>
      </c>
      <c r="N5" s="78" t="str">
        <f>IFERROR(SR_demand_forecast!N58*#REF!,"-")</f>
        <v>-</v>
      </c>
      <c r="O5" s="78" t="str">
        <f>IFERROR(SR_demand_forecast!O58*#REF!,"-")</f>
        <v>-</v>
      </c>
      <c r="P5" s="78" t="str">
        <f>IFERROR(SR_demand_forecast!P58*#REF!,"-")</f>
        <v>-</v>
      </c>
      <c r="Q5" s="78" t="str">
        <f>IFERROR(SR_demand_forecast!Q58*#REF!,"-")</f>
        <v>-</v>
      </c>
      <c r="R5" s="78" t="str">
        <f>IFERROR(SR_demand_forecast!R58*#REF!,"-")</f>
        <v>-</v>
      </c>
      <c r="S5" s="78" t="str">
        <f>IFERROR(SR_demand_forecast!S58*#REF!,"-")</f>
        <v>-</v>
      </c>
      <c r="T5" s="78" t="str">
        <f>IFERROR(SR_demand_forecast!T58*#REF!,"-")</f>
        <v>-</v>
      </c>
      <c r="U5" s="78" t="str">
        <f>IFERROR(SR_demand_forecast!U58*#REF!,"-")</f>
        <v>-</v>
      </c>
      <c r="V5" s="78" t="str">
        <f>IFERROR(SR_demand_forecast!V58*#REF!,"-")</f>
        <v>-</v>
      </c>
    </row>
    <row r="6" spans="1:22" x14ac:dyDescent="0.3">
      <c r="A6" s="511"/>
      <c r="B6" s="30" t="str">
        <f>DTE_demand_forecast!B65</f>
        <v>Deep Space Robotic</v>
      </c>
      <c r="C6" s="78" t="str">
        <f>IFERROR(SR_demand_forecast!C59*#REF!,"-")</f>
        <v>-</v>
      </c>
      <c r="D6" s="78" t="str">
        <f>IFERROR(SR_demand_forecast!D59*#REF!,"-")</f>
        <v>-</v>
      </c>
      <c r="E6" s="78" t="str">
        <f>IFERROR(SR_demand_forecast!E59*#REF!,"-")</f>
        <v>-</v>
      </c>
      <c r="F6" s="78" t="str">
        <f>IFERROR(SR_demand_forecast!F59*#REF!,"-")</f>
        <v>-</v>
      </c>
      <c r="G6" s="78" t="str">
        <f>IFERROR(SR_demand_forecast!G59*#REF!,"-")</f>
        <v>-</v>
      </c>
      <c r="H6" s="78" t="str">
        <f>IFERROR(SR_demand_forecast!H59*#REF!,"-")</f>
        <v>-</v>
      </c>
      <c r="I6" s="78" t="str">
        <f>IFERROR(SR_demand_forecast!I59*#REF!,"-")</f>
        <v>-</v>
      </c>
      <c r="J6" s="78" t="str">
        <f>IFERROR(SR_demand_forecast!J59*#REF!,"-")</f>
        <v>-</v>
      </c>
      <c r="K6" s="78" t="str">
        <f>IFERROR(SR_demand_forecast!K59*#REF!,"-")</f>
        <v>-</v>
      </c>
      <c r="L6" s="78" t="str">
        <f>IFERROR(SR_demand_forecast!L59*#REF!,"-")</f>
        <v>-</v>
      </c>
      <c r="M6" s="78" t="str">
        <f>IFERROR(SR_demand_forecast!M59*#REF!,"-")</f>
        <v>-</v>
      </c>
      <c r="N6" s="78" t="str">
        <f>IFERROR(SR_demand_forecast!N59*#REF!,"-")</f>
        <v>-</v>
      </c>
      <c r="O6" s="78" t="str">
        <f>IFERROR(SR_demand_forecast!O59*#REF!,"-")</f>
        <v>-</v>
      </c>
      <c r="P6" s="78" t="str">
        <f>IFERROR(SR_demand_forecast!P59*#REF!,"-")</f>
        <v>-</v>
      </c>
      <c r="Q6" s="78" t="str">
        <f>IFERROR(SR_demand_forecast!Q59*#REF!,"-")</f>
        <v>-</v>
      </c>
      <c r="R6" s="78" t="str">
        <f>IFERROR(SR_demand_forecast!R59*#REF!,"-")</f>
        <v>-</v>
      </c>
      <c r="S6" s="78" t="str">
        <f>IFERROR(SR_demand_forecast!S59*#REF!,"-")</f>
        <v>-</v>
      </c>
      <c r="T6" s="78" t="str">
        <f>IFERROR(SR_demand_forecast!T59*#REF!,"-")</f>
        <v>-</v>
      </c>
      <c r="U6" s="78" t="str">
        <f>IFERROR(SR_demand_forecast!U59*#REF!,"-")</f>
        <v>-</v>
      </c>
      <c r="V6" s="78" t="str">
        <f>IFERROR(SR_demand_forecast!V59*#REF!,"-")</f>
        <v>-</v>
      </c>
    </row>
    <row r="7" spans="1:22" x14ac:dyDescent="0.3">
      <c r="A7" s="511"/>
      <c r="B7" s="30" t="str">
        <f>DTE_demand_forecast!B66</f>
        <v>Near Earth Robotic - Low Latency &amp; Complex Needs</v>
      </c>
      <c r="C7" s="78" t="str">
        <f>IFERROR(SR_demand_forecast!C60*#REF!,"-")</f>
        <v>-</v>
      </c>
      <c r="D7" s="78" t="str">
        <f>IFERROR(SR_demand_forecast!D60*#REF!,"-")</f>
        <v>-</v>
      </c>
      <c r="E7" s="78" t="str">
        <f>IFERROR(SR_demand_forecast!E60*#REF!,"-")</f>
        <v>-</v>
      </c>
      <c r="F7" s="78" t="str">
        <f>IFERROR(SR_demand_forecast!F60*#REF!,"-")</f>
        <v>-</v>
      </c>
      <c r="G7" s="78" t="str">
        <f>IFERROR(SR_demand_forecast!G60*#REF!,"-")</f>
        <v>-</v>
      </c>
      <c r="H7" s="78" t="str">
        <f>IFERROR(SR_demand_forecast!H60*#REF!,"-")</f>
        <v>-</v>
      </c>
      <c r="I7" s="78" t="str">
        <f>IFERROR(SR_demand_forecast!I60*#REF!,"-")</f>
        <v>-</v>
      </c>
      <c r="J7" s="78" t="str">
        <f>IFERROR(SR_demand_forecast!J60*#REF!,"-")</f>
        <v>-</v>
      </c>
      <c r="K7" s="78" t="str">
        <f>IFERROR(SR_demand_forecast!K60*#REF!,"-")</f>
        <v>-</v>
      </c>
      <c r="L7" s="78" t="str">
        <f>IFERROR(SR_demand_forecast!L60*#REF!,"-")</f>
        <v>-</v>
      </c>
      <c r="M7" s="78" t="str">
        <f>IFERROR(SR_demand_forecast!M60*#REF!,"-")</f>
        <v>-</v>
      </c>
      <c r="N7" s="78" t="str">
        <f>IFERROR(SR_demand_forecast!N60*#REF!,"-")</f>
        <v>-</v>
      </c>
      <c r="O7" s="78" t="str">
        <f>IFERROR(SR_demand_forecast!O60*#REF!,"-")</f>
        <v>-</v>
      </c>
      <c r="P7" s="78" t="str">
        <f>IFERROR(SR_demand_forecast!P60*#REF!,"-")</f>
        <v>-</v>
      </c>
      <c r="Q7" s="78" t="str">
        <f>IFERROR(SR_demand_forecast!Q60*#REF!,"-")</f>
        <v>-</v>
      </c>
      <c r="R7" s="78" t="str">
        <f>IFERROR(SR_demand_forecast!R60*#REF!,"-")</f>
        <v>-</v>
      </c>
      <c r="S7" s="78" t="str">
        <f>IFERROR(SR_demand_forecast!S60*#REF!,"-")</f>
        <v>-</v>
      </c>
      <c r="T7" s="78" t="str">
        <f>IFERROR(SR_demand_forecast!T60*#REF!,"-")</f>
        <v>-</v>
      </c>
      <c r="U7" s="78" t="str">
        <f>IFERROR(SR_demand_forecast!U60*#REF!,"-")</f>
        <v>-</v>
      </c>
      <c r="V7" s="78" t="str">
        <f>IFERROR(SR_demand_forecast!V60*#REF!,"-")</f>
        <v>-</v>
      </c>
    </row>
    <row r="8" spans="1:22" x14ac:dyDescent="0.3">
      <c r="A8" s="511"/>
      <c r="B8" s="30" t="str">
        <f>DTE_demand_forecast!B67</f>
        <v>Mission Operations</v>
      </c>
      <c r="C8" s="78" t="str">
        <f>IFERROR(SR_demand_forecast!C61*#REF!,"-")</f>
        <v>-</v>
      </c>
      <c r="D8" s="78" t="str">
        <f>IFERROR(SR_demand_forecast!D61*#REF!,"-")</f>
        <v>-</v>
      </c>
      <c r="E8" s="78" t="str">
        <f>IFERROR(SR_demand_forecast!E61*#REF!,"-")</f>
        <v>-</v>
      </c>
      <c r="F8" s="78" t="str">
        <f>IFERROR(SR_demand_forecast!F61*#REF!,"-")</f>
        <v>-</v>
      </c>
      <c r="G8" s="78" t="str">
        <f>IFERROR(SR_demand_forecast!G61*#REF!,"-")</f>
        <v>-</v>
      </c>
      <c r="H8" s="78" t="str">
        <f>IFERROR(SR_demand_forecast!H61*#REF!,"-")</f>
        <v>-</v>
      </c>
      <c r="I8" s="78" t="str">
        <f>IFERROR(SR_demand_forecast!I61*#REF!,"-")</f>
        <v>-</v>
      </c>
      <c r="J8" s="78" t="str">
        <f>IFERROR(SR_demand_forecast!J61*#REF!,"-")</f>
        <v>-</v>
      </c>
      <c r="K8" s="78" t="str">
        <f>IFERROR(SR_demand_forecast!K61*#REF!,"-")</f>
        <v>-</v>
      </c>
      <c r="L8" s="78" t="str">
        <f>IFERROR(SR_demand_forecast!L61*#REF!,"-")</f>
        <v>-</v>
      </c>
      <c r="M8" s="78" t="str">
        <f>IFERROR(SR_demand_forecast!M61*#REF!,"-")</f>
        <v>-</v>
      </c>
      <c r="N8" s="78" t="str">
        <f>IFERROR(SR_demand_forecast!N61*#REF!,"-")</f>
        <v>-</v>
      </c>
      <c r="O8" s="78" t="str">
        <f>IFERROR(SR_demand_forecast!O61*#REF!,"-")</f>
        <v>-</v>
      </c>
      <c r="P8" s="78" t="str">
        <f>IFERROR(SR_demand_forecast!P61*#REF!,"-")</f>
        <v>-</v>
      </c>
      <c r="Q8" s="78" t="str">
        <f>IFERROR(SR_demand_forecast!Q61*#REF!,"-")</f>
        <v>-</v>
      </c>
      <c r="R8" s="78" t="str">
        <f>IFERROR(SR_demand_forecast!R61*#REF!,"-")</f>
        <v>-</v>
      </c>
      <c r="S8" s="78" t="str">
        <f>IFERROR(SR_demand_forecast!S61*#REF!,"-")</f>
        <v>-</v>
      </c>
      <c r="T8" s="78" t="str">
        <f>IFERROR(SR_demand_forecast!T61*#REF!,"-")</f>
        <v>-</v>
      </c>
      <c r="U8" s="78" t="str">
        <f>IFERROR(SR_demand_forecast!U61*#REF!,"-")</f>
        <v>-</v>
      </c>
      <c r="V8" s="78" t="str">
        <f>IFERROR(SR_demand_forecast!V61*#REF!,"-")</f>
        <v>-</v>
      </c>
    </row>
    <row r="9" spans="1:22" x14ac:dyDescent="0.3">
      <c r="A9" s="511"/>
      <c r="B9" s="30" t="str">
        <f>DTE_demand_forecast!B68</f>
        <v>Launch Events</v>
      </c>
      <c r="C9" s="78" t="str">
        <f>IFERROR(SR_demand_forecast!C62*#REF!,"-")</f>
        <v>-</v>
      </c>
      <c r="D9" s="78" t="str">
        <f>IFERROR(SR_demand_forecast!D62*#REF!,"-")</f>
        <v>-</v>
      </c>
      <c r="E9" s="78" t="str">
        <f>IFERROR(SR_demand_forecast!E62*#REF!,"-")</f>
        <v>-</v>
      </c>
      <c r="F9" s="78" t="str">
        <f>IFERROR(SR_demand_forecast!F62*#REF!,"-")</f>
        <v>-</v>
      </c>
      <c r="G9" s="78" t="str">
        <f>IFERROR(SR_demand_forecast!G62*#REF!,"-")</f>
        <v>-</v>
      </c>
      <c r="H9" s="78" t="str">
        <f>IFERROR(SR_demand_forecast!H62*#REF!,"-")</f>
        <v>-</v>
      </c>
      <c r="I9" s="78" t="str">
        <f>IFERROR(SR_demand_forecast!I62*#REF!,"-")</f>
        <v>-</v>
      </c>
      <c r="J9" s="78" t="str">
        <f>IFERROR(SR_demand_forecast!J62*#REF!,"-")</f>
        <v>-</v>
      </c>
      <c r="K9" s="78" t="str">
        <f>IFERROR(SR_demand_forecast!K62*#REF!,"-")</f>
        <v>-</v>
      </c>
      <c r="L9" s="78" t="str">
        <f>IFERROR(SR_demand_forecast!L62*#REF!,"-")</f>
        <v>-</v>
      </c>
      <c r="M9" s="78" t="str">
        <f>IFERROR(SR_demand_forecast!M62*#REF!,"-")</f>
        <v>-</v>
      </c>
      <c r="N9" s="78" t="str">
        <f>IFERROR(SR_demand_forecast!N62*#REF!,"-")</f>
        <v>-</v>
      </c>
      <c r="O9" s="78" t="str">
        <f>IFERROR(SR_demand_forecast!O62*#REF!,"-")</f>
        <v>-</v>
      </c>
      <c r="P9" s="78" t="str">
        <f>IFERROR(SR_demand_forecast!P62*#REF!,"-")</f>
        <v>-</v>
      </c>
      <c r="Q9" s="78" t="str">
        <f>IFERROR(SR_demand_forecast!Q62*#REF!,"-")</f>
        <v>-</v>
      </c>
      <c r="R9" s="78" t="str">
        <f>IFERROR(SR_demand_forecast!R62*#REF!,"-")</f>
        <v>-</v>
      </c>
      <c r="S9" s="78" t="str">
        <f>IFERROR(SR_demand_forecast!S62*#REF!,"-")</f>
        <v>-</v>
      </c>
      <c r="T9" s="78" t="str">
        <f>IFERROR(SR_demand_forecast!T62*#REF!,"-")</f>
        <v>-</v>
      </c>
      <c r="U9" s="78" t="str">
        <f>IFERROR(SR_demand_forecast!U62*#REF!,"-")</f>
        <v>-</v>
      </c>
      <c r="V9" s="78" t="str">
        <f>IFERROR(SR_demand_forecast!V62*#REF!,"-")</f>
        <v>-</v>
      </c>
    </row>
    <row r="10" spans="1:22" x14ac:dyDescent="0.3">
      <c r="A10" s="511"/>
      <c r="B10" s="30" t="str">
        <f>DTE_demand_forecast!B69</f>
        <v>Terrestrial &amp; Aerial</v>
      </c>
      <c r="C10" s="78" t="str">
        <f>IFERROR(SR_demand_forecast!C63*#REF!,"-")</f>
        <v>-</v>
      </c>
      <c r="D10" s="78" t="str">
        <f>IFERROR(SR_demand_forecast!D63*#REF!,"-")</f>
        <v>-</v>
      </c>
      <c r="E10" s="78" t="str">
        <f>IFERROR(SR_demand_forecast!E63*#REF!,"-")</f>
        <v>-</v>
      </c>
      <c r="F10" s="78" t="str">
        <f>IFERROR(SR_demand_forecast!F63*#REF!,"-")</f>
        <v>-</v>
      </c>
      <c r="G10" s="78" t="str">
        <f>IFERROR(SR_demand_forecast!G63*#REF!,"-")</f>
        <v>-</v>
      </c>
      <c r="H10" s="78" t="str">
        <f>IFERROR(SR_demand_forecast!H63*#REF!,"-")</f>
        <v>-</v>
      </c>
      <c r="I10" s="78" t="str">
        <f>IFERROR(SR_demand_forecast!I63*#REF!,"-")</f>
        <v>-</v>
      </c>
      <c r="J10" s="78" t="str">
        <f>IFERROR(SR_demand_forecast!J63*#REF!,"-")</f>
        <v>-</v>
      </c>
      <c r="K10" s="78" t="str">
        <f>IFERROR(SR_demand_forecast!K63*#REF!,"-")</f>
        <v>-</v>
      </c>
      <c r="L10" s="78" t="str">
        <f>IFERROR(SR_demand_forecast!L63*#REF!,"-")</f>
        <v>-</v>
      </c>
      <c r="M10" s="78" t="str">
        <f>IFERROR(SR_demand_forecast!M63*#REF!,"-")</f>
        <v>-</v>
      </c>
      <c r="N10" s="78" t="str">
        <f>IFERROR(SR_demand_forecast!N63*#REF!,"-")</f>
        <v>-</v>
      </c>
      <c r="O10" s="78" t="str">
        <f>IFERROR(SR_demand_forecast!O63*#REF!,"-")</f>
        <v>-</v>
      </c>
      <c r="P10" s="78" t="str">
        <f>IFERROR(SR_demand_forecast!P63*#REF!,"-")</f>
        <v>-</v>
      </c>
      <c r="Q10" s="78" t="str">
        <f>IFERROR(SR_demand_forecast!Q63*#REF!,"-")</f>
        <v>-</v>
      </c>
      <c r="R10" s="78" t="str">
        <f>IFERROR(SR_demand_forecast!R63*#REF!,"-")</f>
        <v>-</v>
      </c>
      <c r="S10" s="78" t="str">
        <f>IFERROR(SR_demand_forecast!S63*#REF!,"-")</f>
        <v>-</v>
      </c>
      <c r="T10" s="78" t="str">
        <f>IFERROR(SR_demand_forecast!T63*#REF!,"-")</f>
        <v>-</v>
      </c>
      <c r="U10" s="78" t="str">
        <f>IFERROR(SR_demand_forecast!U63*#REF!,"-")</f>
        <v>-</v>
      </c>
      <c r="V10" s="78" t="str">
        <f>IFERROR(SR_demand_forecast!V63*#REF!,"-")</f>
        <v>-</v>
      </c>
    </row>
    <row r="11" spans="1:22" x14ac:dyDescent="0.3">
      <c r="A11" s="511"/>
      <c r="B11" s="31" t="s">
        <v>84</v>
      </c>
      <c r="C11" s="124">
        <f t="shared" ref="C11:V11" si="0">SUM(C3:C10)</f>
        <v>0</v>
      </c>
      <c r="D11" s="124">
        <f t="shared" si="0"/>
        <v>0</v>
      </c>
      <c r="E11" s="124">
        <f t="shared" si="0"/>
        <v>0</v>
      </c>
      <c r="F11" s="124">
        <f t="shared" si="0"/>
        <v>0</v>
      </c>
      <c r="G11" s="124">
        <f t="shared" si="0"/>
        <v>0</v>
      </c>
      <c r="H11" s="124">
        <f t="shared" si="0"/>
        <v>0</v>
      </c>
      <c r="I11" s="124">
        <f t="shared" si="0"/>
        <v>0</v>
      </c>
      <c r="J11" s="124">
        <f t="shared" si="0"/>
        <v>0</v>
      </c>
      <c r="K11" s="124">
        <f t="shared" si="0"/>
        <v>0</v>
      </c>
      <c r="L11" s="124">
        <f t="shared" si="0"/>
        <v>0</v>
      </c>
      <c r="M11" s="124">
        <f t="shared" si="0"/>
        <v>0</v>
      </c>
      <c r="N11" s="124">
        <f t="shared" si="0"/>
        <v>0</v>
      </c>
      <c r="O11" s="124">
        <f t="shared" si="0"/>
        <v>0</v>
      </c>
      <c r="P11" s="124">
        <f t="shared" si="0"/>
        <v>0</v>
      </c>
      <c r="Q11" s="124">
        <f t="shared" si="0"/>
        <v>0</v>
      </c>
      <c r="R11" s="124">
        <f t="shared" si="0"/>
        <v>0</v>
      </c>
      <c r="S11" s="124">
        <f t="shared" si="0"/>
        <v>0</v>
      </c>
      <c r="T11" s="124">
        <f t="shared" si="0"/>
        <v>0</v>
      </c>
      <c r="U11" s="124">
        <f t="shared" si="0"/>
        <v>0</v>
      </c>
      <c r="V11" s="124">
        <f t="shared" si="0"/>
        <v>0</v>
      </c>
    </row>
    <row r="12" spans="1:22" x14ac:dyDescent="0.3">
      <c r="A12" s="511"/>
      <c r="B12" s="125"/>
      <c r="C12" s="126"/>
      <c r="D12" s="126"/>
      <c r="E12" s="126"/>
      <c r="F12" s="126"/>
      <c r="G12" s="126"/>
      <c r="H12" s="126"/>
      <c r="I12" s="126"/>
      <c r="J12" s="126"/>
      <c r="K12" s="126"/>
      <c r="L12" s="126"/>
      <c r="M12" s="126"/>
      <c r="N12" s="126"/>
      <c r="O12" s="126"/>
      <c r="P12" s="126"/>
      <c r="Q12" s="126"/>
      <c r="R12" s="126"/>
      <c r="S12" s="126"/>
      <c r="T12" s="126"/>
      <c r="U12" s="126"/>
      <c r="V12" s="126"/>
    </row>
    <row r="13" spans="1:22" x14ac:dyDescent="0.3">
      <c r="A13" s="511"/>
      <c r="B13" s="125"/>
      <c r="C13" s="126"/>
      <c r="D13" s="126"/>
      <c r="E13" s="126"/>
      <c r="F13" s="126"/>
      <c r="G13" s="126"/>
      <c r="H13" s="126"/>
      <c r="I13" s="126"/>
      <c r="J13" s="126"/>
      <c r="K13" s="126"/>
      <c r="L13" s="126"/>
      <c r="M13" s="126"/>
      <c r="N13" s="126"/>
      <c r="O13" s="126"/>
      <c r="P13" s="126"/>
      <c r="Q13" s="126"/>
      <c r="R13" s="126"/>
      <c r="S13" s="126"/>
      <c r="T13" s="126"/>
      <c r="U13" s="126"/>
      <c r="V13" s="126"/>
    </row>
    <row r="14" spans="1:22" x14ac:dyDescent="0.3">
      <c r="A14" s="511"/>
      <c r="B14" s="125"/>
      <c r="C14" s="126"/>
      <c r="D14" s="126"/>
      <c r="E14" s="126"/>
      <c r="F14" s="126"/>
      <c r="G14" s="126"/>
      <c r="H14" s="126"/>
      <c r="I14" s="126"/>
      <c r="J14" s="126"/>
      <c r="K14" s="126"/>
      <c r="L14" s="126"/>
      <c r="M14" s="126"/>
      <c r="N14" s="126"/>
      <c r="O14" s="126"/>
      <c r="P14" s="126"/>
      <c r="Q14" s="126"/>
      <c r="R14" s="126"/>
      <c r="S14" s="126"/>
      <c r="T14" s="126"/>
      <c r="U14" s="126"/>
      <c r="V14" s="126"/>
    </row>
    <row r="15" spans="1:22" x14ac:dyDescent="0.3">
      <c r="A15" s="511"/>
      <c r="B15" s="125"/>
      <c r="C15" s="126"/>
      <c r="D15" s="126"/>
      <c r="E15" s="126"/>
      <c r="F15" s="126"/>
      <c r="G15" s="126"/>
      <c r="H15" s="126"/>
      <c r="I15" s="126"/>
      <c r="J15" s="126"/>
      <c r="K15" s="126"/>
      <c r="L15" s="126"/>
      <c r="M15" s="126"/>
      <c r="N15" s="126"/>
      <c r="O15" s="126"/>
      <c r="P15" s="126"/>
      <c r="Q15" s="126"/>
      <c r="R15" s="126"/>
      <c r="S15" s="126"/>
      <c r="T15" s="126"/>
      <c r="U15" s="126"/>
      <c r="V15" s="126"/>
    </row>
    <row r="16" spans="1:22" x14ac:dyDescent="0.3">
      <c r="A16" s="511"/>
      <c r="B16" s="125"/>
      <c r="C16" s="126"/>
      <c r="D16" s="126"/>
      <c r="E16" s="126"/>
      <c r="F16" s="126"/>
      <c r="G16" s="126"/>
      <c r="H16" s="126"/>
      <c r="I16" s="126"/>
      <c r="J16" s="126"/>
      <c r="K16" s="126"/>
      <c r="L16" s="126"/>
      <c r="M16" s="126"/>
      <c r="N16" s="126"/>
      <c r="O16" s="126"/>
      <c r="P16" s="126"/>
      <c r="Q16" s="126"/>
      <c r="R16" s="126"/>
      <c r="S16" s="126"/>
      <c r="T16" s="126"/>
      <c r="U16" s="126"/>
      <c r="V16" s="126"/>
    </row>
    <row r="17" spans="1:22" x14ac:dyDescent="0.3">
      <c r="A17" s="511"/>
    </row>
    <row r="18" spans="1:22" x14ac:dyDescent="0.3">
      <c r="A18" s="511"/>
    </row>
    <row r="19" spans="1:22" x14ac:dyDescent="0.3">
      <c r="A19" s="511"/>
      <c r="B19" s="32" t="s">
        <v>150</v>
      </c>
      <c r="L19" s="18"/>
      <c r="M19" s="18"/>
    </row>
    <row r="20" spans="1:22" x14ac:dyDescent="0.3">
      <c r="A20" s="511"/>
      <c r="B20" s="75" t="s">
        <v>82</v>
      </c>
      <c r="C20" s="75">
        <v>2021</v>
      </c>
      <c r="D20" s="76">
        <v>2022</v>
      </c>
      <c r="E20" s="75">
        <v>2023</v>
      </c>
      <c r="F20" s="76">
        <v>2024</v>
      </c>
      <c r="G20" s="75">
        <v>2025</v>
      </c>
      <c r="H20" s="76">
        <v>2026</v>
      </c>
      <c r="I20" s="75">
        <v>2027</v>
      </c>
      <c r="J20" s="76">
        <v>2028</v>
      </c>
      <c r="K20" s="75">
        <v>2029</v>
      </c>
      <c r="L20" s="76">
        <v>2030</v>
      </c>
      <c r="M20" s="75">
        <v>2031</v>
      </c>
      <c r="N20" s="76">
        <v>2032</v>
      </c>
      <c r="O20" s="75">
        <v>2033</v>
      </c>
      <c r="P20" s="76">
        <v>2034</v>
      </c>
      <c r="Q20" s="75">
        <v>2035</v>
      </c>
      <c r="R20" s="76">
        <v>2036</v>
      </c>
      <c r="S20" s="75">
        <v>2037</v>
      </c>
      <c r="T20" s="76">
        <v>2038</v>
      </c>
      <c r="U20" s="75">
        <v>2039</v>
      </c>
      <c r="V20" s="76">
        <v>2040</v>
      </c>
    </row>
    <row r="21" spans="1:22" x14ac:dyDescent="0.3">
      <c r="A21" s="511"/>
      <c r="B21" s="30" t="s">
        <v>43</v>
      </c>
      <c r="C21" s="78" t="str">
        <f>IFERROR(SR_demand_forecast!C129*#REF!,"-")</f>
        <v>-</v>
      </c>
      <c r="D21" s="78" t="str">
        <f>IFERROR(SR_demand_forecast!D129*#REF!,"-")</f>
        <v>-</v>
      </c>
      <c r="E21" s="78" t="str">
        <f>IFERROR(SR_demand_forecast!E129*#REF!,"-")</f>
        <v>-</v>
      </c>
      <c r="F21" s="78" t="str">
        <f>IFERROR(SR_demand_forecast!F129*#REF!,"-")</f>
        <v>-</v>
      </c>
      <c r="G21" s="78" t="str">
        <f>IFERROR(SR_demand_forecast!G129*#REF!,"-")</f>
        <v>-</v>
      </c>
      <c r="H21" s="78" t="str">
        <f>IFERROR(SR_demand_forecast!H129*#REF!,"-")</f>
        <v>-</v>
      </c>
      <c r="I21" s="78" t="str">
        <f>IFERROR(SR_demand_forecast!I129*#REF!,"-")</f>
        <v>-</v>
      </c>
      <c r="J21" s="78" t="str">
        <f>IFERROR(SR_demand_forecast!J129*#REF!,"-")</f>
        <v>-</v>
      </c>
      <c r="K21" s="78" t="str">
        <f>IFERROR(SR_demand_forecast!K129*#REF!,"-")</f>
        <v>-</v>
      </c>
      <c r="L21" s="78" t="str">
        <f>IFERROR(SR_demand_forecast!L129*#REF!,"-")</f>
        <v>-</v>
      </c>
      <c r="M21" s="78" t="str">
        <f>IFERROR(SR_demand_forecast!M129*#REF!,"-")</f>
        <v>-</v>
      </c>
      <c r="N21" s="78" t="str">
        <f>IFERROR(SR_demand_forecast!N129*#REF!,"-")</f>
        <v>-</v>
      </c>
      <c r="O21" s="78" t="str">
        <f>IFERROR(SR_demand_forecast!O129*#REF!,"-")</f>
        <v>-</v>
      </c>
      <c r="P21" s="78" t="str">
        <f>IFERROR(SR_demand_forecast!P129*#REF!,"-")</f>
        <v>-</v>
      </c>
      <c r="Q21" s="78" t="str">
        <f>IFERROR(SR_demand_forecast!Q129*#REF!,"-")</f>
        <v>-</v>
      </c>
      <c r="R21" s="78" t="str">
        <f>IFERROR(SR_demand_forecast!R129*#REF!,"-")</f>
        <v>-</v>
      </c>
      <c r="S21" s="78" t="str">
        <f>IFERROR(SR_demand_forecast!S129*#REF!,"-")</f>
        <v>-</v>
      </c>
      <c r="T21" s="78" t="str">
        <f>IFERROR(SR_demand_forecast!T129*#REF!,"-")</f>
        <v>-</v>
      </c>
      <c r="U21" s="78" t="str">
        <f>IFERROR(SR_demand_forecast!U129*#REF!,"-")</f>
        <v>-</v>
      </c>
      <c r="V21" s="78" t="str">
        <f>IFERROR(SR_demand_forecast!V129*#REF!,"-")</f>
        <v>-</v>
      </c>
    </row>
    <row r="22" spans="1:22" x14ac:dyDescent="0.3">
      <c r="A22" s="511"/>
      <c r="B22" s="30" t="s">
        <v>41</v>
      </c>
      <c r="C22" s="78" t="str">
        <f>IFERROR(SR_demand_forecast!C130*#REF!,"-")</f>
        <v>-</v>
      </c>
      <c r="D22" s="78" t="str">
        <f>IFERROR(SR_demand_forecast!D130*#REF!,"-")</f>
        <v>-</v>
      </c>
      <c r="E22" s="78" t="str">
        <f>IFERROR(SR_demand_forecast!E130*#REF!,"-")</f>
        <v>-</v>
      </c>
      <c r="F22" s="78" t="str">
        <f>IFERROR(SR_demand_forecast!F130*#REF!,"-")</f>
        <v>-</v>
      </c>
      <c r="G22" s="78" t="str">
        <f>IFERROR(SR_demand_forecast!G130*#REF!,"-")</f>
        <v>-</v>
      </c>
      <c r="H22" s="78" t="str">
        <f>IFERROR(SR_demand_forecast!H130*#REF!,"-")</f>
        <v>-</v>
      </c>
      <c r="I22" s="78" t="str">
        <f>IFERROR(SR_demand_forecast!I130*#REF!,"-")</f>
        <v>-</v>
      </c>
      <c r="J22" s="78" t="str">
        <f>IFERROR(SR_demand_forecast!J130*#REF!,"-")</f>
        <v>-</v>
      </c>
      <c r="K22" s="78" t="str">
        <f>IFERROR(SR_demand_forecast!K130*#REF!,"-")</f>
        <v>-</v>
      </c>
      <c r="L22" s="78" t="str">
        <f>IFERROR(SR_demand_forecast!L130*#REF!,"-")</f>
        <v>-</v>
      </c>
      <c r="M22" s="78" t="str">
        <f>IFERROR(SR_demand_forecast!M130*#REF!,"-")</f>
        <v>-</v>
      </c>
      <c r="N22" s="78" t="str">
        <f>IFERROR(SR_demand_forecast!N130*#REF!,"-")</f>
        <v>-</v>
      </c>
      <c r="O22" s="78" t="str">
        <f>IFERROR(SR_demand_forecast!O130*#REF!,"-")</f>
        <v>-</v>
      </c>
      <c r="P22" s="78" t="str">
        <f>IFERROR(SR_demand_forecast!P130*#REF!,"-")</f>
        <v>-</v>
      </c>
      <c r="Q22" s="78" t="str">
        <f>IFERROR(SR_demand_forecast!Q130*#REF!,"-")</f>
        <v>-</v>
      </c>
      <c r="R22" s="78" t="str">
        <f>IFERROR(SR_demand_forecast!R130*#REF!,"-")</f>
        <v>-</v>
      </c>
      <c r="S22" s="78" t="str">
        <f>IFERROR(SR_demand_forecast!S130*#REF!,"-")</f>
        <v>-</v>
      </c>
      <c r="T22" s="78" t="str">
        <f>IFERROR(SR_demand_forecast!T130*#REF!,"-")</f>
        <v>-</v>
      </c>
      <c r="U22" s="78" t="str">
        <f>IFERROR(SR_demand_forecast!U130*#REF!,"-")</f>
        <v>-</v>
      </c>
      <c r="V22" s="78" t="str">
        <f>IFERROR(SR_demand_forecast!V130*#REF!,"-")</f>
        <v>-</v>
      </c>
    </row>
    <row r="23" spans="1:22" x14ac:dyDescent="0.3">
      <c r="A23" s="511"/>
      <c r="B23" s="30" t="s">
        <v>40</v>
      </c>
      <c r="C23" s="78" t="str">
        <f>IFERROR(SR_demand_forecast!C131*#REF!,"-")</f>
        <v>-</v>
      </c>
      <c r="D23" s="78" t="str">
        <f>IFERROR(SR_demand_forecast!D131*#REF!,"-")</f>
        <v>-</v>
      </c>
      <c r="E23" s="78" t="str">
        <f>IFERROR(SR_demand_forecast!E131*#REF!,"-")</f>
        <v>-</v>
      </c>
      <c r="F23" s="78" t="str">
        <f>IFERROR(SR_demand_forecast!F131*#REF!,"-")</f>
        <v>-</v>
      </c>
      <c r="G23" s="78" t="str">
        <f>IFERROR(SR_demand_forecast!G131*#REF!,"-")</f>
        <v>-</v>
      </c>
      <c r="H23" s="78" t="str">
        <f>IFERROR(SR_demand_forecast!H131*#REF!,"-")</f>
        <v>-</v>
      </c>
      <c r="I23" s="78" t="str">
        <f>IFERROR(SR_demand_forecast!I131*#REF!,"-")</f>
        <v>-</v>
      </c>
      <c r="J23" s="78" t="str">
        <f>IFERROR(SR_demand_forecast!J131*#REF!,"-")</f>
        <v>-</v>
      </c>
      <c r="K23" s="78" t="str">
        <f>IFERROR(SR_demand_forecast!K131*#REF!,"-")</f>
        <v>-</v>
      </c>
      <c r="L23" s="78" t="str">
        <f>IFERROR(SR_demand_forecast!L131*#REF!,"-")</f>
        <v>-</v>
      </c>
      <c r="M23" s="78" t="str">
        <f>IFERROR(SR_demand_forecast!M131*#REF!,"-")</f>
        <v>-</v>
      </c>
      <c r="N23" s="78" t="str">
        <f>IFERROR(SR_demand_forecast!N131*#REF!,"-")</f>
        <v>-</v>
      </c>
      <c r="O23" s="78" t="str">
        <f>IFERROR(SR_demand_forecast!O131*#REF!,"-")</f>
        <v>-</v>
      </c>
      <c r="P23" s="78" t="str">
        <f>IFERROR(SR_demand_forecast!P131*#REF!,"-")</f>
        <v>-</v>
      </c>
      <c r="Q23" s="78" t="str">
        <f>IFERROR(SR_demand_forecast!Q131*#REF!,"-")</f>
        <v>-</v>
      </c>
      <c r="R23" s="78" t="str">
        <f>IFERROR(SR_demand_forecast!R131*#REF!,"-")</f>
        <v>-</v>
      </c>
      <c r="S23" s="78" t="str">
        <f>IFERROR(SR_demand_forecast!S131*#REF!,"-")</f>
        <v>-</v>
      </c>
      <c r="T23" s="78" t="str">
        <f>IFERROR(SR_demand_forecast!T131*#REF!,"-")</f>
        <v>-</v>
      </c>
      <c r="U23" s="78" t="str">
        <f>IFERROR(SR_demand_forecast!U131*#REF!,"-")</f>
        <v>-</v>
      </c>
      <c r="V23" s="78" t="str">
        <f>IFERROR(SR_demand_forecast!V131*#REF!,"-")</f>
        <v>-</v>
      </c>
    </row>
    <row r="24" spans="1:22" x14ac:dyDescent="0.3">
      <c r="A24" s="511"/>
      <c r="B24" s="30" t="s">
        <v>80</v>
      </c>
      <c r="C24" s="78" t="str">
        <f>IFERROR(SR_demand_forecast!C132*#REF!,"-")</f>
        <v>-</v>
      </c>
      <c r="D24" s="78" t="str">
        <f>IFERROR(SR_demand_forecast!D132*#REF!,"-")</f>
        <v>-</v>
      </c>
      <c r="E24" s="78" t="str">
        <f>IFERROR(SR_demand_forecast!E132*#REF!,"-")</f>
        <v>-</v>
      </c>
      <c r="F24" s="78" t="str">
        <f>IFERROR(SR_demand_forecast!F132*#REF!,"-")</f>
        <v>-</v>
      </c>
      <c r="G24" s="78" t="str">
        <f>IFERROR(SR_demand_forecast!G132*#REF!,"-")</f>
        <v>-</v>
      </c>
      <c r="H24" s="78" t="str">
        <f>IFERROR(SR_demand_forecast!H132*#REF!,"-")</f>
        <v>-</v>
      </c>
      <c r="I24" s="78" t="str">
        <f>IFERROR(SR_demand_forecast!I132*#REF!,"-")</f>
        <v>-</v>
      </c>
      <c r="J24" s="78" t="str">
        <f>IFERROR(SR_demand_forecast!J132*#REF!,"-")</f>
        <v>-</v>
      </c>
      <c r="K24" s="78" t="str">
        <f>IFERROR(SR_demand_forecast!K132*#REF!,"-")</f>
        <v>-</v>
      </c>
      <c r="L24" s="78" t="str">
        <f>IFERROR(SR_demand_forecast!L132*#REF!,"-")</f>
        <v>-</v>
      </c>
      <c r="M24" s="78" t="str">
        <f>IFERROR(SR_demand_forecast!M132*#REF!,"-")</f>
        <v>-</v>
      </c>
      <c r="N24" s="78" t="str">
        <f>IFERROR(SR_demand_forecast!N132*#REF!,"-")</f>
        <v>-</v>
      </c>
      <c r="O24" s="78" t="str">
        <f>IFERROR(SR_demand_forecast!O132*#REF!,"-")</f>
        <v>-</v>
      </c>
      <c r="P24" s="78" t="str">
        <f>IFERROR(SR_demand_forecast!P132*#REF!,"-")</f>
        <v>-</v>
      </c>
      <c r="Q24" s="78" t="str">
        <f>IFERROR(SR_demand_forecast!Q132*#REF!,"-")</f>
        <v>-</v>
      </c>
      <c r="R24" s="78" t="str">
        <f>IFERROR(SR_demand_forecast!R132*#REF!,"-")</f>
        <v>-</v>
      </c>
      <c r="S24" s="78" t="str">
        <f>IFERROR(SR_demand_forecast!S132*#REF!,"-")</f>
        <v>-</v>
      </c>
      <c r="T24" s="78" t="str">
        <f>IFERROR(SR_demand_forecast!T132*#REF!,"-")</f>
        <v>-</v>
      </c>
      <c r="U24" s="78" t="str">
        <f>IFERROR(SR_demand_forecast!U132*#REF!,"-")</f>
        <v>-</v>
      </c>
      <c r="V24" s="78" t="str">
        <f>IFERROR(SR_demand_forecast!V132*#REF!,"-")</f>
        <v>-</v>
      </c>
    </row>
    <row r="25" spans="1:22" x14ac:dyDescent="0.3">
      <c r="A25" s="511"/>
      <c r="B25" s="30" t="s">
        <v>44</v>
      </c>
      <c r="C25" s="78" t="str">
        <f>IFERROR(SR_demand_forecast!C133*#REF!,"-")</f>
        <v>-</v>
      </c>
      <c r="D25" s="78" t="str">
        <f>IFERROR(SR_demand_forecast!D133*#REF!,"-")</f>
        <v>-</v>
      </c>
      <c r="E25" s="78" t="str">
        <f>IFERROR(SR_demand_forecast!E133*#REF!,"-")</f>
        <v>-</v>
      </c>
      <c r="F25" s="78" t="str">
        <f>IFERROR(SR_demand_forecast!F133*#REF!,"-")</f>
        <v>-</v>
      </c>
      <c r="G25" s="78" t="str">
        <f>IFERROR(SR_demand_forecast!G133*#REF!,"-")</f>
        <v>-</v>
      </c>
      <c r="H25" s="78" t="str">
        <f>IFERROR(SR_demand_forecast!H133*#REF!,"-")</f>
        <v>-</v>
      </c>
      <c r="I25" s="78" t="str">
        <f>IFERROR(SR_demand_forecast!I133*#REF!,"-")</f>
        <v>-</v>
      </c>
      <c r="J25" s="78" t="str">
        <f>IFERROR(SR_demand_forecast!J133*#REF!,"-")</f>
        <v>-</v>
      </c>
      <c r="K25" s="78" t="str">
        <f>IFERROR(SR_demand_forecast!K133*#REF!,"-")</f>
        <v>-</v>
      </c>
      <c r="L25" s="78" t="str">
        <f>IFERROR(SR_demand_forecast!L133*#REF!,"-")</f>
        <v>-</v>
      </c>
      <c r="M25" s="78" t="str">
        <f>IFERROR(SR_demand_forecast!M133*#REF!,"-")</f>
        <v>-</v>
      </c>
      <c r="N25" s="78" t="str">
        <f>IFERROR(SR_demand_forecast!N133*#REF!,"-")</f>
        <v>-</v>
      </c>
      <c r="O25" s="78" t="str">
        <f>IFERROR(SR_demand_forecast!O133*#REF!,"-")</f>
        <v>-</v>
      </c>
      <c r="P25" s="78" t="str">
        <f>IFERROR(SR_demand_forecast!P133*#REF!,"-")</f>
        <v>-</v>
      </c>
      <c r="Q25" s="78" t="str">
        <f>IFERROR(SR_demand_forecast!Q133*#REF!,"-")</f>
        <v>-</v>
      </c>
      <c r="R25" s="78" t="str">
        <f>IFERROR(SR_demand_forecast!R133*#REF!,"-")</f>
        <v>-</v>
      </c>
      <c r="S25" s="78" t="str">
        <f>IFERROR(SR_demand_forecast!S133*#REF!,"-")</f>
        <v>-</v>
      </c>
      <c r="T25" s="78" t="str">
        <f>IFERROR(SR_demand_forecast!T133*#REF!,"-")</f>
        <v>-</v>
      </c>
      <c r="U25" s="78" t="str">
        <f>IFERROR(SR_demand_forecast!U133*#REF!,"-")</f>
        <v>-</v>
      </c>
      <c r="V25" s="78" t="str">
        <f>IFERROR(SR_demand_forecast!V133*#REF!,"-")</f>
        <v>-</v>
      </c>
    </row>
    <row r="26" spans="1:22" x14ac:dyDescent="0.3">
      <c r="A26" s="511"/>
      <c r="B26" s="30" t="s">
        <v>81</v>
      </c>
      <c r="C26" s="78" t="str">
        <f>IFERROR(SR_demand_forecast!C134*#REF!,"-")</f>
        <v>-</v>
      </c>
      <c r="D26" s="78" t="str">
        <f>IFERROR(SR_demand_forecast!D134*#REF!,"-")</f>
        <v>-</v>
      </c>
      <c r="E26" s="78" t="str">
        <f>IFERROR(SR_demand_forecast!E134*#REF!,"-")</f>
        <v>-</v>
      </c>
      <c r="F26" s="78" t="str">
        <f>IFERROR(SR_demand_forecast!F134*#REF!,"-")</f>
        <v>-</v>
      </c>
      <c r="G26" s="78" t="str">
        <f>IFERROR(SR_demand_forecast!G134*#REF!,"-")</f>
        <v>-</v>
      </c>
      <c r="H26" s="78" t="str">
        <f>IFERROR(SR_demand_forecast!H134*#REF!,"-")</f>
        <v>-</v>
      </c>
      <c r="I26" s="78" t="str">
        <f>IFERROR(SR_demand_forecast!I134*#REF!,"-")</f>
        <v>-</v>
      </c>
      <c r="J26" s="78" t="str">
        <f>IFERROR(SR_demand_forecast!J134*#REF!,"-")</f>
        <v>-</v>
      </c>
      <c r="K26" s="78" t="str">
        <f>IFERROR(SR_demand_forecast!K134*#REF!,"-")</f>
        <v>-</v>
      </c>
      <c r="L26" s="78" t="str">
        <f>IFERROR(SR_demand_forecast!L134*#REF!,"-")</f>
        <v>-</v>
      </c>
      <c r="M26" s="78" t="str">
        <f>IFERROR(SR_demand_forecast!M134*#REF!,"-")</f>
        <v>-</v>
      </c>
      <c r="N26" s="78" t="str">
        <f>IFERROR(SR_demand_forecast!N134*#REF!,"-")</f>
        <v>-</v>
      </c>
      <c r="O26" s="78" t="str">
        <f>IFERROR(SR_demand_forecast!O134*#REF!,"-")</f>
        <v>-</v>
      </c>
      <c r="P26" s="78" t="str">
        <f>IFERROR(SR_demand_forecast!P134*#REF!,"-")</f>
        <v>-</v>
      </c>
      <c r="Q26" s="78" t="str">
        <f>IFERROR(SR_demand_forecast!Q134*#REF!,"-")</f>
        <v>-</v>
      </c>
      <c r="R26" s="78" t="str">
        <f>IFERROR(SR_demand_forecast!R134*#REF!,"-")</f>
        <v>-</v>
      </c>
      <c r="S26" s="78" t="str">
        <f>IFERROR(SR_demand_forecast!S134*#REF!,"-")</f>
        <v>-</v>
      </c>
      <c r="T26" s="78" t="str">
        <f>IFERROR(SR_demand_forecast!T134*#REF!,"-")</f>
        <v>-</v>
      </c>
      <c r="U26" s="78" t="str">
        <f>IFERROR(SR_demand_forecast!U134*#REF!,"-")</f>
        <v>-</v>
      </c>
      <c r="V26" s="78" t="str">
        <f>IFERROR(SR_demand_forecast!V134*#REF!,"-")</f>
        <v>-</v>
      </c>
    </row>
    <row r="27" spans="1:22" x14ac:dyDescent="0.3">
      <c r="A27" s="511"/>
      <c r="B27" s="30" t="s">
        <v>42</v>
      </c>
      <c r="C27" s="78" t="str">
        <f>IFERROR(SR_demand_forecast!C135*#REF!,"-")</f>
        <v>-</v>
      </c>
      <c r="D27" s="78" t="str">
        <f>IFERROR(SR_demand_forecast!D135*#REF!,"-")</f>
        <v>-</v>
      </c>
      <c r="E27" s="78" t="str">
        <f>IFERROR(SR_demand_forecast!E135*#REF!,"-")</f>
        <v>-</v>
      </c>
      <c r="F27" s="78" t="str">
        <f>IFERROR(SR_demand_forecast!F135*#REF!,"-")</f>
        <v>-</v>
      </c>
      <c r="G27" s="78" t="str">
        <f>IFERROR(SR_demand_forecast!G135*#REF!,"-")</f>
        <v>-</v>
      </c>
      <c r="H27" s="78" t="str">
        <f>IFERROR(SR_demand_forecast!H135*#REF!,"-")</f>
        <v>-</v>
      </c>
      <c r="I27" s="78" t="str">
        <f>IFERROR(SR_demand_forecast!I135*#REF!,"-")</f>
        <v>-</v>
      </c>
      <c r="J27" s="78" t="str">
        <f>IFERROR(SR_demand_forecast!J135*#REF!,"-")</f>
        <v>-</v>
      </c>
      <c r="K27" s="78" t="str">
        <f>IFERROR(SR_demand_forecast!K135*#REF!,"-")</f>
        <v>-</v>
      </c>
      <c r="L27" s="78" t="str">
        <f>IFERROR(SR_demand_forecast!L135*#REF!,"-")</f>
        <v>-</v>
      </c>
      <c r="M27" s="78" t="str">
        <f>IFERROR(SR_demand_forecast!M135*#REF!,"-")</f>
        <v>-</v>
      </c>
      <c r="N27" s="78" t="str">
        <f>IFERROR(SR_demand_forecast!N135*#REF!,"-")</f>
        <v>-</v>
      </c>
      <c r="O27" s="78" t="str">
        <f>IFERROR(SR_demand_forecast!O135*#REF!,"-")</f>
        <v>-</v>
      </c>
      <c r="P27" s="78" t="str">
        <f>IFERROR(SR_demand_forecast!P135*#REF!,"-")</f>
        <v>-</v>
      </c>
      <c r="Q27" s="78" t="str">
        <f>IFERROR(SR_demand_forecast!Q135*#REF!,"-")</f>
        <v>-</v>
      </c>
      <c r="R27" s="78" t="str">
        <f>IFERROR(SR_demand_forecast!R135*#REF!,"-")</f>
        <v>-</v>
      </c>
      <c r="S27" s="78" t="str">
        <f>IFERROR(SR_demand_forecast!S135*#REF!,"-")</f>
        <v>-</v>
      </c>
      <c r="T27" s="78" t="str">
        <f>IFERROR(SR_demand_forecast!T135*#REF!,"-")</f>
        <v>-</v>
      </c>
      <c r="U27" s="78" t="str">
        <f>IFERROR(SR_demand_forecast!U135*#REF!,"-")</f>
        <v>-</v>
      </c>
      <c r="V27" s="78" t="str">
        <f>IFERROR(SR_demand_forecast!V135*#REF!,"-")</f>
        <v>-</v>
      </c>
    </row>
    <row r="28" spans="1:22" x14ac:dyDescent="0.3">
      <c r="A28" s="511"/>
      <c r="B28" s="30" t="s">
        <v>45</v>
      </c>
      <c r="C28" s="78" t="str">
        <f>IFERROR(SR_demand_forecast!C136*#REF!,"-")</f>
        <v>-</v>
      </c>
      <c r="D28" s="78" t="str">
        <f>IFERROR(SR_demand_forecast!D136*#REF!,"-")</f>
        <v>-</v>
      </c>
      <c r="E28" s="78" t="str">
        <f>IFERROR(SR_demand_forecast!E136*#REF!,"-")</f>
        <v>-</v>
      </c>
      <c r="F28" s="78" t="str">
        <f>IFERROR(SR_demand_forecast!F136*#REF!,"-")</f>
        <v>-</v>
      </c>
      <c r="G28" s="78" t="str">
        <f>IFERROR(SR_demand_forecast!G136*#REF!,"-")</f>
        <v>-</v>
      </c>
      <c r="H28" s="78" t="str">
        <f>IFERROR(SR_demand_forecast!H136*#REF!,"-")</f>
        <v>-</v>
      </c>
      <c r="I28" s="78" t="str">
        <f>IFERROR(SR_demand_forecast!I136*#REF!,"-")</f>
        <v>-</v>
      </c>
      <c r="J28" s="78" t="str">
        <f>IFERROR(SR_demand_forecast!J136*#REF!,"-")</f>
        <v>-</v>
      </c>
      <c r="K28" s="78" t="str">
        <f>IFERROR(SR_demand_forecast!K136*#REF!,"-")</f>
        <v>-</v>
      </c>
      <c r="L28" s="78" t="str">
        <f>IFERROR(SR_demand_forecast!L136*#REF!,"-")</f>
        <v>-</v>
      </c>
      <c r="M28" s="78" t="str">
        <f>IFERROR(SR_demand_forecast!M136*#REF!,"-")</f>
        <v>-</v>
      </c>
      <c r="N28" s="78" t="str">
        <f>IFERROR(SR_demand_forecast!N136*#REF!,"-")</f>
        <v>-</v>
      </c>
      <c r="O28" s="78" t="str">
        <f>IFERROR(SR_demand_forecast!O136*#REF!,"-")</f>
        <v>-</v>
      </c>
      <c r="P28" s="78" t="str">
        <f>IFERROR(SR_demand_forecast!P136*#REF!,"-")</f>
        <v>-</v>
      </c>
      <c r="Q28" s="78" t="str">
        <f>IFERROR(SR_demand_forecast!Q136*#REF!,"-")</f>
        <v>-</v>
      </c>
      <c r="R28" s="78" t="str">
        <f>IFERROR(SR_demand_forecast!R136*#REF!,"-")</f>
        <v>-</v>
      </c>
      <c r="S28" s="78" t="str">
        <f>IFERROR(SR_demand_forecast!S136*#REF!,"-")</f>
        <v>-</v>
      </c>
      <c r="T28" s="78" t="str">
        <f>IFERROR(SR_demand_forecast!T136*#REF!,"-")</f>
        <v>-</v>
      </c>
      <c r="U28" s="78" t="str">
        <f>IFERROR(SR_demand_forecast!U136*#REF!,"-")</f>
        <v>-</v>
      </c>
      <c r="V28" s="78" t="str">
        <f>IFERROR(SR_demand_forecast!V136*#REF!,"-")</f>
        <v>-</v>
      </c>
    </row>
    <row r="29" spans="1:22" x14ac:dyDescent="0.3">
      <c r="A29" s="511"/>
      <c r="B29" s="30" t="s">
        <v>84</v>
      </c>
      <c r="C29" s="124">
        <f t="shared" ref="C29:V29" si="1">SUM(C21:C28)</f>
        <v>0</v>
      </c>
      <c r="D29" s="124">
        <f t="shared" si="1"/>
        <v>0</v>
      </c>
      <c r="E29" s="124">
        <f t="shared" si="1"/>
        <v>0</v>
      </c>
      <c r="F29" s="124">
        <f t="shared" si="1"/>
        <v>0</v>
      </c>
      <c r="G29" s="124">
        <f t="shared" si="1"/>
        <v>0</v>
      </c>
      <c r="H29" s="124">
        <f t="shared" si="1"/>
        <v>0</v>
      </c>
      <c r="I29" s="124">
        <f t="shared" si="1"/>
        <v>0</v>
      </c>
      <c r="J29" s="124">
        <f t="shared" si="1"/>
        <v>0</v>
      </c>
      <c r="K29" s="124">
        <f t="shared" si="1"/>
        <v>0</v>
      </c>
      <c r="L29" s="124">
        <f t="shared" si="1"/>
        <v>0</v>
      </c>
      <c r="M29" s="124">
        <f t="shared" si="1"/>
        <v>0</v>
      </c>
      <c r="N29" s="124">
        <f t="shared" si="1"/>
        <v>0</v>
      </c>
      <c r="O29" s="124">
        <f t="shared" si="1"/>
        <v>0</v>
      </c>
      <c r="P29" s="124">
        <f t="shared" si="1"/>
        <v>0</v>
      </c>
      <c r="Q29" s="124">
        <f t="shared" si="1"/>
        <v>0</v>
      </c>
      <c r="R29" s="124">
        <f t="shared" si="1"/>
        <v>0</v>
      </c>
      <c r="S29" s="124">
        <f t="shared" si="1"/>
        <v>0</v>
      </c>
      <c r="T29" s="124">
        <f t="shared" si="1"/>
        <v>0</v>
      </c>
      <c r="U29" s="124">
        <f t="shared" si="1"/>
        <v>0</v>
      </c>
      <c r="V29" s="124">
        <f t="shared" si="1"/>
        <v>0</v>
      </c>
    </row>
    <row r="30" spans="1:22" x14ac:dyDescent="0.3">
      <c r="A30" s="511"/>
    </row>
    <row r="31" spans="1:22" x14ac:dyDescent="0.3">
      <c r="A31" s="511"/>
    </row>
    <row r="32" spans="1:22" x14ac:dyDescent="0.3">
      <c r="A32" s="511"/>
    </row>
    <row r="33" spans="1:22" x14ac:dyDescent="0.3">
      <c r="A33" s="511"/>
    </row>
    <row r="34" spans="1:22" x14ac:dyDescent="0.3">
      <c r="A34" s="511"/>
    </row>
    <row r="35" spans="1:22" x14ac:dyDescent="0.3">
      <c r="A35" s="511"/>
    </row>
    <row r="36" spans="1:22" x14ac:dyDescent="0.3">
      <c r="A36" s="511"/>
    </row>
    <row r="37" spans="1:22" x14ac:dyDescent="0.3">
      <c r="A37" s="511"/>
      <c r="B37" s="32" t="s">
        <v>151</v>
      </c>
      <c r="L37" s="18"/>
      <c r="M37" s="18"/>
    </row>
    <row r="38" spans="1:22" x14ac:dyDescent="0.3">
      <c r="A38" s="511"/>
      <c r="B38" s="75" t="s">
        <v>82</v>
      </c>
      <c r="C38" s="75">
        <v>2021</v>
      </c>
      <c r="D38" s="76">
        <v>2022</v>
      </c>
      <c r="E38" s="75">
        <v>2023</v>
      </c>
      <c r="F38" s="76">
        <v>2024</v>
      </c>
      <c r="G38" s="75">
        <v>2025</v>
      </c>
      <c r="H38" s="76">
        <v>2026</v>
      </c>
      <c r="I38" s="75">
        <v>2027</v>
      </c>
      <c r="J38" s="76">
        <v>2028</v>
      </c>
      <c r="K38" s="75">
        <v>2029</v>
      </c>
      <c r="L38" s="76">
        <v>2030</v>
      </c>
      <c r="M38" s="75">
        <v>2031</v>
      </c>
      <c r="N38" s="76">
        <v>2032</v>
      </c>
      <c r="O38" s="75">
        <v>2033</v>
      </c>
      <c r="P38" s="76">
        <v>2034</v>
      </c>
      <c r="Q38" s="75">
        <v>2035</v>
      </c>
      <c r="R38" s="76">
        <v>2036</v>
      </c>
      <c r="S38" s="75">
        <v>2037</v>
      </c>
      <c r="T38" s="76">
        <v>2038</v>
      </c>
      <c r="U38" s="75">
        <v>2039</v>
      </c>
      <c r="V38" s="76">
        <v>2040</v>
      </c>
    </row>
    <row r="39" spans="1:22" x14ac:dyDescent="0.3">
      <c r="A39" s="511"/>
      <c r="B39" s="30" t="s">
        <v>43</v>
      </c>
      <c r="C39" s="78" t="str">
        <f>IFERROR(SR_demand_forecast!C202*#REF!,"-")</f>
        <v>-</v>
      </c>
      <c r="D39" s="78" t="str">
        <f>IFERROR(SR_demand_forecast!D202*#REF!,"-")</f>
        <v>-</v>
      </c>
      <c r="E39" s="78" t="str">
        <f>IFERROR(SR_demand_forecast!E202*#REF!,"-")</f>
        <v>-</v>
      </c>
      <c r="F39" s="78" t="str">
        <f>IFERROR(SR_demand_forecast!F202*#REF!,"-")</f>
        <v>-</v>
      </c>
      <c r="G39" s="78" t="str">
        <f>IFERROR(SR_demand_forecast!G202*#REF!,"-")</f>
        <v>-</v>
      </c>
      <c r="H39" s="78" t="str">
        <f>IFERROR(SR_demand_forecast!H202*#REF!,"-")</f>
        <v>-</v>
      </c>
      <c r="I39" s="78" t="str">
        <f>IFERROR(SR_demand_forecast!I202*#REF!,"-")</f>
        <v>-</v>
      </c>
      <c r="J39" s="78" t="str">
        <f>IFERROR(SR_demand_forecast!J202*#REF!,"-")</f>
        <v>-</v>
      </c>
      <c r="K39" s="78" t="str">
        <f>IFERROR(SR_demand_forecast!K202*#REF!,"-")</f>
        <v>-</v>
      </c>
      <c r="L39" s="78" t="str">
        <f>IFERROR(SR_demand_forecast!L202*#REF!,"-")</f>
        <v>-</v>
      </c>
      <c r="M39" s="78" t="str">
        <f>IFERROR(SR_demand_forecast!M202*#REF!,"-")</f>
        <v>-</v>
      </c>
      <c r="N39" s="78" t="str">
        <f>IFERROR(SR_demand_forecast!N202*#REF!,"-")</f>
        <v>-</v>
      </c>
      <c r="O39" s="78" t="str">
        <f>IFERROR(SR_demand_forecast!O202*#REF!,"-")</f>
        <v>-</v>
      </c>
      <c r="P39" s="78" t="str">
        <f>IFERROR(SR_demand_forecast!P202*#REF!,"-")</f>
        <v>-</v>
      </c>
      <c r="Q39" s="78" t="str">
        <f>IFERROR(SR_demand_forecast!Q202*#REF!,"-")</f>
        <v>-</v>
      </c>
      <c r="R39" s="78" t="str">
        <f>IFERROR(SR_demand_forecast!R202*#REF!,"-")</f>
        <v>-</v>
      </c>
      <c r="S39" s="78" t="str">
        <f>IFERROR(SR_demand_forecast!S202*#REF!,"-")</f>
        <v>-</v>
      </c>
      <c r="T39" s="78" t="str">
        <f>IFERROR(SR_demand_forecast!T202*#REF!,"-")</f>
        <v>-</v>
      </c>
      <c r="U39" s="78" t="str">
        <f>IFERROR(SR_demand_forecast!U202*#REF!,"-")</f>
        <v>-</v>
      </c>
      <c r="V39" s="78" t="str">
        <f>IFERROR(SR_demand_forecast!V202*#REF!,"-")</f>
        <v>-</v>
      </c>
    </row>
    <row r="40" spans="1:22" x14ac:dyDescent="0.3">
      <c r="A40" s="511"/>
      <c r="B40" s="30" t="s">
        <v>41</v>
      </c>
      <c r="C40" s="78" t="str">
        <f>IFERROR(SR_demand_forecast!C203*#REF!,"-")</f>
        <v>-</v>
      </c>
      <c r="D40" s="78" t="str">
        <f>IFERROR(SR_demand_forecast!D203*#REF!,"-")</f>
        <v>-</v>
      </c>
      <c r="E40" s="78" t="str">
        <f>IFERROR(SR_demand_forecast!E203*#REF!,"-")</f>
        <v>-</v>
      </c>
      <c r="F40" s="78" t="str">
        <f>IFERROR(SR_demand_forecast!F203*#REF!,"-")</f>
        <v>-</v>
      </c>
      <c r="G40" s="78" t="str">
        <f>IFERROR(SR_demand_forecast!G203*#REF!,"-")</f>
        <v>-</v>
      </c>
      <c r="H40" s="78" t="str">
        <f>IFERROR(SR_demand_forecast!H203*#REF!,"-")</f>
        <v>-</v>
      </c>
      <c r="I40" s="78" t="str">
        <f>IFERROR(SR_demand_forecast!I203*#REF!,"-")</f>
        <v>-</v>
      </c>
      <c r="J40" s="78" t="str">
        <f>IFERROR(SR_demand_forecast!J203*#REF!,"-")</f>
        <v>-</v>
      </c>
      <c r="K40" s="78" t="str">
        <f>IFERROR(SR_demand_forecast!K203*#REF!,"-")</f>
        <v>-</v>
      </c>
      <c r="L40" s="78" t="str">
        <f>IFERROR(SR_demand_forecast!L203*#REF!,"-")</f>
        <v>-</v>
      </c>
      <c r="M40" s="78" t="str">
        <f>IFERROR(SR_demand_forecast!M203*#REF!,"-")</f>
        <v>-</v>
      </c>
      <c r="N40" s="78" t="str">
        <f>IFERROR(SR_demand_forecast!N203*#REF!,"-")</f>
        <v>-</v>
      </c>
      <c r="O40" s="78" t="str">
        <f>IFERROR(SR_demand_forecast!O203*#REF!,"-")</f>
        <v>-</v>
      </c>
      <c r="P40" s="78" t="str">
        <f>IFERROR(SR_demand_forecast!P203*#REF!,"-")</f>
        <v>-</v>
      </c>
      <c r="Q40" s="78" t="str">
        <f>IFERROR(SR_demand_forecast!Q203*#REF!,"-")</f>
        <v>-</v>
      </c>
      <c r="R40" s="78" t="str">
        <f>IFERROR(SR_demand_forecast!R203*#REF!,"-")</f>
        <v>-</v>
      </c>
      <c r="S40" s="78" t="str">
        <f>IFERROR(SR_demand_forecast!S203*#REF!,"-")</f>
        <v>-</v>
      </c>
      <c r="T40" s="78" t="str">
        <f>IFERROR(SR_demand_forecast!T203*#REF!,"-")</f>
        <v>-</v>
      </c>
      <c r="U40" s="78" t="str">
        <f>IFERROR(SR_demand_forecast!U203*#REF!,"-")</f>
        <v>-</v>
      </c>
      <c r="V40" s="78" t="str">
        <f>IFERROR(SR_demand_forecast!V203*#REF!,"-")</f>
        <v>-</v>
      </c>
    </row>
    <row r="41" spans="1:22" x14ac:dyDescent="0.3">
      <c r="A41" s="511"/>
      <c r="B41" s="30" t="s">
        <v>40</v>
      </c>
      <c r="C41" s="78" t="str">
        <f>IFERROR(SR_demand_forecast!C204*#REF!,"-")</f>
        <v>-</v>
      </c>
      <c r="D41" s="78" t="str">
        <f>IFERROR(SR_demand_forecast!D204*#REF!,"-")</f>
        <v>-</v>
      </c>
      <c r="E41" s="78" t="str">
        <f>IFERROR(SR_demand_forecast!E204*#REF!,"-")</f>
        <v>-</v>
      </c>
      <c r="F41" s="78" t="str">
        <f>IFERROR(SR_demand_forecast!F204*#REF!,"-")</f>
        <v>-</v>
      </c>
      <c r="G41" s="78" t="str">
        <f>IFERROR(SR_demand_forecast!G204*#REF!,"-")</f>
        <v>-</v>
      </c>
      <c r="H41" s="78" t="str">
        <f>IFERROR(SR_demand_forecast!H204*#REF!,"-")</f>
        <v>-</v>
      </c>
      <c r="I41" s="78" t="str">
        <f>IFERROR(SR_demand_forecast!I204*#REF!,"-")</f>
        <v>-</v>
      </c>
      <c r="J41" s="78" t="str">
        <f>IFERROR(SR_demand_forecast!J204*#REF!,"-")</f>
        <v>-</v>
      </c>
      <c r="K41" s="78" t="str">
        <f>IFERROR(SR_demand_forecast!K204*#REF!,"-")</f>
        <v>-</v>
      </c>
      <c r="L41" s="78" t="str">
        <f>IFERROR(SR_demand_forecast!L204*#REF!,"-")</f>
        <v>-</v>
      </c>
      <c r="M41" s="78" t="str">
        <f>IFERROR(SR_demand_forecast!M204*#REF!,"-")</f>
        <v>-</v>
      </c>
      <c r="N41" s="78" t="str">
        <f>IFERROR(SR_demand_forecast!N204*#REF!,"-")</f>
        <v>-</v>
      </c>
      <c r="O41" s="78" t="str">
        <f>IFERROR(SR_demand_forecast!O204*#REF!,"-")</f>
        <v>-</v>
      </c>
      <c r="P41" s="78" t="str">
        <f>IFERROR(SR_demand_forecast!P204*#REF!,"-")</f>
        <v>-</v>
      </c>
      <c r="Q41" s="78" t="str">
        <f>IFERROR(SR_demand_forecast!Q204*#REF!,"-")</f>
        <v>-</v>
      </c>
      <c r="R41" s="78" t="str">
        <f>IFERROR(SR_demand_forecast!R204*#REF!,"-")</f>
        <v>-</v>
      </c>
      <c r="S41" s="78" t="str">
        <f>IFERROR(SR_demand_forecast!S204*#REF!,"-")</f>
        <v>-</v>
      </c>
      <c r="T41" s="78" t="str">
        <f>IFERROR(SR_demand_forecast!T204*#REF!,"-")</f>
        <v>-</v>
      </c>
      <c r="U41" s="78" t="str">
        <f>IFERROR(SR_demand_forecast!U204*#REF!,"-")</f>
        <v>-</v>
      </c>
      <c r="V41" s="78" t="str">
        <f>IFERROR(SR_demand_forecast!V204*#REF!,"-")</f>
        <v>-</v>
      </c>
    </row>
    <row r="42" spans="1:22" x14ac:dyDescent="0.3">
      <c r="A42" s="511"/>
      <c r="B42" s="30" t="s">
        <v>80</v>
      </c>
      <c r="C42" s="78" t="str">
        <f>IFERROR(SR_demand_forecast!C205*#REF!,"-")</f>
        <v>-</v>
      </c>
      <c r="D42" s="78" t="str">
        <f>IFERROR(SR_demand_forecast!D205*#REF!,"-")</f>
        <v>-</v>
      </c>
      <c r="E42" s="78" t="str">
        <f>IFERROR(SR_demand_forecast!E205*#REF!,"-")</f>
        <v>-</v>
      </c>
      <c r="F42" s="78" t="str">
        <f>IFERROR(SR_demand_forecast!F205*#REF!,"-")</f>
        <v>-</v>
      </c>
      <c r="G42" s="78" t="str">
        <f>IFERROR(SR_demand_forecast!G205*#REF!,"-")</f>
        <v>-</v>
      </c>
      <c r="H42" s="78" t="str">
        <f>IFERROR(SR_demand_forecast!H205*#REF!,"-")</f>
        <v>-</v>
      </c>
      <c r="I42" s="78" t="str">
        <f>IFERROR(SR_demand_forecast!I205*#REF!,"-")</f>
        <v>-</v>
      </c>
      <c r="J42" s="78" t="str">
        <f>IFERROR(SR_demand_forecast!J205*#REF!,"-")</f>
        <v>-</v>
      </c>
      <c r="K42" s="78" t="str">
        <f>IFERROR(SR_demand_forecast!K205*#REF!,"-")</f>
        <v>-</v>
      </c>
      <c r="L42" s="78" t="str">
        <f>IFERROR(SR_demand_forecast!L205*#REF!,"-")</f>
        <v>-</v>
      </c>
      <c r="M42" s="78" t="str">
        <f>IFERROR(SR_demand_forecast!M205*#REF!,"-")</f>
        <v>-</v>
      </c>
      <c r="N42" s="78" t="str">
        <f>IFERROR(SR_demand_forecast!N205*#REF!,"-")</f>
        <v>-</v>
      </c>
      <c r="O42" s="78" t="str">
        <f>IFERROR(SR_demand_forecast!O205*#REF!,"-")</f>
        <v>-</v>
      </c>
      <c r="P42" s="78" t="str">
        <f>IFERROR(SR_demand_forecast!P205*#REF!,"-")</f>
        <v>-</v>
      </c>
      <c r="Q42" s="78" t="str">
        <f>IFERROR(SR_demand_forecast!Q205*#REF!,"-")</f>
        <v>-</v>
      </c>
      <c r="R42" s="78" t="str">
        <f>IFERROR(SR_demand_forecast!R205*#REF!,"-")</f>
        <v>-</v>
      </c>
      <c r="S42" s="78" t="str">
        <f>IFERROR(SR_demand_forecast!S205*#REF!,"-")</f>
        <v>-</v>
      </c>
      <c r="T42" s="78" t="str">
        <f>IFERROR(SR_demand_forecast!T205*#REF!,"-")</f>
        <v>-</v>
      </c>
      <c r="U42" s="78" t="str">
        <f>IFERROR(SR_demand_forecast!U205*#REF!,"-")</f>
        <v>-</v>
      </c>
      <c r="V42" s="78" t="str">
        <f>IFERROR(SR_demand_forecast!V205*#REF!,"-")</f>
        <v>-</v>
      </c>
    </row>
    <row r="43" spans="1:22" x14ac:dyDescent="0.3">
      <c r="A43" s="511"/>
      <c r="B43" s="30" t="s">
        <v>44</v>
      </c>
      <c r="C43" s="78" t="str">
        <f>IFERROR(SR_demand_forecast!C206*#REF!,"-")</f>
        <v>-</v>
      </c>
      <c r="D43" s="78" t="str">
        <f>IFERROR(SR_demand_forecast!D206*#REF!,"-")</f>
        <v>-</v>
      </c>
      <c r="E43" s="78" t="str">
        <f>IFERROR(SR_demand_forecast!E206*#REF!,"-")</f>
        <v>-</v>
      </c>
      <c r="F43" s="78" t="str">
        <f>IFERROR(SR_demand_forecast!F206*#REF!,"-")</f>
        <v>-</v>
      </c>
      <c r="G43" s="78" t="str">
        <f>IFERROR(SR_demand_forecast!G206*#REF!,"-")</f>
        <v>-</v>
      </c>
      <c r="H43" s="78" t="str">
        <f>IFERROR(SR_demand_forecast!H206*#REF!,"-")</f>
        <v>-</v>
      </c>
      <c r="I43" s="78" t="str">
        <f>IFERROR(SR_demand_forecast!I206*#REF!,"-")</f>
        <v>-</v>
      </c>
      <c r="J43" s="78" t="str">
        <f>IFERROR(SR_demand_forecast!J206*#REF!,"-")</f>
        <v>-</v>
      </c>
      <c r="K43" s="78" t="str">
        <f>IFERROR(SR_demand_forecast!K206*#REF!,"-")</f>
        <v>-</v>
      </c>
      <c r="L43" s="78" t="str">
        <f>IFERROR(SR_demand_forecast!L206*#REF!,"-")</f>
        <v>-</v>
      </c>
      <c r="M43" s="78" t="str">
        <f>IFERROR(SR_demand_forecast!M206*#REF!,"-")</f>
        <v>-</v>
      </c>
      <c r="N43" s="78" t="str">
        <f>IFERROR(SR_demand_forecast!N206*#REF!,"-")</f>
        <v>-</v>
      </c>
      <c r="O43" s="78" t="str">
        <f>IFERROR(SR_demand_forecast!O206*#REF!,"-")</f>
        <v>-</v>
      </c>
      <c r="P43" s="78" t="str">
        <f>IFERROR(SR_demand_forecast!P206*#REF!,"-")</f>
        <v>-</v>
      </c>
      <c r="Q43" s="78" t="str">
        <f>IFERROR(SR_demand_forecast!Q206*#REF!,"-")</f>
        <v>-</v>
      </c>
      <c r="R43" s="78" t="str">
        <f>IFERROR(SR_demand_forecast!R206*#REF!,"-")</f>
        <v>-</v>
      </c>
      <c r="S43" s="78" t="str">
        <f>IFERROR(SR_demand_forecast!S206*#REF!,"-")</f>
        <v>-</v>
      </c>
      <c r="T43" s="78" t="str">
        <f>IFERROR(SR_demand_forecast!T206*#REF!,"-")</f>
        <v>-</v>
      </c>
      <c r="U43" s="78" t="str">
        <f>IFERROR(SR_demand_forecast!U206*#REF!,"-")</f>
        <v>-</v>
      </c>
      <c r="V43" s="78" t="str">
        <f>IFERROR(SR_demand_forecast!V206*#REF!,"-")</f>
        <v>-</v>
      </c>
    </row>
    <row r="44" spans="1:22" x14ac:dyDescent="0.3">
      <c r="A44" s="511"/>
      <c r="B44" s="30" t="s">
        <v>81</v>
      </c>
      <c r="C44" s="78" t="str">
        <f>IFERROR(SR_demand_forecast!C207*#REF!,"-")</f>
        <v>-</v>
      </c>
      <c r="D44" s="78" t="str">
        <f>IFERROR(SR_demand_forecast!D207*#REF!,"-")</f>
        <v>-</v>
      </c>
      <c r="E44" s="78" t="str">
        <f>IFERROR(SR_demand_forecast!E207*#REF!,"-")</f>
        <v>-</v>
      </c>
      <c r="F44" s="78" t="str">
        <f>IFERROR(SR_demand_forecast!F207*#REF!,"-")</f>
        <v>-</v>
      </c>
      <c r="G44" s="78" t="str">
        <f>IFERROR(SR_demand_forecast!G207*#REF!,"-")</f>
        <v>-</v>
      </c>
      <c r="H44" s="78" t="str">
        <f>IFERROR(SR_demand_forecast!H207*#REF!,"-")</f>
        <v>-</v>
      </c>
      <c r="I44" s="78" t="str">
        <f>IFERROR(SR_demand_forecast!I207*#REF!,"-")</f>
        <v>-</v>
      </c>
      <c r="J44" s="78" t="str">
        <f>IFERROR(SR_demand_forecast!J207*#REF!,"-")</f>
        <v>-</v>
      </c>
      <c r="K44" s="78" t="str">
        <f>IFERROR(SR_demand_forecast!K207*#REF!,"-")</f>
        <v>-</v>
      </c>
      <c r="L44" s="78" t="str">
        <f>IFERROR(SR_demand_forecast!L207*#REF!,"-")</f>
        <v>-</v>
      </c>
      <c r="M44" s="78" t="str">
        <f>IFERROR(SR_demand_forecast!M207*#REF!,"-")</f>
        <v>-</v>
      </c>
      <c r="N44" s="78" t="str">
        <f>IFERROR(SR_demand_forecast!N207*#REF!,"-")</f>
        <v>-</v>
      </c>
      <c r="O44" s="78" t="str">
        <f>IFERROR(SR_demand_forecast!O207*#REF!,"-")</f>
        <v>-</v>
      </c>
      <c r="P44" s="78" t="str">
        <f>IFERROR(SR_demand_forecast!P207*#REF!,"-")</f>
        <v>-</v>
      </c>
      <c r="Q44" s="78" t="str">
        <f>IFERROR(SR_demand_forecast!Q207*#REF!,"-")</f>
        <v>-</v>
      </c>
      <c r="R44" s="78" t="str">
        <f>IFERROR(SR_demand_forecast!R207*#REF!,"-")</f>
        <v>-</v>
      </c>
      <c r="S44" s="78" t="str">
        <f>IFERROR(SR_demand_forecast!S207*#REF!,"-")</f>
        <v>-</v>
      </c>
      <c r="T44" s="78" t="str">
        <f>IFERROR(SR_demand_forecast!T207*#REF!,"-")</f>
        <v>-</v>
      </c>
      <c r="U44" s="78" t="str">
        <f>IFERROR(SR_demand_forecast!U207*#REF!,"-")</f>
        <v>-</v>
      </c>
      <c r="V44" s="78" t="str">
        <f>IFERROR(SR_demand_forecast!V207*#REF!,"-")</f>
        <v>-</v>
      </c>
    </row>
    <row r="45" spans="1:22" x14ac:dyDescent="0.3">
      <c r="A45" s="511"/>
      <c r="B45" s="30" t="s">
        <v>42</v>
      </c>
      <c r="C45" s="78" t="str">
        <f>IFERROR(SR_demand_forecast!C208*#REF!,"-")</f>
        <v>-</v>
      </c>
      <c r="D45" s="78" t="str">
        <f>IFERROR(SR_demand_forecast!D208*#REF!,"-")</f>
        <v>-</v>
      </c>
      <c r="E45" s="78" t="str">
        <f>IFERROR(SR_demand_forecast!E208*#REF!,"-")</f>
        <v>-</v>
      </c>
      <c r="F45" s="78" t="str">
        <f>IFERROR(SR_demand_forecast!F208*#REF!,"-")</f>
        <v>-</v>
      </c>
      <c r="G45" s="78" t="str">
        <f>IFERROR(SR_demand_forecast!G208*#REF!,"-")</f>
        <v>-</v>
      </c>
      <c r="H45" s="78" t="str">
        <f>IFERROR(SR_demand_forecast!H208*#REF!,"-")</f>
        <v>-</v>
      </c>
      <c r="I45" s="78" t="str">
        <f>IFERROR(SR_demand_forecast!I208*#REF!,"-")</f>
        <v>-</v>
      </c>
      <c r="J45" s="78" t="str">
        <f>IFERROR(SR_demand_forecast!J208*#REF!,"-")</f>
        <v>-</v>
      </c>
      <c r="K45" s="78" t="str">
        <f>IFERROR(SR_demand_forecast!K208*#REF!,"-")</f>
        <v>-</v>
      </c>
      <c r="L45" s="78" t="str">
        <f>IFERROR(SR_demand_forecast!L208*#REF!,"-")</f>
        <v>-</v>
      </c>
      <c r="M45" s="78" t="str">
        <f>IFERROR(SR_demand_forecast!M208*#REF!,"-")</f>
        <v>-</v>
      </c>
      <c r="N45" s="78" t="str">
        <f>IFERROR(SR_demand_forecast!N208*#REF!,"-")</f>
        <v>-</v>
      </c>
      <c r="O45" s="78" t="str">
        <f>IFERROR(SR_demand_forecast!O208*#REF!,"-")</f>
        <v>-</v>
      </c>
      <c r="P45" s="78" t="str">
        <f>IFERROR(SR_demand_forecast!P208*#REF!,"-")</f>
        <v>-</v>
      </c>
      <c r="Q45" s="78" t="str">
        <f>IFERROR(SR_demand_forecast!Q208*#REF!,"-")</f>
        <v>-</v>
      </c>
      <c r="R45" s="78" t="str">
        <f>IFERROR(SR_demand_forecast!R208*#REF!,"-")</f>
        <v>-</v>
      </c>
      <c r="S45" s="78" t="str">
        <f>IFERROR(SR_demand_forecast!S208*#REF!,"-")</f>
        <v>-</v>
      </c>
      <c r="T45" s="78" t="str">
        <f>IFERROR(SR_demand_forecast!T208*#REF!,"-")</f>
        <v>-</v>
      </c>
      <c r="U45" s="78" t="str">
        <f>IFERROR(SR_demand_forecast!U208*#REF!,"-")</f>
        <v>-</v>
      </c>
      <c r="V45" s="78" t="str">
        <f>IFERROR(SR_demand_forecast!V208*#REF!,"-")</f>
        <v>-</v>
      </c>
    </row>
    <row r="46" spans="1:22" x14ac:dyDescent="0.3">
      <c r="A46" s="511"/>
      <c r="B46" s="30" t="s">
        <v>45</v>
      </c>
      <c r="C46" s="78" t="str">
        <f>IFERROR(SR_demand_forecast!C209*#REF!,"-")</f>
        <v>-</v>
      </c>
      <c r="D46" s="78" t="str">
        <f>IFERROR(SR_demand_forecast!D209*#REF!,"-")</f>
        <v>-</v>
      </c>
      <c r="E46" s="78" t="str">
        <f>IFERROR(SR_demand_forecast!E209*#REF!,"-")</f>
        <v>-</v>
      </c>
      <c r="F46" s="78" t="str">
        <f>IFERROR(SR_demand_forecast!F209*#REF!,"-")</f>
        <v>-</v>
      </c>
      <c r="G46" s="78" t="str">
        <f>IFERROR(SR_demand_forecast!G209*#REF!,"-")</f>
        <v>-</v>
      </c>
      <c r="H46" s="78" t="str">
        <f>IFERROR(SR_demand_forecast!H209*#REF!,"-")</f>
        <v>-</v>
      </c>
      <c r="I46" s="78" t="str">
        <f>IFERROR(SR_demand_forecast!I209*#REF!,"-")</f>
        <v>-</v>
      </c>
      <c r="J46" s="78" t="str">
        <f>IFERROR(SR_demand_forecast!J209*#REF!,"-")</f>
        <v>-</v>
      </c>
      <c r="K46" s="78" t="str">
        <f>IFERROR(SR_demand_forecast!K209*#REF!,"-")</f>
        <v>-</v>
      </c>
      <c r="L46" s="78" t="str">
        <f>IFERROR(SR_demand_forecast!L209*#REF!,"-")</f>
        <v>-</v>
      </c>
      <c r="M46" s="78" t="str">
        <f>IFERROR(SR_demand_forecast!M209*#REF!,"-")</f>
        <v>-</v>
      </c>
      <c r="N46" s="78" t="str">
        <f>IFERROR(SR_demand_forecast!N209*#REF!,"-")</f>
        <v>-</v>
      </c>
      <c r="O46" s="78" t="str">
        <f>IFERROR(SR_demand_forecast!O209*#REF!,"-")</f>
        <v>-</v>
      </c>
      <c r="P46" s="78" t="str">
        <f>IFERROR(SR_demand_forecast!P209*#REF!,"-")</f>
        <v>-</v>
      </c>
      <c r="Q46" s="78" t="str">
        <f>IFERROR(SR_demand_forecast!Q209*#REF!,"-")</f>
        <v>-</v>
      </c>
      <c r="R46" s="78" t="str">
        <f>IFERROR(SR_demand_forecast!R209*#REF!,"-")</f>
        <v>-</v>
      </c>
      <c r="S46" s="78" t="str">
        <f>IFERROR(SR_demand_forecast!S209*#REF!,"-")</f>
        <v>-</v>
      </c>
      <c r="T46" s="78" t="str">
        <f>IFERROR(SR_demand_forecast!T209*#REF!,"-")</f>
        <v>-</v>
      </c>
      <c r="U46" s="78" t="str">
        <f>IFERROR(SR_demand_forecast!U209*#REF!,"-")</f>
        <v>-</v>
      </c>
      <c r="V46" s="78" t="str">
        <f>IFERROR(SR_demand_forecast!V209*#REF!,"-")</f>
        <v>-</v>
      </c>
    </row>
    <row r="47" spans="1:22" x14ac:dyDescent="0.3">
      <c r="A47" s="511"/>
      <c r="B47" s="30" t="s">
        <v>84</v>
      </c>
      <c r="C47" s="124">
        <f t="shared" ref="C47:V47" si="2">SUM(C39:C46)</f>
        <v>0</v>
      </c>
      <c r="D47" s="124">
        <f t="shared" si="2"/>
        <v>0</v>
      </c>
      <c r="E47" s="124">
        <f t="shared" si="2"/>
        <v>0</v>
      </c>
      <c r="F47" s="124">
        <f t="shared" si="2"/>
        <v>0</v>
      </c>
      <c r="G47" s="124">
        <f t="shared" si="2"/>
        <v>0</v>
      </c>
      <c r="H47" s="124">
        <f t="shared" si="2"/>
        <v>0</v>
      </c>
      <c r="I47" s="124">
        <f t="shared" si="2"/>
        <v>0</v>
      </c>
      <c r="J47" s="124">
        <f t="shared" si="2"/>
        <v>0</v>
      </c>
      <c r="K47" s="124">
        <f t="shared" si="2"/>
        <v>0</v>
      </c>
      <c r="L47" s="124">
        <f t="shared" si="2"/>
        <v>0</v>
      </c>
      <c r="M47" s="124">
        <f t="shared" si="2"/>
        <v>0</v>
      </c>
      <c r="N47" s="124">
        <f t="shared" si="2"/>
        <v>0</v>
      </c>
      <c r="O47" s="124">
        <f t="shared" si="2"/>
        <v>0</v>
      </c>
      <c r="P47" s="124">
        <f t="shared" si="2"/>
        <v>0</v>
      </c>
      <c r="Q47" s="124">
        <f t="shared" si="2"/>
        <v>0</v>
      </c>
      <c r="R47" s="124">
        <f t="shared" si="2"/>
        <v>0</v>
      </c>
      <c r="S47" s="124">
        <f t="shared" si="2"/>
        <v>0</v>
      </c>
      <c r="T47" s="124">
        <f t="shared" si="2"/>
        <v>0</v>
      </c>
      <c r="U47" s="124">
        <f t="shared" si="2"/>
        <v>0</v>
      </c>
      <c r="V47" s="124">
        <f t="shared" si="2"/>
        <v>0</v>
      </c>
    </row>
    <row r="48" spans="1:22" x14ac:dyDescent="0.3">
      <c r="A48" s="511"/>
    </row>
    <row r="49" spans="1:22" x14ac:dyDescent="0.3">
      <c r="A49" s="511"/>
    </row>
    <row r="50" spans="1:22" x14ac:dyDescent="0.3">
      <c r="A50" s="511"/>
    </row>
    <row r="51" spans="1:22" x14ac:dyDescent="0.3">
      <c r="A51" s="511"/>
    </row>
    <row r="52" spans="1:22" x14ac:dyDescent="0.3">
      <c r="A52" s="511"/>
    </row>
    <row r="53" spans="1:22" x14ac:dyDescent="0.3">
      <c r="A53" s="511"/>
    </row>
    <row r="54" spans="1:22" x14ac:dyDescent="0.3">
      <c r="A54" s="511"/>
    </row>
    <row r="55" spans="1:22" x14ac:dyDescent="0.3">
      <c r="A55" s="511"/>
    </row>
    <row r="56" spans="1:22" x14ac:dyDescent="0.3">
      <c r="A56" s="511"/>
    </row>
    <row r="57" spans="1:22" x14ac:dyDescent="0.3">
      <c r="A57" s="510">
        <v>0.4</v>
      </c>
      <c r="B57" s="32" t="s">
        <v>149</v>
      </c>
      <c r="L57" s="18"/>
      <c r="M57" s="18"/>
    </row>
    <row r="58" spans="1:22" x14ac:dyDescent="0.3">
      <c r="A58" s="511"/>
      <c r="B58" s="75" t="s">
        <v>82</v>
      </c>
      <c r="C58" s="75">
        <v>2021</v>
      </c>
      <c r="D58" s="76">
        <v>2022</v>
      </c>
      <c r="E58" s="75">
        <v>2023</v>
      </c>
      <c r="F58" s="76">
        <v>2024</v>
      </c>
      <c r="G58" s="75">
        <v>2025</v>
      </c>
      <c r="H58" s="76">
        <v>2026</v>
      </c>
      <c r="I58" s="75">
        <v>2027</v>
      </c>
      <c r="J58" s="76">
        <v>2028</v>
      </c>
      <c r="K58" s="75">
        <v>2029</v>
      </c>
      <c r="L58" s="76">
        <v>2030</v>
      </c>
      <c r="M58" s="75">
        <v>2031</v>
      </c>
      <c r="N58" s="76">
        <v>2032</v>
      </c>
      <c r="O58" s="75">
        <v>2033</v>
      </c>
      <c r="P58" s="76">
        <v>2034</v>
      </c>
      <c r="Q58" s="75">
        <v>2035</v>
      </c>
      <c r="R58" s="76">
        <v>2036</v>
      </c>
      <c r="S58" s="75">
        <v>2037</v>
      </c>
      <c r="T58" s="76">
        <v>2038</v>
      </c>
      <c r="U58" s="75">
        <v>2039</v>
      </c>
      <c r="V58" s="76">
        <v>2040</v>
      </c>
    </row>
    <row r="59" spans="1:22" x14ac:dyDescent="0.3">
      <c r="A59" s="511"/>
      <c r="B59" s="30" t="s">
        <v>43</v>
      </c>
      <c r="C59" s="78" t="str">
        <f>IFERROR(SR_demand_forecast!C56*#REF!,"-")</f>
        <v>-</v>
      </c>
      <c r="D59" s="78" t="str">
        <f>IFERROR(SR_demand_forecast!D56*#REF!,"-")</f>
        <v>-</v>
      </c>
      <c r="E59" s="78" t="str">
        <f>IFERROR(SR_demand_forecast!E56*#REF!,"-")</f>
        <v>-</v>
      </c>
      <c r="F59" s="78" t="str">
        <f>IFERROR(SR_demand_forecast!F56*#REF!,"-")</f>
        <v>-</v>
      </c>
      <c r="G59" s="78" t="str">
        <f>IFERROR(SR_demand_forecast!G56*#REF!,"-")</f>
        <v>-</v>
      </c>
      <c r="H59" s="78" t="str">
        <f>IFERROR(SR_demand_forecast!H56*#REF!,"-")</f>
        <v>-</v>
      </c>
      <c r="I59" s="78" t="str">
        <f>IFERROR(SR_demand_forecast!I56*#REF!,"-")</f>
        <v>-</v>
      </c>
      <c r="J59" s="78" t="str">
        <f>IFERROR(SR_demand_forecast!J56*#REF!,"-")</f>
        <v>-</v>
      </c>
      <c r="K59" s="78" t="str">
        <f>IFERROR(SR_demand_forecast!K56*#REF!,"-")</f>
        <v>-</v>
      </c>
      <c r="L59" s="78" t="str">
        <f>IFERROR(SR_demand_forecast!L56*#REF!,"-")</f>
        <v>-</v>
      </c>
      <c r="M59" s="78" t="str">
        <f>IFERROR(SR_demand_forecast!M56*#REF!,"-")</f>
        <v>-</v>
      </c>
      <c r="N59" s="78" t="str">
        <f>IFERROR(SR_demand_forecast!N56*#REF!,"-")</f>
        <v>-</v>
      </c>
      <c r="O59" s="78" t="str">
        <f>IFERROR(SR_demand_forecast!O56*#REF!,"-")</f>
        <v>-</v>
      </c>
      <c r="P59" s="78" t="str">
        <f>IFERROR(SR_demand_forecast!P56*#REF!,"-")</f>
        <v>-</v>
      </c>
      <c r="Q59" s="78" t="str">
        <f>IFERROR(SR_demand_forecast!Q56*#REF!,"-")</f>
        <v>-</v>
      </c>
      <c r="R59" s="78" t="str">
        <f>IFERROR(SR_demand_forecast!R56*#REF!,"-")</f>
        <v>-</v>
      </c>
      <c r="S59" s="78" t="str">
        <f>IFERROR(SR_demand_forecast!S56*#REF!,"-")</f>
        <v>-</v>
      </c>
      <c r="T59" s="78" t="str">
        <f>IFERROR(SR_demand_forecast!T56*#REF!,"-")</f>
        <v>-</v>
      </c>
      <c r="U59" s="78" t="str">
        <f>IFERROR(SR_demand_forecast!U56*#REF!,"-")</f>
        <v>-</v>
      </c>
      <c r="V59" s="78" t="str">
        <f>IFERROR(SR_demand_forecast!V56*#REF!,"-")</f>
        <v>-</v>
      </c>
    </row>
    <row r="60" spans="1:22" x14ac:dyDescent="0.3">
      <c r="A60" s="511"/>
      <c r="B60" s="30" t="s">
        <v>41</v>
      </c>
      <c r="C60" s="78" t="str">
        <f>IFERROR(SR_demand_forecast!C57*#REF!,"-")</f>
        <v>-</v>
      </c>
      <c r="D60" s="78" t="str">
        <f>IFERROR(SR_demand_forecast!D57*#REF!,"-")</f>
        <v>-</v>
      </c>
      <c r="E60" s="78" t="str">
        <f>IFERROR(SR_demand_forecast!E57*#REF!,"-")</f>
        <v>-</v>
      </c>
      <c r="F60" s="78" t="str">
        <f>IFERROR(SR_demand_forecast!F57*#REF!,"-")</f>
        <v>-</v>
      </c>
      <c r="G60" s="78" t="str">
        <f>IFERROR(SR_demand_forecast!G57*#REF!,"-")</f>
        <v>-</v>
      </c>
      <c r="H60" s="78" t="str">
        <f>IFERROR(SR_demand_forecast!H57*#REF!,"-")</f>
        <v>-</v>
      </c>
      <c r="I60" s="78" t="str">
        <f>IFERROR(SR_demand_forecast!I57*#REF!,"-")</f>
        <v>-</v>
      </c>
      <c r="J60" s="78" t="str">
        <f>IFERROR(SR_demand_forecast!J57*#REF!,"-")</f>
        <v>-</v>
      </c>
      <c r="K60" s="78" t="str">
        <f>IFERROR(SR_demand_forecast!K57*#REF!,"-")</f>
        <v>-</v>
      </c>
      <c r="L60" s="78" t="str">
        <f>IFERROR(SR_demand_forecast!L57*#REF!,"-")</f>
        <v>-</v>
      </c>
      <c r="M60" s="78" t="str">
        <f>IFERROR(SR_demand_forecast!M57*#REF!,"-")</f>
        <v>-</v>
      </c>
      <c r="N60" s="78" t="str">
        <f>IFERROR(SR_demand_forecast!N57*#REF!,"-")</f>
        <v>-</v>
      </c>
      <c r="O60" s="78" t="str">
        <f>IFERROR(SR_demand_forecast!O57*#REF!,"-")</f>
        <v>-</v>
      </c>
      <c r="P60" s="78" t="str">
        <f>IFERROR(SR_demand_forecast!P57*#REF!,"-")</f>
        <v>-</v>
      </c>
      <c r="Q60" s="78" t="str">
        <f>IFERROR(SR_demand_forecast!Q57*#REF!,"-")</f>
        <v>-</v>
      </c>
      <c r="R60" s="78" t="str">
        <f>IFERROR(SR_demand_forecast!R57*#REF!,"-")</f>
        <v>-</v>
      </c>
      <c r="S60" s="78" t="str">
        <f>IFERROR(SR_demand_forecast!S57*#REF!,"-")</f>
        <v>-</v>
      </c>
      <c r="T60" s="78" t="str">
        <f>IFERROR(SR_demand_forecast!T57*#REF!,"-")</f>
        <v>-</v>
      </c>
      <c r="U60" s="78" t="str">
        <f>IFERROR(SR_demand_forecast!U57*#REF!,"-")</f>
        <v>-</v>
      </c>
      <c r="V60" s="78" t="str">
        <f>IFERROR(SR_demand_forecast!V57*#REF!,"-")</f>
        <v>-</v>
      </c>
    </row>
    <row r="61" spans="1:22" x14ac:dyDescent="0.3">
      <c r="A61" s="511"/>
      <c r="B61" s="30" t="s">
        <v>40</v>
      </c>
      <c r="C61" s="78" t="str">
        <f>IFERROR(SR_demand_forecast!C58*#REF!,"-")</f>
        <v>-</v>
      </c>
      <c r="D61" s="78" t="str">
        <f>IFERROR(SR_demand_forecast!D58*#REF!,"-")</f>
        <v>-</v>
      </c>
      <c r="E61" s="78" t="str">
        <f>IFERROR(SR_demand_forecast!E58*#REF!,"-")</f>
        <v>-</v>
      </c>
      <c r="F61" s="78" t="str">
        <f>IFERROR(SR_demand_forecast!F58*#REF!,"-")</f>
        <v>-</v>
      </c>
      <c r="G61" s="78" t="str">
        <f>IFERROR(SR_demand_forecast!G58*#REF!,"-")</f>
        <v>-</v>
      </c>
      <c r="H61" s="78" t="str">
        <f>IFERROR(SR_demand_forecast!H58*#REF!,"-")</f>
        <v>-</v>
      </c>
      <c r="I61" s="78" t="str">
        <f>IFERROR(SR_demand_forecast!I58*#REF!,"-")</f>
        <v>-</v>
      </c>
      <c r="J61" s="78" t="str">
        <f>IFERROR(SR_demand_forecast!J58*#REF!,"-")</f>
        <v>-</v>
      </c>
      <c r="K61" s="78" t="str">
        <f>IFERROR(SR_demand_forecast!K58*#REF!,"-")</f>
        <v>-</v>
      </c>
      <c r="L61" s="78" t="str">
        <f>IFERROR(SR_demand_forecast!L58*#REF!,"-")</f>
        <v>-</v>
      </c>
      <c r="M61" s="78" t="str">
        <f>IFERROR(SR_demand_forecast!M58*#REF!,"-")</f>
        <v>-</v>
      </c>
      <c r="N61" s="78" t="str">
        <f>IFERROR(SR_demand_forecast!N58*#REF!,"-")</f>
        <v>-</v>
      </c>
      <c r="O61" s="78" t="str">
        <f>IFERROR(SR_demand_forecast!O58*#REF!,"-")</f>
        <v>-</v>
      </c>
      <c r="P61" s="78" t="str">
        <f>IFERROR(SR_demand_forecast!P58*#REF!,"-")</f>
        <v>-</v>
      </c>
      <c r="Q61" s="78" t="str">
        <f>IFERROR(SR_demand_forecast!Q58*#REF!,"-")</f>
        <v>-</v>
      </c>
      <c r="R61" s="78" t="str">
        <f>IFERROR(SR_demand_forecast!R58*#REF!,"-")</f>
        <v>-</v>
      </c>
      <c r="S61" s="78" t="str">
        <f>IFERROR(SR_demand_forecast!S58*#REF!,"-")</f>
        <v>-</v>
      </c>
      <c r="T61" s="78" t="str">
        <f>IFERROR(SR_demand_forecast!T58*#REF!,"-")</f>
        <v>-</v>
      </c>
      <c r="U61" s="78" t="str">
        <f>IFERROR(SR_demand_forecast!U58*#REF!,"-")</f>
        <v>-</v>
      </c>
      <c r="V61" s="78" t="str">
        <f>IFERROR(SR_demand_forecast!V58*#REF!,"-")</f>
        <v>-</v>
      </c>
    </row>
    <row r="62" spans="1:22" x14ac:dyDescent="0.3">
      <c r="A62" s="511"/>
      <c r="B62" s="30" t="s">
        <v>80</v>
      </c>
      <c r="C62" s="78" t="str">
        <f>IFERROR(SR_demand_forecast!C59*#REF!,"-")</f>
        <v>-</v>
      </c>
      <c r="D62" s="78" t="str">
        <f>IFERROR(SR_demand_forecast!D59*#REF!,"-")</f>
        <v>-</v>
      </c>
      <c r="E62" s="78" t="str">
        <f>IFERROR(SR_demand_forecast!E59*#REF!,"-")</f>
        <v>-</v>
      </c>
      <c r="F62" s="78" t="str">
        <f>IFERROR(SR_demand_forecast!F59*#REF!,"-")</f>
        <v>-</v>
      </c>
      <c r="G62" s="78" t="str">
        <f>IFERROR(SR_demand_forecast!G59*#REF!,"-")</f>
        <v>-</v>
      </c>
      <c r="H62" s="78" t="str">
        <f>IFERROR(SR_demand_forecast!H59*#REF!,"-")</f>
        <v>-</v>
      </c>
      <c r="I62" s="78" t="str">
        <f>IFERROR(SR_demand_forecast!I59*#REF!,"-")</f>
        <v>-</v>
      </c>
      <c r="J62" s="78" t="str">
        <f>IFERROR(SR_demand_forecast!J59*#REF!,"-")</f>
        <v>-</v>
      </c>
      <c r="K62" s="78" t="str">
        <f>IFERROR(SR_demand_forecast!K59*#REF!,"-")</f>
        <v>-</v>
      </c>
      <c r="L62" s="78" t="str">
        <f>IFERROR(SR_demand_forecast!L59*#REF!,"-")</f>
        <v>-</v>
      </c>
      <c r="M62" s="78" t="str">
        <f>IFERROR(SR_demand_forecast!M59*#REF!,"-")</f>
        <v>-</v>
      </c>
      <c r="N62" s="78" t="str">
        <f>IFERROR(SR_demand_forecast!N59*#REF!,"-")</f>
        <v>-</v>
      </c>
      <c r="O62" s="78" t="str">
        <f>IFERROR(SR_demand_forecast!O59*#REF!,"-")</f>
        <v>-</v>
      </c>
      <c r="P62" s="78" t="str">
        <f>IFERROR(SR_demand_forecast!P59*#REF!,"-")</f>
        <v>-</v>
      </c>
      <c r="Q62" s="78" t="str">
        <f>IFERROR(SR_demand_forecast!Q59*#REF!,"-")</f>
        <v>-</v>
      </c>
      <c r="R62" s="78" t="str">
        <f>IFERROR(SR_demand_forecast!R59*#REF!,"-")</f>
        <v>-</v>
      </c>
      <c r="S62" s="78" t="str">
        <f>IFERROR(SR_demand_forecast!S59*#REF!,"-")</f>
        <v>-</v>
      </c>
      <c r="T62" s="78" t="str">
        <f>IFERROR(SR_demand_forecast!T59*#REF!,"-")</f>
        <v>-</v>
      </c>
      <c r="U62" s="78" t="str">
        <f>IFERROR(SR_demand_forecast!U59*#REF!,"-")</f>
        <v>-</v>
      </c>
      <c r="V62" s="78" t="str">
        <f>IFERROR(SR_demand_forecast!V59*#REF!,"-")</f>
        <v>-</v>
      </c>
    </row>
    <row r="63" spans="1:22" x14ac:dyDescent="0.3">
      <c r="A63" s="511"/>
      <c r="B63" s="30" t="s">
        <v>44</v>
      </c>
      <c r="C63" s="78" t="str">
        <f>IFERROR(SR_demand_forecast!C60*#REF!,"-")</f>
        <v>-</v>
      </c>
      <c r="D63" s="78" t="str">
        <f>IFERROR(SR_demand_forecast!D60*#REF!,"-")</f>
        <v>-</v>
      </c>
      <c r="E63" s="78" t="str">
        <f>IFERROR(SR_demand_forecast!E60*#REF!,"-")</f>
        <v>-</v>
      </c>
      <c r="F63" s="78" t="str">
        <f>IFERROR(SR_demand_forecast!F60*#REF!,"-")</f>
        <v>-</v>
      </c>
      <c r="G63" s="78" t="str">
        <f>IFERROR(SR_demand_forecast!G60*#REF!,"-")</f>
        <v>-</v>
      </c>
      <c r="H63" s="78" t="str">
        <f>IFERROR(SR_demand_forecast!H60*#REF!,"-")</f>
        <v>-</v>
      </c>
      <c r="I63" s="78" t="str">
        <f>IFERROR(SR_demand_forecast!I60*#REF!,"-")</f>
        <v>-</v>
      </c>
      <c r="J63" s="78" t="str">
        <f>IFERROR(SR_demand_forecast!J60*#REF!,"-")</f>
        <v>-</v>
      </c>
      <c r="K63" s="78" t="str">
        <f>IFERROR(SR_demand_forecast!K60*#REF!,"-")</f>
        <v>-</v>
      </c>
      <c r="L63" s="78" t="str">
        <f>IFERROR(SR_demand_forecast!L60*#REF!,"-")</f>
        <v>-</v>
      </c>
      <c r="M63" s="78" t="str">
        <f>IFERROR(SR_demand_forecast!M60*#REF!,"-")</f>
        <v>-</v>
      </c>
      <c r="N63" s="78" t="str">
        <f>IFERROR(SR_demand_forecast!N60*#REF!,"-")</f>
        <v>-</v>
      </c>
      <c r="O63" s="78" t="str">
        <f>IFERROR(SR_demand_forecast!O60*#REF!,"-")</f>
        <v>-</v>
      </c>
      <c r="P63" s="78" t="str">
        <f>IFERROR(SR_demand_forecast!P60*#REF!,"-")</f>
        <v>-</v>
      </c>
      <c r="Q63" s="78" t="str">
        <f>IFERROR(SR_demand_forecast!Q60*#REF!,"-")</f>
        <v>-</v>
      </c>
      <c r="R63" s="78" t="str">
        <f>IFERROR(SR_demand_forecast!R60*#REF!,"-")</f>
        <v>-</v>
      </c>
      <c r="S63" s="78" t="str">
        <f>IFERROR(SR_demand_forecast!S60*#REF!,"-")</f>
        <v>-</v>
      </c>
      <c r="T63" s="78" t="str">
        <f>IFERROR(SR_demand_forecast!T60*#REF!,"-")</f>
        <v>-</v>
      </c>
      <c r="U63" s="78" t="str">
        <f>IFERROR(SR_demand_forecast!U60*#REF!,"-")</f>
        <v>-</v>
      </c>
      <c r="V63" s="78" t="str">
        <f>IFERROR(SR_demand_forecast!V60*#REF!,"-")</f>
        <v>-</v>
      </c>
    </row>
    <row r="64" spans="1:22" x14ac:dyDescent="0.3">
      <c r="A64" s="511"/>
      <c r="B64" s="30" t="s">
        <v>81</v>
      </c>
      <c r="C64" s="78" t="str">
        <f>IFERROR(SR_demand_forecast!C61*#REF!,"-")</f>
        <v>-</v>
      </c>
      <c r="D64" s="78" t="str">
        <f>IFERROR(SR_demand_forecast!D61*#REF!,"-")</f>
        <v>-</v>
      </c>
      <c r="E64" s="78" t="str">
        <f>IFERROR(SR_demand_forecast!E61*#REF!,"-")</f>
        <v>-</v>
      </c>
      <c r="F64" s="78" t="str">
        <f>IFERROR(SR_demand_forecast!F61*#REF!,"-")</f>
        <v>-</v>
      </c>
      <c r="G64" s="78" t="str">
        <f>IFERROR(SR_demand_forecast!G61*#REF!,"-")</f>
        <v>-</v>
      </c>
      <c r="H64" s="78" t="str">
        <f>IFERROR(SR_demand_forecast!H61*#REF!,"-")</f>
        <v>-</v>
      </c>
      <c r="I64" s="78" t="str">
        <f>IFERROR(SR_demand_forecast!I61*#REF!,"-")</f>
        <v>-</v>
      </c>
      <c r="J64" s="78" t="str">
        <f>IFERROR(SR_demand_forecast!J61*#REF!,"-")</f>
        <v>-</v>
      </c>
      <c r="K64" s="78" t="str">
        <f>IFERROR(SR_demand_forecast!K61*#REF!,"-")</f>
        <v>-</v>
      </c>
      <c r="L64" s="78" t="str">
        <f>IFERROR(SR_demand_forecast!L61*#REF!,"-")</f>
        <v>-</v>
      </c>
      <c r="M64" s="78" t="str">
        <f>IFERROR(SR_demand_forecast!M61*#REF!,"-")</f>
        <v>-</v>
      </c>
      <c r="N64" s="78" t="str">
        <f>IFERROR(SR_demand_forecast!N61*#REF!,"-")</f>
        <v>-</v>
      </c>
      <c r="O64" s="78" t="str">
        <f>IFERROR(SR_demand_forecast!O61*#REF!,"-")</f>
        <v>-</v>
      </c>
      <c r="P64" s="78" t="str">
        <f>IFERROR(SR_demand_forecast!P61*#REF!,"-")</f>
        <v>-</v>
      </c>
      <c r="Q64" s="78" t="str">
        <f>IFERROR(SR_demand_forecast!Q61*#REF!,"-")</f>
        <v>-</v>
      </c>
      <c r="R64" s="78" t="str">
        <f>IFERROR(SR_demand_forecast!R61*#REF!,"-")</f>
        <v>-</v>
      </c>
      <c r="S64" s="78" t="str">
        <f>IFERROR(SR_demand_forecast!S61*#REF!,"-")</f>
        <v>-</v>
      </c>
      <c r="T64" s="78" t="str">
        <f>IFERROR(SR_demand_forecast!T61*#REF!,"-")</f>
        <v>-</v>
      </c>
      <c r="U64" s="78" t="str">
        <f>IFERROR(SR_demand_forecast!U61*#REF!,"-")</f>
        <v>-</v>
      </c>
      <c r="V64" s="78" t="str">
        <f>IFERROR(SR_demand_forecast!V61*#REF!,"-")</f>
        <v>-</v>
      </c>
    </row>
    <row r="65" spans="1:22" x14ac:dyDescent="0.3">
      <c r="A65" s="511"/>
      <c r="B65" s="30" t="s">
        <v>42</v>
      </c>
      <c r="C65" s="78" t="str">
        <f>IFERROR(SR_demand_forecast!C62*#REF!,"-")</f>
        <v>-</v>
      </c>
      <c r="D65" s="78" t="str">
        <f>IFERROR(SR_demand_forecast!D62*#REF!,"-")</f>
        <v>-</v>
      </c>
      <c r="E65" s="78" t="str">
        <f>IFERROR(SR_demand_forecast!E62*#REF!,"-")</f>
        <v>-</v>
      </c>
      <c r="F65" s="78" t="str">
        <f>IFERROR(SR_demand_forecast!F62*#REF!,"-")</f>
        <v>-</v>
      </c>
      <c r="G65" s="78" t="str">
        <f>IFERROR(SR_demand_forecast!G62*#REF!,"-")</f>
        <v>-</v>
      </c>
      <c r="H65" s="78" t="str">
        <f>IFERROR(SR_demand_forecast!H62*#REF!,"-")</f>
        <v>-</v>
      </c>
      <c r="I65" s="78" t="str">
        <f>IFERROR(SR_demand_forecast!I62*#REF!,"-")</f>
        <v>-</v>
      </c>
      <c r="J65" s="78" t="str">
        <f>IFERROR(SR_demand_forecast!J62*#REF!,"-")</f>
        <v>-</v>
      </c>
      <c r="K65" s="78" t="str">
        <f>IFERROR(SR_demand_forecast!K62*#REF!,"-")</f>
        <v>-</v>
      </c>
      <c r="L65" s="78" t="str">
        <f>IFERROR(SR_demand_forecast!L62*#REF!,"-")</f>
        <v>-</v>
      </c>
      <c r="M65" s="78" t="str">
        <f>IFERROR(SR_demand_forecast!M62*#REF!,"-")</f>
        <v>-</v>
      </c>
      <c r="N65" s="78" t="str">
        <f>IFERROR(SR_demand_forecast!N62*#REF!,"-")</f>
        <v>-</v>
      </c>
      <c r="O65" s="78" t="str">
        <f>IFERROR(SR_demand_forecast!O62*#REF!,"-")</f>
        <v>-</v>
      </c>
      <c r="P65" s="78" t="str">
        <f>IFERROR(SR_demand_forecast!P62*#REF!,"-")</f>
        <v>-</v>
      </c>
      <c r="Q65" s="78" t="str">
        <f>IFERROR(SR_demand_forecast!Q62*#REF!,"-")</f>
        <v>-</v>
      </c>
      <c r="R65" s="78" t="str">
        <f>IFERROR(SR_demand_forecast!R62*#REF!,"-")</f>
        <v>-</v>
      </c>
      <c r="S65" s="78" t="str">
        <f>IFERROR(SR_demand_forecast!S62*#REF!,"-")</f>
        <v>-</v>
      </c>
      <c r="T65" s="78" t="str">
        <f>IFERROR(SR_demand_forecast!T62*#REF!,"-")</f>
        <v>-</v>
      </c>
      <c r="U65" s="78" t="str">
        <f>IFERROR(SR_demand_forecast!U62*#REF!,"-")</f>
        <v>-</v>
      </c>
      <c r="V65" s="78" t="str">
        <f>IFERROR(SR_demand_forecast!V62*#REF!,"-")</f>
        <v>-</v>
      </c>
    </row>
    <row r="66" spans="1:22" x14ac:dyDescent="0.3">
      <c r="A66" s="511"/>
      <c r="B66" s="30" t="s">
        <v>45</v>
      </c>
      <c r="C66" s="78" t="str">
        <f>IFERROR(SR_demand_forecast!C63*#REF!,"-")</f>
        <v>-</v>
      </c>
      <c r="D66" s="78" t="str">
        <f>IFERROR(SR_demand_forecast!D63*#REF!,"-")</f>
        <v>-</v>
      </c>
      <c r="E66" s="78" t="str">
        <f>IFERROR(SR_demand_forecast!E63*#REF!,"-")</f>
        <v>-</v>
      </c>
      <c r="F66" s="78" t="str">
        <f>IFERROR(SR_demand_forecast!F63*#REF!,"-")</f>
        <v>-</v>
      </c>
      <c r="G66" s="78" t="str">
        <f>IFERROR(SR_demand_forecast!G63*#REF!,"-")</f>
        <v>-</v>
      </c>
      <c r="H66" s="78" t="str">
        <f>IFERROR(SR_demand_forecast!H63*#REF!,"-")</f>
        <v>-</v>
      </c>
      <c r="I66" s="78" t="str">
        <f>IFERROR(SR_demand_forecast!I63*#REF!,"-")</f>
        <v>-</v>
      </c>
      <c r="J66" s="78" t="str">
        <f>IFERROR(SR_demand_forecast!J63*#REF!,"-")</f>
        <v>-</v>
      </c>
      <c r="K66" s="78" t="str">
        <f>IFERROR(SR_demand_forecast!K63*#REF!,"-")</f>
        <v>-</v>
      </c>
      <c r="L66" s="78" t="str">
        <f>IFERROR(SR_demand_forecast!L63*#REF!,"-")</f>
        <v>-</v>
      </c>
      <c r="M66" s="78" t="str">
        <f>IFERROR(SR_demand_forecast!M63*#REF!,"-")</f>
        <v>-</v>
      </c>
      <c r="N66" s="78" t="str">
        <f>IFERROR(SR_demand_forecast!N63*#REF!,"-")</f>
        <v>-</v>
      </c>
      <c r="O66" s="78" t="str">
        <f>IFERROR(SR_demand_forecast!O63*#REF!,"-")</f>
        <v>-</v>
      </c>
      <c r="P66" s="78" t="str">
        <f>IFERROR(SR_demand_forecast!P63*#REF!,"-")</f>
        <v>-</v>
      </c>
      <c r="Q66" s="78" t="str">
        <f>IFERROR(SR_demand_forecast!Q63*#REF!,"-")</f>
        <v>-</v>
      </c>
      <c r="R66" s="78" t="str">
        <f>IFERROR(SR_demand_forecast!R63*#REF!,"-")</f>
        <v>-</v>
      </c>
      <c r="S66" s="78" t="str">
        <f>IFERROR(SR_demand_forecast!S63*#REF!,"-")</f>
        <v>-</v>
      </c>
      <c r="T66" s="78" t="str">
        <f>IFERROR(SR_demand_forecast!T63*#REF!,"-")</f>
        <v>-</v>
      </c>
      <c r="U66" s="78" t="str">
        <f>IFERROR(SR_demand_forecast!U63*#REF!,"-")</f>
        <v>-</v>
      </c>
      <c r="V66" s="78" t="str">
        <f>IFERROR(SR_demand_forecast!V63*#REF!,"-")</f>
        <v>-</v>
      </c>
    </row>
    <row r="67" spans="1:22" x14ac:dyDescent="0.3">
      <c r="A67" s="511"/>
      <c r="B67" s="31" t="s">
        <v>84</v>
      </c>
      <c r="C67" s="124">
        <f t="shared" ref="C67:V67" si="3">SUM(C59:C66)</f>
        <v>0</v>
      </c>
      <c r="D67" s="124">
        <f t="shared" si="3"/>
        <v>0</v>
      </c>
      <c r="E67" s="124">
        <f t="shared" si="3"/>
        <v>0</v>
      </c>
      <c r="F67" s="124">
        <f t="shared" si="3"/>
        <v>0</v>
      </c>
      <c r="G67" s="124">
        <f t="shared" si="3"/>
        <v>0</v>
      </c>
      <c r="H67" s="124">
        <f t="shared" si="3"/>
        <v>0</v>
      </c>
      <c r="I67" s="124">
        <f t="shared" si="3"/>
        <v>0</v>
      </c>
      <c r="J67" s="124">
        <f t="shared" si="3"/>
        <v>0</v>
      </c>
      <c r="K67" s="124">
        <f t="shared" si="3"/>
        <v>0</v>
      </c>
      <c r="L67" s="124">
        <f t="shared" si="3"/>
        <v>0</v>
      </c>
      <c r="M67" s="124">
        <f t="shared" si="3"/>
        <v>0</v>
      </c>
      <c r="N67" s="124">
        <f t="shared" si="3"/>
        <v>0</v>
      </c>
      <c r="O67" s="124">
        <f t="shared" si="3"/>
        <v>0</v>
      </c>
      <c r="P67" s="124">
        <f t="shared" si="3"/>
        <v>0</v>
      </c>
      <c r="Q67" s="124">
        <f t="shared" si="3"/>
        <v>0</v>
      </c>
      <c r="R67" s="124">
        <f t="shared" si="3"/>
        <v>0</v>
      </c>
      <c r="S67" s="124">
        <f t="shared" si="3"/>
        <v>0</v>
      </c>
      <c r="T67" s="124">
        <f t="shared" si="3"/>
        <v>0</v>
      </c>
      <c r="U67" s="124">
        <f t="shared" si="3"/>
        <v>0</v>
      </c>
      <c r="V67" s="124">
        <f t="shared" si="3"/>
        <v>0</v>
      </c>
    </row>
    <row r="68" spans="1:22" x14ac:dyDescent="0.3">
      <c r="A68" s="511"/>
      <c r="B68" s="125"/>
      <c r="C68" s="126"/>
      <c r="D68" s="126"/>
      <c r="E68" s="126"/>
      <c r="F68" s="126"/>
      <c r="G68" s="126"/>
      <c r="H68" s="126"/>
      <c r="I68" s="126"/>
      <c r="J68" s="126"/>
      <c r="K68" s="126"/>
      <c r="L68" s="126"/>
      <c r="M68" s="126"/>
      <c r="N68" s="126"/>
      <c r="O68" s="126"/>
      <c r="P68" s="126"/>
      <c r="Q68" s="126"/>
      <c r="R68" s="126"/>
      <c r="S68" s="126"/>
      <c r="T68" s="126"/>
      <c r="U68" s="126"/>
      <c r="V68" s="126"/>
    </row>
    <row r="69" spans="1:22" x14ac:dyDescent="0.3">
      <c r="A69" s="511"/>
      <c r="B69" s="125"/>
      <c r="C69" s="126"/>
      <c r="D69" s="126"/>
      <c r="E69" s="126"/>
      <c r="F69" s="126"/>
      <c r="G69" s="126"/>
      <c r="H69" s="126"/>
      <c r="I69" s="126"/>
      <c r="J69" s="126"/>
      <c r="K69" s="126"/>
      <c r="L69" s="126"/>
      <c r="M69" s="126"/>
      <c r="N69" s="126"/>
      <c r="O69" s="126"/>
      <c r="P69" s="126"/>
      <c r="Q69" s="126"/>
      <c r="R69" s="126"/>
      <c r="S69" s="126"/>
      <c r="T69" s="126"/>
      <c r="U69" s="126"/>
      <c r="V69" s="126"/>
    </row>
    <row r="70" spans="1:22" x14ac:dyDescent="0.3">
      <c r="A70" s="511"/>
      <c r="B70" s="125"/>
      <c r="C70" s="126"/>
      <c r="D70" s="126"/>
      <c r="E70" s="126"/>
      <c r="F70" s="126"/>
      <c r="G70" s="126"/>
      <c r="H70" s="126"/>
      <c r="I70" s="126"/>
      <c r="J70" s="126"/>
      <c r="K70" s="126"/>
      <c r="L70" s="126"/>
      <c r="M70" s="126"/>
      <c r="N70" s="126"/>
      <c r="O70" s="126"/>
      <c r="P70" s="126"/>
      <c r="Q70" s="126"/>
      <c r="R70" s="126"/>
      <c r="S70" s="126"/>
      <c r="T70" s="126"/>
      <c r="U70" s="126"/>
      <c r="V70" s="126"/>
    </row>
    <row r="71" spans="1:22" x14ac:dyDescent="0.3">
      <c r="A71" s="511"/>
      <c r="B71" s="125"/>
      <c r="C71" s="126"/>
      <c r="D71" s="126"/>
      <c r="E71" s="126"/>
      <c r="F71" s="126"/>
      <c r="G71" s="126"/>
      <c r="H71" s="126"/>
      <c r="I71" s="126"/>
      <c r="J71" s="126"/>
      <c r="K71" s="126"/>
      <c r="L71" s="126"/>
      <c r="M71" s="126"/>
      <c r="N71" s="126"/>
      <c r="O71" s="126"/>
      <c r="P71" s="126"/>
      <c r="Q71" s="126"/>
      <c r="R71" s="126"/>
      <c r="S71" s="126"/>
      <c r="T71" s="126"/>
      <c r="U71" s="126"/>
      <c r="V71" s="126"/>
    </row>
    <row r="72" spans="1:22" x14ac:dyDescent="0.3">
      <c r="A72" s="511"/>
      <c r="B72" s="125"/>
      <c r="C72" s="126"/>
      <c r="D72" s="126"/>
      <c r="E72" s="126"/>
      <c r="F72" s="126"/>
      <c r="G72" s="126"/>
      <c r="H72" s="126"/>
      <c r="I72" s="126"/>
      <c r="J72" s="126"/>
      <c r="K72" s="126"/>
      <c r="L72" s="126"/>
      <c r="M72" s="126"/>
      <c r="N72" s="126"/>
      <c r="O72" s="126"/>
      <c r="P72" s="126"/>
      <c r="Q72" s="126"/>
      <c r="R72" s="126"/>
      <c r="S72" s="126"/>
      <c r="T72" s="126"/>
      <c r="U72" s="126"/>
      <c r="V72" s="126"/>
    </row>
    <row r="73" spans="1:22" x14ac:dyDescent="0.3">
      <c r="A73" s="511"/>
    </row>
    <row r="74" spans="1:22" x14ac:dyDescent="0.3">
      <c r="A74" s="511"/>
    </row>
    <row r="75" spans="1:22" x14ac:dyDescent="0.3">
      <c r="A75" s="511"/>
      <c r="B75" s="32" t="s">
        <v>150</v>
      </c>
      <c r="L75" s="18"/>
      <c r="M75" s="18"/>
    </row>
    <row r="76" spans="1:22" x14ac:dyDescent="0.3">
      <c r="A76" s="511"/>
      <c r="B76" s="75" t="s">
        <v>82</v>
      </c>
      <c r="C76" s="75">
        <v>2021</v>
      </c>
      <c r="D76" s="76">
        <v>2022</v>
      </c>
      <c r="E76" s="75">
        <v>2023</v>
      </c>
      <c r="F76" s="76">
        <v>2024</v>
      </c>
      <c r="G76" s="75">
        <v>2025</v>
      </c>
      <c r="H76" s="76">
        <v>2026</v>
      </c>
      <c r="I76" s="75">
        <v>2027</v>
      </c>
      <c r="J76" s="76">
        <v>2028</v>
      </c>
      <c r="K76" s="75">
        <v>2029</v>
      </c>
      <c r="L76" s="76">
        <v>2030</v>
      </c>
      <c r="M76" s="75">
        <v>2031</v>
      </c>
      <c r="N76" s="76">
        <v>2032</v>
      </c>
      <c r="O76" s="75">
        <v>2033</v>
      </c>
      <c r="P76" s="76">
        <v>2034</v>
      </c>
      <c r="Q76" s="75">
        <v>2035</v>
      </c>
      <c r="R76" s="76">
        <v>2036</v>
      </c>
      <c r="S76" s="75">
        <v>2037</v>
      </c>
      <c r="T76" s="76">
        <v>2038</v>
      </c>
      <c r="U76" s="75">
        <v>2039</v>
      </c>
      <c r="V76" s="76">
        <v>2040</v>
      </c>
    </row>
    <row r="77" spans="1:22" x14ac:dyDescent="0.3">
      <c r="A77" s="511"/>
      <c r="B77" s="30" t="s">
        <v>43</v>
      </c>
      <c r="C77" s="78" t="str">
        <f>IFERROR(SR_demand_forecast!C129*#REF!,"-")</f>
        <v>-</v>
      </c>
      <c r="D77" s="78" t="str">
        <f>IFERROR(SR_demand_forecast!D129*#REF!,"-")</f>
        <v>-</v>
      </c>
      <c r="E77" s="78" t="str">
        <f>IFERROR(SR_demand_forecast!E129*#REF!,"-")</f>
        <v>-</v>
      </c>
      <c r="F77" s="78" t="str">
        <f>IFERROR(SR_demand_forecast!F129*#REF!,"-")</f>
        <v>-</v>
      </c>
      <c r="G77" s="78" t="str">
        <f>IFERROR(SR_demand_forecast!G129*#REF!,"-")</f>
        <v>-</v>
      </c>
      <c r="H77" s="78" t="str">
        <f>IFERROR(SR_demand_forecast!H129*#REF!,"-")</f>
        <v>-</v>
      </c>
      <c r="I77" s="78" t="str">
        <f>IFERROR(SR_demand_forecast!I129*#REF!,"-")</f>
        <v>-</v>
      </c>
      <c r="J77" s="78" t="str">
        <f>IFERROR(SR_demand_forecast!J129*#REF!,"-")</f>
        <v>-</v>
      </c>
      <c r="K77" s="78" t="str">
        <f>IFERROR(SR_demand_forecast!K129*#REF!,"-")</f>
        <v>-</v>
      </c>
      <c r="L77" s="78" t="str">
        <f>IFERROR(SR_demand_forecast!L129*#REF!,"-")</f>
        <v>-</v>
      </c>
      <c r="M77" s="78" t="str">
        <f>IFERROR(SR_demand_forecast!M129*#REF!,"-")</f>
        <v>-</v>
      </c>
      <c r="N77" s="78" t="str">
        <f>IFERROR(SR_demand_forecast!N129*#REF!,"-")</f>
        <v>-</v>
      </c>
      <c r="O77" s="78" t="str">
        <f>IFERROR(SR_demand_forecast!O129*#REF!,"-")</f>
        <v>-</v>
      </c>
      <c r="P77" s="78" t="str">
        <f>IFERROR(SR_demand_forecast!P129*#REF!,"-")</f>
        <v>-</v>
      </c>
      <c r="Q77" s="78" t="str">
        <f>IFERROR(SR_demand_forecast!Q129*#REF!,"-")</f>
        <v>-</v>
      </c>
      <c r="R77" s="78" t="str">
        <f>IFERROR(SR_demand_forecast!R129*#REF!,"-")</f>
        <v>-</v>
      </c>
      <c r="S77" s="78" t="str">
        <f>IFERROR(SR_demand_forecast!S129*#REF!,"-")</f>
        <v>-</v>
      </c>
      <c r="T77" s="78" t="str">
        <f>IFERROR(SR_demand_forecast!T129*#REF!,"-")</f>
        <v>-</v>
      </c>
      <c r="U77" s="78" t="str">
        <f>IFERROR(SR_demand_forecast!U129*#REF!,"-")</f>
        <v>-</v>
      </c>
      <c r="V77" s="78" t="str">
        <f>IFERROR(SR_demand_forecast!V129*#REF!,"-")</f>
        <v>-</v>
      </c>
    </row>
    <row r="78" spans="1:22" x14ac:dyDescent="0.3">
      <c r="A78" s="511"/>
      <c r="B78" s="30" t="s">
        <v>41</v>
      </c>
      <c r="C78" s="78" t="str">
        <f>IFERROR(SR_demand_forecast!C130*#REF!,"-")</f>
        <v>-</v>
      </c>
      <c r="D78" s="78" t="str">
        <f>IFERROR(SR_demand_forecast!D130*#REF!,"-")</f>
        <v>-</v>
      </c>
      <c r="E78" s="78" t="str">
        <f>IFERROR(SR_demand_forecast!E130*#REF!,"-")</f>
        <v>-</v>
      </c>
      <c r="F78" s="78" t="str">
        <f>IFERROR(SR_demand_forecast!F130*#REF!,"-")</f>
        <v>-</v>
      </c>
      <c r="G78" s="78" t="str">
        <f>IFERROR(SR_demand_forecast!G130*#REF!,"-")</f>
        <v>-</v>
      </c>
      <c r="H78" s="78" t="str">
        <f>IFERROR(SR_demand_forecast!H130*#REF!,"-")</f>
        <v>-</v>
      </c>
      <c r="I78" s="78" t="str">
        <f>IFERROR(SR_demand_forecast!I130*#REF!,"-")</f>
        <v>-</v>
      </c>
      <c r="J78" s="78" t="str">
        <f>IFERROR(SR_demand_forecast!J130*#REF!,"-")</f>
        <v>-</v>
      </c>
      <c r="K78" s="78" t="str">
        <f>IFERROR(SR_demand_forecast!K130*#REF!,"-")</f>
        <v>-</v>
      </c>
      <c r="L78" s="78" t="str">
        <f>IFERROR(SR_demand_forecast!L130*#REF!,"-")</f>
        <v>-</v>
      </c>
      <c r="M78" s="78" t="str">
        <f>IFERROR(SR_demand_forecast!M130*#REF!,"-")</f>
        <v>-</v>
      </c>
      <c r="N78" s="78" t="str">
        <f>IFERROR(SR_demand_forecast!N130*#REF!,"-")</f>
        <v>-</v>
      </c>
      <c r="O78" s="78" t="str">
        <f>IFERROR(SR_demand_forecast!O130*#REF!,"-")</f>
        <v>-</v>
      </c>
      <c r="P78" s="78" t="str">
        <f>IFERROR(SR_demand_forecast!P130*#REF!,"-")</f>
        <v>-</v>
      </c>
      <c r="Q78" s="78" t="str">
        <f>IFERROR(SR_demand_forecast!Q130*#REF!,"-")</f>
        <v>-</v>
      </c>
      <c r="R78" s="78" t="str">
        <f>IFERROR(SR_demand_forecast!R130*#REF!,"-")</f>
        <v>-</v>
      </c>
      <c r="S78" s="78" t="str">
        <f>IFERROR(SR_demand_forecast!S130*#REF!,"-")</f>
        <v>-</v>
      </c>
      <c r="T78" s="78" t="str">
        <f>IFERROR(SR_demand_forecast!T130*#REF!,"-")</f>
        <v>-</v>
      </c>
      <c r="U78" s="78" t="str">
        <f>IFERROR(SR_demand_forecast!U130*#REF!,"-")</f>
        <v>-</v>
      </c>
      <c r="V78" s="78" t="str">
        <f>IFERROR(SR_demand_forecast!V130*#REF!,"-")</f>
        <v>-</v>
      </c>
    </row>
    <row r="79" spans="1:22" x14ac:dyDescent="0.3">
      <c r="A79" s="511"/>
      <c r="B79" s="30" t="s">
        <v>40</v>
      </c>
      <c r="C79" s="78" t="str">
        <f>IFERROR(SR_demand_forecast!C131*#REF!,"-")</f>
        <v>-</v>
      </c>
      <c r="D79" s="78" t="str">
        <f>IFERROR(SR_demand_forecast!D131*#REF!,"-")</f>
        <v>-</v>
      </c>
      <c r="E79" s="78" t="str">
        <f>IFERROR(SR_demand_forecast!E131*#REF!,"-")</f>
        <v>-</v>
      </c>
      <c r="F79" s="78" t="str">
        <f>IFERROR(SR_demand_forecast!F131*#REF!,"-")</f>
        <v>-</v>
      </c>
      <c r="G79" s="78" t="str">
        <f>IFERROR(SR_demand_forecast!G131*#REF!,"-")</f>
        <v>-</v>
      </c>
      <c r="H79" s="78" t="str">
        <f>IFERROR(SR_demand_forecast!H131*#REF!,"-")</f>
        <v>-</v>
      </c>
      <c r="I79" s="78" t="str">
        <f>IFERROR(SR_demand_forecast!I131*#REF!,"-")</f>
        <v>-</v>
      </c>
      <c r="J79" s="78" t="str">
        <f>IFERROR(SR_demand_forecast!J131*#REF!,"-")</f>
        <v>-</v>
      </c>
      <c r="K79" s="78" t="str">
        <f>IFERROR(SR_demand_forecast!K131*#REF!,"-")</f>
        <v>-</v>
      </c>
      <c r="L79" s="78" t="str">
        <f>IFERROR(SR_demand_forecast!L131*#REF!,"-")</f>
        <v>-</v>
      </c>
      <c r="M79" s="78" t="str">
        <f>IFERROR(SR_demand_forecast!M131*#REF!,"-")</f>
        <v>-</v>
      </c>
      <c r="N79" s="78" t="str">
        <f>IFERROR(SR_demand_forecast!N131*#REF!,"-")</f>
        <v>-</v>
      </c>
      <c r="O79" s="78" t="str">
        <f>IFERROR(SR_demand_forecast!O131*#REF!,"-")</f>
        <v>-</v>
      </c>
      <c r="P79" s="78" t="str">
        <f>IFERROR(SR_demand_forecast!P131*#REF!,"-")</f>
        <v>-</v>
      </c>
      <c r="Q79" s="78" t="str">
        <f>IFERROR(SR_demand_forecast!Q131*#REF!,"-")</f>
        <v>-</v>
      </c>
      <c r="R79" s="78" t="str">
        <f>IFERROR(SR_demand_forecast!R131*#REF!,"-")</f>
        <v>-</v>
      </c>
      <c r="S79" s="78" t="str">
        <f>IFERROR(SR_demand_forecast!S131*#REF!,"-")</f>
        <v>-</v>
      </c>
      <c r="T79" s="78" t="str">
        <f>IFERROR(SR_demand_forecast!T131*#REF!,"-")</f>
        <v>-</v>
      </c>
      <c r="U79" s="78" t="str">
        <f>IFERROR(SR_demand_forecast!U131*#REF!,"-")</f>
        <v>-</v>
      </c>
      <c r="V79" s="78" t="str">
        <f>IFERROR(SR_demand_forecast!V131*#REF!,"-")</f>
        <v>-</v>
      </c>
    </row>
    <row r="80" spans="1:22" x14ac:dyDescent="0.3">
      <c r="A80" s="511"/>
      <c r="B80" s="30" t="s">
        <v>80</v>
      </c>
      <c r="C80" s="78" t="str">
        <f>IFERROR(SR_demand_forecast!C132*#REF!,"-")</f>
        <v>-</v>
      </c>
      <c r="D80" s="78" t="str">
        <f>IFERROR(SR_demand_forecast!D132*#REF!,"-")</f>
        <v>-</v>
      </c>
      <c r="E80" s="78" t="str">
        <f>IFERROR(SR_demand_forecast!E132*#REF!,"-")</f>
        <v>-</v>
      </c>
      <c r="F80" s="78" t="str">
        <f>IFERROR(SR_demand_forecast!F132*#REF!,"-")</f>
        <v>-</v>
      </c>
      <c r="G80" s="78" t="str">
        <f>IFERROR(SR_demand_forecast!G132*#REF!,"-")</f>
        <v>-</v>
      </c>
      <c r="H80" s="78" t="str">
        <f>IFERROR(SR_demand_forecast!H132*#REF!,"-")</f>
        <v>-</v>
      </c>
      <c r="I80" s="78" t="str">
        <f>IFERROR(SR_demand_forecast!I132*#REF!,"-")</f>
        <v>-</v>
      </c>
      <c r="J80" s="78" t="str">
        <f>IFERROR(SR_demand_forecast!J132*#REF!,"-")</f>
        <v>-</v>
      </c>
      <c r="K80" s="78" t="str">
        <f>IFERROR(SR_demand_forecast!K132*#REF!,"-")</f>
        <v>-</v>
      </c>
      <c r="L80" s="78" t="str">
        <f>IFERROR(SR_demand_forecast!L132*#REF!,"-")</f>
        <v>-</v>
      </c>
      <c r="M80" s="78" t="str">
        <f>IFERROR(SR_demand_forecast!M132*#REF!,"-")</f>
        <v>-</v>
      </c>
      <c r="N80" s="78" t="str">
        <f>IFERROR(SR_demand_forecast!N132*#REF!,"-")</f>
        <v>-</v>
      </c>
      <c r="O80" s="78" t="str">
        <f>IFERROR(SR_demand_forecast!O132*#REF!,"-")</f>
        <v>-</v>
      </c>
      <c r="P80" s="78" t="str">
        <f>IFERROR(SR_demand_forecast!P132*#REF!,"-")</f>
        <v>-</v>
      </c>
      <c r="Q80" s="78" t="str">
        <f>IFERROR(SR_demand_forecast!Q132*#REF!,"-")</f>
        <v>-</v>
      </c>
      <c r="R80" s="78" t="str">
        <f>IFERROR(SR_demand_forecast!R132*#REF!,"-")</f>
        <v>-</v>
      </c>
      <c r="S80" s="78" t="str">
        <f>IFERROR(SR_demand_forecast!S132*#REF!,"-")</f>
        <v>-</v>
      </c>
      <c r="T80" s="78" t="str">
        <f>IFERROR(SR_demand_forecast!T132*#REF!,"-")</f>
        <v>-</v>
      </c>
      <c r="U80" s="78" t="str">
        <f>IFERROR(SR_demand_forecast!U132*#REF!,"-")</f>
        <v>-</v>
      </c>
      <c r="V80" s="78" t="str">
        <f>IFERROR(SR_demand_forecast!V132*#REF!,"-")</f>
        <v>-</v>
      </c>
    </row>
    <row r="81" spans="1:22" x14ac:dyDescent="0.3">
      <c r="A81" s="511"/>
      <c r="B81" s="30" t="s">
        <v>44</v>
      </c>
      <c r="C81" s="78" t="str">
        <f>IFERROR(SR_demand_forecast!C133*#REF!,"-")</f>
        <v>-</v>
      </c>
      <c r="D81" s="78" t="str">
        <f>IFERROR(SR_demand_forecast!D133*#REF!,"-")</f>
        <v>-</v>
      </c>
      <c r="E81" s="78" t="str">
        <f>IFERROR(SR_demand_forecast!E133*#REF!,"-")</f>
        <v>-</v>
      </c>
      <c r="F81" s="78" t="str">
        <f>IFERROR(SR_demand_forecast!F133*#REF!,"-")</f>
        <v>-</v>
      </c>
      <c r="G81" s="78" t="str">
        <f>IFERROR(SR_demand_forecast!G133*#REF!,"-")</f>
        <v>-</v>
      </c>
      <c r="H81" s="78" t="str">
        <f>IFERROR(SR_demand_forecast!H133*#REF!,"-")</f>
        <v>-</v>
      </c>
      <c r="I81" s="78" t="str">
        <f>IFERROR(SR_demand_forecast!I133*#REF!,"-")</f>
        <v>-</v>
      </c>
      <c r="J81" s="78" t="str">
        <f>IFERROR(SR_demand_forecast!J133*#REF!,"-")</f>
        <v>-</v>
      </c>
      <c r="K81" s="78" t="str">
        <f>IFERROR(SR_demand_forecast!K133*#REF!,"-")</f>
        <v>-</v>
      </c>
      <c r="L81" s="78" t="str">
        <f>IFERROR(SR_demand_forecast!L133*#REF!,"-")</f>
        <v>-</v>
      </c>
      <c r="M81" s="78" t="str">
        <f>IFERROR(SR_demand_forecast!M133*#REF!,"-")</f>
        <v>-</v>
      </c>
      <c r="N81" s="78" t="str">
        <f>IFERROR(SR_demand_forecast!N133*#REF!,"-")</f>
        <v>-</v>
      </c>
      <c r="O81" s="78" t="str">
        <f>IFERROR(SR_demand_forecast!O133*#REF!,"-")</f>
        <v>-</v>
      </c>
      <c r="P81" s="78" t="str">
        <f>IFERROR(SR_demand_forecast!P133*#REF!,"-")</f>
        <v>-</v>
      </c>
      <c r="Q81" s="78" t="str">
        <f>IFERROR(SR_demand_forecast!Q133*#REF!,"-")</f>
        <v>-</v>
      </c>
      <c r="R81" s="78" t="str">
        <f>IFERROR(SR_demand_forecast!R133*#REF!,"-")</f>
        <v>-</v>
      </c>
      <c r="S81" s="78" t="str">
        <f>IFERROR(SR_demand_forecast!S133*#REF!,"-")</f>
        <v>-</v>
      </c>
      <c r="T81" s="78" t="str">
        <f>IFERROR(SR_demand_forecast!T133*#REF!,"-")</f>
        <v>-</v>
      </c>
      <c r="U81" s="78" t="str">
        <f>IFERROR(SR_demand_forecast!U133*#REF!,"-")</f>
        <v>-</v>
      </c>
      <c r="V81" s="78" t="str">
        <f>IFERROR(SR_demand_forecast!V133*#REF!,"-")</f>
        <v>-</v>
      </c>
    </row>
    <row r="82" spans="1:22" x14ac:dyDescent="0.3">
      <c r="A82" s="511"/>
      <c r="B82" s="30" t="s">
        <v>81</v>
      </c>
      <c r="C82" s="78" t="str">
        <f>IFERROR(SR_demand_forecast!C134*#REF!,"-")</f>
        <v>-</v>
      </c>
      <c r="D82" s="78" t="str">
        <f>IFERROR(SR_demand_forecast!D134*#REF!,"-")</f>
        <v>-</v>
      </c>
      <c r="E82" s="78" t="str">
        <f>IFERROR(SR_demand_forecast!E134*#REF!,"-")</f>
        <v>-</v>
      </c>
      <c r="F82" s="78" t="str">
        <f>IFERROR(SR_demand_forecast!F134*#REF!,"-")</f>
        <v>-</v>
      </c>
      <c r="G82" s="78" t="str">
        <f>IFERROR(SR_demand_forecast!G134*#REF!,"-")</f>
        <v>-</v>
      </c>
      <c r="H82" s="78" t="str">
        <f>IFERROR(SR_demand_forecast!H134*#REF!,"-")</f>
        <v>-</v>
      </c>
      <c r="I82" s="78" t="str">
        <f>IFERROR(SR_demand_forecast!I134*#REF!,"-")</f>
        <v>-</v>
      </c>
      <c r="J82" s="78" t="str">
        <f>IFERROR(SR_demand_forecast!J134*#REF!,"-")</f>
        <v>-</v>
      </c>
      <c r="K82" s="78" t="str">
        <f>IFERROR(SR_demand_forecast!K134*#REF!,"-")</f>
        <v>-</v>
      </c>
      <c r="L82" s="78" t="str">
        <f>IFERROR(SR_demand_forecast!L134*#REF!,"-")</f>
        <v>-</v>
      </c>
      <c r="M82" s="78" t="str">
        <f>IFERROR(SR_demand_forecast!M134*#REF!,"-")</f>
        <v>-</v>
      </c>
      <c r="N82" s="78" t="str">
        <f>IFERROR(SR_demand_forecast!N134*#REF!,"-")</f>
        <v>-</v>
      </c>
      <c r="O82" s="78" t="str">
        <f>IFERROR(SR_demand_forecast!O134*#REF!,"-")</f>
        <v>-</v>
      </c>
      <c r="P82" s="78" t="str">
        <f>IFERROR(SR_demand_forecast!P134*#REF!,"-")</f>
        <v>-</v>
      </c>
      <c r="Q82" s="78" t="str">
        <f>IFERROR(SR_demand_forecast!Q134*#REF!,"-")</f>
        <v>-</v>
      </c>
      <c r="R82" s="78" t="str">
        <f>IFERROR(SR_demand_forecast!R134*#REF!,"-")</f>
        <v>-</v>
      </c>
      <c r="S82" s="78" t="str">
        <f>IFERROR(SR_demand_forecast!S134*#REF!,"-")</f>
        <v>-</v>
      </c>
      <c r="T82" s="78" t="str">
        <f>IFERROR(SR_demand_forecast!T134*#REF!,"-")</f>
        <v>-</v>
      </c>
      <c r="U82" s="78" t="str">
        <f>IFERROR(SR_demand_forecast!U134*#REF!,"-")</f>
        <v>-</v>
      </c>
      <c r="V82" s="78" t="str">
        <f>IFERROR(SR_demand_forecast!V134*#REF!,"-")</f>
        <v>-</v>
      </c>
    </row>
    <row r="83" spans="1:22" x14ac:dyDescent="0.3">
      <c r="A83" s="511"/>
      <c r="B83" s="30" t="s">
        <v>42</v>
      </c>
      <c r="C83" s="78" t="str">
        <f>IFERROR(SR_demand_forecast!C135*#REF!,"-")</f>
        <v>-</v>
      </c>
      <c r="D83" s="78" t="str">
        <f>IFERROR(SR_demand_forecast!D135*#REF!,"-")</f>
        <v>-</v>
      </c>
      <c r="E83" s="78" t="str">
        <f>IFERROR(SR_demand_forecast!E135*#REF!,"-")</f>
        <v>-</v>
      </c>
      <c r="F83" s="78" t="str">
        <f>IFERROR(SR_demand_forecast!F135*#REF!,"-")</f>
        <v>-</v>
      </c>
      <c r="G83" s="78" t="str">
        <f>IFERROR(SR_demand_forecast!G135*#REF!,"-")</f>
        <v>-</v>
      </c>
      <c r="H83" s="78" t="str">
        <f>IFERROR(SR_demand_forecast!H135*#REF!,"-")</f>
        <v>-</v>
      </c>
      <c r="I83" s="78" t="str">
        <f>IFERROR(SR_demand_forecast!I135*#REF!,"-")</f>
        <v>-</v>
      </c>
      <c r="J83" s="78" t="str">
        <f>IFERROR(SR_demand_forecast!J135*#REF!,"-")</f>
        <v>-</v>
      </c>
      <c r="K83" s="78" t="str">
        <f>IFERROR(SR_demand_forecast!K135*#REF!,"-")</f>
        <v>-</v>
      </c>
      <c r="L83" s="78" t="str">
        <f>IFERROR(SR_demand_forecast!L135*#REF!,"-")</f>
        <v>-</v>
      </c>
      <c r="M83" s="78" t="str">
        <f>IFERROR(SR_demand_forecast!M135*#REF!,"-")</f>
        <v>-</v>
      </c>
      <c r="N83" s="78" t="str">
        <f>IFERROR(SR_demand_forecast!N135*#REF!,"-")</f>
        <v>-</v>
      </c>
      <c r="O83" s="78" t="str">
        <f>IFERROR(SR_demand_forecast!O135*#REF!,"-")</f>
        <v>-</v>
      </c>
      <c r="P83" s="78" t="str">
        <f>IFERROR(SR_demand_forecast!P135*#REF!,"-")</f>
        <v>-</v>
      </c>
      <c r="Q83" s="78" t="str">
        <f>IFERROR(SR_demand_forecast!Q135*#REF!,"-")</f>
        <v>-</v>
      </c>
      <c r="R83" s="78" t="str">
        <f>IFERROR(SR_demand_forecast!R135*#REF!,"-")</f>
        <v>-</v>
      </c>
      <c r="S83" s="78" t="str">
        <f>IFERROR(SR_demand_forecast!S135*#REF!,"-")</f>
        <v>-</v>
      </c>
      <c r="T83" s="78" t="str">
        <f>IFERROR(SR_demand_forecast!T135*#REF!,"-")</f>
        <v>-</v>
      </c>
      <c r="U83" s="78" t="str">
        <f>IFERROR(SR_demand_forecast!U135*#REF!,"-")</f>
        <v>-</v>
      </c>
      <c r="V83" s="78" t="str">
        <f>IFERROR(SR_demand_forecast!V135*#REF!,"-")</f>
        <v>-</v>
      </c>
    </row>
    <row r="84" spans="1:22" x14ac:dyDescent="0.3">
      <c r="A84" s="511"/>
      <c r="B84" s="30" t="s">
        <v>45</v>
      </c>
      <c r="C84" s="78" t="str">
        <f>IFERROR(SR_demand_forecast!C136*#REF!,"-")</f>
        <v>-</v>
      </c>
      <c r="D84" s="78" t="str">
        <f>IFERROR(SR_demand_forecast!D136*#REF!,"-")</f>
        <v>-</v>
      </c>
      <c r="E84" s="78" t="str">
        <f>IFERROR(SR_demand_forecast!E136*#REF!,"-")</f>
        <v>-</v>
      </c>
      <c r="F84" s="78" t="str">
        <f>IFERROR(SR_demand_forecast!F136*#REF!,"-")</f>
        <v>-</v>
      </c>
      <c r="G84" s="78" t="str">
        <f>IFERROR(SR_demand_forecast!G136*#REF!,"-")</f>
        <v>-</v>
      </c>
      <c r="H84" s="78" t="str">
        <f>IFERROR(SR_demand_forecast!H136*#REF!,"-")</f>
        <v>-</v>
      </c>
      <c r="I84" s="78" t="str">
        <f>IFERROR(SR_demand_forecast!I136*#REF!,"-")</f>
        <v>-</v>
      </c>
      <c r="J84" s="78" t="str">
        <f>IFERROR(SR_demand_forecast!J136*#REF!,"-")</f>
        <v>-</v>
      </c>
      <c r="K84" s="78" t="str">
        <f>IFERROR(SR_demand_forecast!K136*#REF!,"-")</f>
        <v>-</v>
      </c>
      <c r="L84" s="78" t="str">
        <f>IFERROR(SR_demand_forecast!L136*#REF!,"-")</f>
        <v>-</v>
      </c>
      <c r="M84" s="78" t="str">
        <f>IFERROR(SR_demand_forecast!M136*#REF!,"-")</f>
        <v>-</v>
      </c>
      <c r="N84" s="78" t="str">
        <f>IFERROR(SR_demand_forecast!N136*#REF!,"-")</f>
        <v>-</v>
      </c>
      <c r="O84" s="78" t="str">
        <f>IFERROR(SR_demand_forecast!O136*#REF!,"-")</f>
        <v>-</v>
      </c>
      <c r="P84" s="78" t="str">
        <f>IFERROR(SR_demand_forecast!P136*#REF!,"-")</f>
        <v>-</v>
      </c>
      <c r="Q84" s="78" t="str">
        <f>IFERROR(SR_demand_forecast!Q136*#REF!,"-")</f>
        <v>-</v>
      </c>
      <c r="R84" s="78" t="str">
        <f>IFERROR(SR_demand_forecast!R136*#REF!,"-")</f>
        <v>-</v>
      </c>
      <c r="S84" s="78" t="str">
        <f>IFERROR(SR_demand_forecast!S136*#REF!,"-")</f>
        <v>-</v>
      </c>
      <c r="T84" s="78" t="str">
        <f>IFERROR(SR_demand_forecast!T136*#REF!,"-")</f>
        <v>-</v>
      </c>
      <c r="U84" s="78" t="str">
        <f>IFERROR(SR_demand_forecast!U136*#REF!,"-")</f>
        <v>-</v>
      </c>
      <c r="V84" s="78" t="str">
        <f>IFERROR(SR_demand_forecast!V136*#REF!,"-")</f>
        <v>-</v>
      </c>
    </row>
    <row r="85" spans="1:22" x14ac:dyDescent="0.3">
      <c r="A85" s="511"/>
      <c r="B85" s="30" t="s">
        <v>84</v>
      </c>
      <c r="C85" s="124">
        <f t="shared" ref="C85:V85" si="4">SUM(C77:C84)</f>
        <v>0</v>
      </c>
      <c r="D85" s="124">
        <f t="shared" si="4"/>
        <v>0</v>
      </c>
      <c r="E85" s="124">
        <f t="shared" si="4"/>
        <v>0</v>
      </c>
      <c r="F85" s="124">
        <f t="shared" si="4"/>
        <v>0</v>
      </c>
      <c r="G85" s="124">
        <f t="shared" si="4"/>
        <v>0</v>
      </c>
      <c r="H85" s="124">
        <f t="shared" si="4"/>
        <v>0</v>
      </c>
      <c r="I85" s="124">
        <f t="shared" si="4"/>
        <v>0</v>
      </c>
      <c r="J85" s="124">
        <f t="shared" si="4"/>
        <v>0</v>
      </c>
      <c r="K85" s="124">
        <f t="shared" si="4"/>
        <v>0</v>
      </c>
      <c r="L85" s="124">
        <f t="shared" si="4"/>
        <v>0</v>
      </c>
      <c r="M85" s="124">
        <f t="shared" si="4"/>
        <v>0</v>
      </c>
      <c r="N85" s="124">
        <f t="shared" si="4"/>
        <v>0</v>
      </c>
      <c r="O85" s="124">
        <f t="shared" si="4"/>
        <v>0</v>
      </c>
      <c r="P85" s="124">
        <f t="shared" si="4"/>
        <v>0</v>
      </c>
      <c r="Q85" s="124">
        <f t="shared" si="4"/>
        <v>0</v>
      </c>
      <c r="R85" s="124">
        <f t="shared" si="4"/>
        <v>0</v>
      </c>
      <c r="S85" s="124">
        <f t="shared" si="4"/>
        <v>0</v>
      </c>
      <c r="T85" s="124">
        <f t="shared" si="4"/>
        <v>0</v>
      </c>
      <c r="U85" s="124">
        <f t="shared" si="4"/>
        <v>0</v>
      </c>
      <c r="V85" s="124">
        <f t="shared" si="4"/>
        <v>0</v>
      </c>
    </row>
    <row r="86" spans="1:22" x14ac:dyDescent="0.3">
      <c r="A86" s="511"/>
    </row>
    <row r="87" spans="1:22" x14ac:dyDescent="0.3">
      <c r="A87" s="511"/>
    </row>
    <row r="88" spans="1:22" x14ac:dyDescent="0.3">
      <c r="A88" s="511"/>
    </row>
    <row r="89" spans="1:22" x14ac:dyDescent="0.3">
      <c r="A89" s="511"/>
    </row>
    <row r="90" spans="1:22" x14ac:dyDescent="0.3">
      <c r="A90" s="511"/>
    </row>
    <row r="91" spans="1:22" x14ac:dyDescent="0.3">
      <c r="A91" s="511"/>
    </row>
    <row r="92" spans="1:22" x14ac:dyDescent="0.3">
      <c r="A92" s="511"/>
    </row>
    <row r="93" spans="1:22" x14ac:dyDescent="0.3">
      <c r="A93" s="511"/>
      <c r="B93" s="32" t="s">
        <v>151</v>
      </c>
      <c r="L93" s="18"/>
      <c r="M93" s="18"/>
    </row>
    <row r="94" spans="1:22" x14ac:dyDescent="0.3">
      <c r="A94" s="511"/>
      <c r="B94" s="75" t="s">
        <v>82</v>
      </c>
      <c r="C94" s="75">
        <v>2021</v>
      </c>
      <c r="D94" s="76">
        <v>2022</v>
      </c>
      <c r="E94" s="75">
        <v>2023</v>
      </c>
      <c r="F94" s="76">
        <v>2024</v>
      </c>
      <c r="G94" s="75">
        <v>2025</v>
      </c>
      <c r="H94" s="76">
        <v>2026</v>
      </c>
      <c r="I94" s="75">
        <v>2027</v>
      </c>
      <c r="J94" s="76">
        <v>2028</v>
      </c>
      <c r="K94" s="75">
        <v>2029</v>
      </c>
      <c r="L94" s="76">
        <v>2030</v>
      </c>
      <c r="M94" s="75">
        <v>2031</v>
      </c>
      <c r="N94" s="76">
        <v>2032</v>
      </c>
      <c r="O94" s="75">
        <v>2033</v>
      </c>
      <c r="P94" s="76">
        <v>2034</v>
      </c>
      <c r="Q94" s="75">
        <v>2035</v>
      </c>
      <c r="R94" s="76">
        <v>2036</v>
      </c>
      <c r="S94" s="75">
        <v>2037</v>
      </c>
      <c r="T94" s="76">
        <v>2038</v>
      </c>
      <c r="U94" s="75">
        <v>2039</v>
      </c>
      <c r="V94" s="76">
        <v>2040</v>
      </c>
    </row>
    <row r="95" spans="1:22" x14ac:dyDescent="0.3">
      <c r="A95" s="511"/>
      <c r="B95" s="30" t="s">
        <v>43</v>
      </c>
      <c r="C95" s="78" t="str">
        <f>IFERROR(SR_demand_forecast!C202*#REF!,"-")</f>
        <v>-</v>
      </c>
      <c r="D95" s="78" t="str">
        <f>IFERROR(SR_demand_forecast!D202*#REF!,"-")</f>
        <v>-</v>
      </c>
      <c r="E95" s="78" t="str">
        <f>IFERROR(SR_demand_forecast!E202*#REF!,"-")</f>
        <v>-</v>
      </c>
      <c r="F95" s="78" t="str">
        <f>IFERROR(SR_demand_forecast!F202*#REF!,"-")</f>
        <v>-</v>
      </c>
      <c r="G95" s="78" t="str">
        <f>IFERROR(SR_demand_forecast!G202*#REF!,"-")</f>
        <v>-</v>
      </c>
      <c r="H95" s="78" t="str">
        <f>IFERROR(SR_demand_forecast!H202*#REF!,"-")</f>
        <v>-</v>
      </c>
      <c r="I95" s="78" t="str">
        <f>IFERROR(SR_demand_forecast!I202*#REF!,"-")</f>
        <v>-</v>
      </c>
      <c r="J95" s="78" t="str">
        <f>IFERROR(SR_demand_forecast!J202*#REF!,"-")</f>
        <v>-</v>
      </c>
      <c r="K95" s="78" t="str">
        <f>IFERROR(SR_demand_forecast!K202*#REF!,"-")</f>
        <v>-</v>
      </c>
      <c r="L95" s="78" t="str">
        <f>IFERROR(SR_demand_forecast!L202*#REF!,"-")</f>
        <v>-</v>
      </c>
      <c r="M95" s="78" t="str">
        <f>IFERROR(SR_demand_forecast!M202*#REF!,"-")</f>
        <v>-</v>
      </c>
      <c r="N95" s="78" t="str">
        <f>IFERROR(SR_demand_forecast!N202*#REF!,"-")</f>
        <v>-</v>
      </c>
      <c r="O95" s="78" t="str">
        <f>IFERROR(SR_demand_forecast!O202*#REF!,"-")</f>
        <v>-</v>
      </c>
      <c r="P95" s="78" t="str">
        <f>IFERROR(SR_demand_forecast!P202*#REF!,"-")</f>
        <v>-</v>
      </c>
      <c r="Q95" s="78" t="str">
        <f>IFERROR(SR_demand_forecast!Q202*#REF!,"-")</f>
        <v>-</v>
      </c>
      <c r="R95" s="78" t="str">
        <f>IFERROR(SR_demand_forecast!R202*#REF!,"-")</f>
        <v>-</v>
      </c>
      <c r="S95" s="78" t="str">
        <f>IFERROR(SR_demand_forecast!S202*#REF!,"-")</f>
        <v>-</v>
      </c>
      <c r="T95" s="78" t="str">
        <f>IFERROR(SR_demand_forecast!T202*#REF!,"-")</f>
        <v>-</v>
      </c>
      <c r="U95" s="78" t="str">
        <f>IFERROR(SR_demand_forecast!U202*#REF!,"-")</f>
        <v>-</v>
      </c>
      <c r="V95" s="78" t="str">
        <f>IFERROR(SR_demand_forecast!V202*#REF!,"-")</f>
        <v>-</v>
      </c>
    </row>
    <row r="96" spans="1:22" x14ac:dyDescent="0.3">
      <c r="A96" s="511"/>
      <c r="B96" s="30" t="s">
        <v>41</v>
      </c>
      <c r="C96" s="78" t="str">
        <f>IFERROR(SR_demand_forecast!C203*#REF!,"-")</f>
        <v>-</v>
      </c>
      <c r="D96" s="78" t="str">
        <f>IFERROR(SR_demand_forecast!D203*#REF!,"-")</f>
        <v>-</v>
      </c>
      <c r="E96" s="78" t="str">
        <f>IFERROR(SR_demand_forecast!E203*#REF!,"-")</f>
        <v>-</v>
      </c>
      <c r="F96" s="78" t="str">
        <f>IFERROR(SR_demand_forecast!F203*#REF!,"-")</f>
        <v>-</v>
      </c>
      <c r="G96" s="78" t="str">
        <f>IFERROR(SR_demand_forecast!G203*#REF!,"-")</f>
        <v>-</v>
      </c>
      <c r="H96" s="78" t="str">
        <f>IFERROR(SR_demand_forecast!H203*#REF!,"-")</f>
        <v>-</v>
      </c>
      <c r="I96" s="78" t="str">
        <f>IFERROR(SR_demand_forecast!I203*#REF!,"-")</f>
        <v>-</v>
      </c>
      <c r="J96" s="78" t="str">
        <f>IFERROR(SR_demand_forecast!J203*#REF!,"-")</f>
        <v>-</v>
      </c>
      <c r="K96" s="78" t="str">
        <f>IFERROR(SR_demand_forecast!K203*#REF!,"-")</f>
        <v>-</v>
      </c>
      <c r="L96" s="78" t="str">
        <f>IFERROR(SR_demand_forecast!L203*#REF!,"-")</f>
        <v>-</v>
      </c>
      <c r="M96" s="78" t="str">
        <f>IFERROR(SR_demand_forecast!M203*#REF!,"-")</f>
        <v>-</v>
      </c>
      <c r="N96" s="78" t="str">
        <f>IFERROR(SR_demand_forecast!N203*#REF!,"-")</f>
        <v>-</v>
      </c>
      <c r="O96" s="78" t="str">
        <f>IFERROR(SR_demand_forecast!O203*#REF!,"-")</f>
        <v>-</v>
      </c>
      <c r="P96" s="78" t="str">
        <f>IFERROR(SR_demand_forecast!P203*#REF!,"-")</f>
        <v>-</v>
      </c>
      <c r="Q96" s="78" t="str">
        <f>IFERROR(SR_demand_forecast!Q203*#REF!,"-")</f>
        <v>-</v>
      </c>
      <c r="R96" s="78" t="str">
        <f>IFERROR(SR_demand_forecast!R203*#REF!,"-")</f>
        <v>-</v>
      </c>
      <c r="S96" s="78" t="str">
        <f>IFERROR(SR_demand_forecast!S203*#REF!,"-")</f>
        <v>-</v>
      </c>
      <c r="T96" s="78" t="str">
        <f>IFERROR(SR_demand_forecast!T203*#REF!,"-")</f>
        <v>-</v>
      </c>
      <c r="U96" s="78" t="str">
        <f>IFERROR(SR_demand_forecast!U203*#REF!,"-")</f>
        <v>-</v>
      </c>
      <c r="V96" s="78" t="str">
        <f>IFERROR(SR_demand_forecast!V203*#REF!,"-")</f>
        <v>-</v>
      </c>
    </row>
    <row r="97" spans="1:22" x14ac:dyDescent="0.3">
      <c r="A97" s="511"/>
      <c r="B97" s="30" t="s">
        <v>40</v>
      </c>
      <c r="C97" s="78" t="str">
        <f>IFERROR(SR_demand_forecast!C204*#REF!,"-")</f>
        <v>-</v>
      </c>
      <c r="D97" s="78" t="str">
        <f>IFERROR(SR_demand_forecast!D204*#REF!,"-")</f>
        <v>-</v>
      </c>
      <c r="E97" s="78" t="str">
        <f>IFERROR(SR_demand_forecast!E204*#REF!,"-")</f>
        <v>-</v>
      </c>
      <c r="F97" s="78" t="str">
        <f>IFERROR(SR_demand_forecast!F204*#REF!,"-")</f>
        <v>-</v>
      </c>
      <c r="G97" s="78" t="str">
        <f>IFERROR(SR_demand_forecast!G204*#REF!,"-")</f>
        <v>-</v>
      </c>
      <c r="H97" s="78" t="str">
        <f>IFERROR(SR_demand_forecast!H204*#REF!,"-")</f>
        <v>-</v>
      </c>
      <c r="I97" s="78" t="str">
        <f>IFERROR(SR_demand_forecast!I204*#REF!,"-")</f>
        <v>-</v>
      </c>
      <c r="J97" s="78" t="str">
        <f>IFERROR(SR_demand_forecast!J204*#REF!,"-")</f>
        <v>-</v>
      </c>
      <c r="K97" s="78" t="str">
        <f>IFERROR(SR_demand_forecast!K204*#REF!,"-")</f>
        <v>-</v>
      </c>
      <c r="L97" s="78" t="str">
        <f>IFERROR(SR_demand_forecast!L204*#REF!,"-")</f>
        <v>-</v>
      </c>
      <c r="M97" s="78" t="str">
        <f>IFERROR(SR_demand_forecast!M204*#REF!,"-")</f>
        <v>-</v>
      </c>
      <c r="N97" s="78" t="str">
        <f>IFERROR(SR_demand_forecast!N204*#REF!,"-")</f>
        <v>-</v>
      </c>
      <c r="O97" s="78" t="str">
        <f>IFERROR(SR_demand_forecast!O204*#REF!,"-")</f>
        <v>-</v>
      </c>
      <c r="P97" s="78" t="str">
        <f>IFERROR(SR_demand_forecast!P204*#REF!,"-")</f>
        <v>-</v>
      </c>
      <c r="Q97" s="78" t="str">
        <f>IFERROR(SR_demand_forecast!Q204*#REF!,"-")</f>
        <v>-</v>
      </c>
      <c r="R97" s="78" t="str">
        <f>IFERROR(SR_demand_forecast!R204*#REF!,"-")</f>
        <v>-</v>
      </c>
      <c r="S97" s="78" t="str">
        <f>IFERROR(SR_demand_forecast!S204*#REF!,"-")</f>
        <v>-</v>
      </c>
      <c r="T97" s="78" t="str">
        <f>IFERROR(SR_demand_forecast!T204*#REF!,"-")</f>
        <v>-</v>
      </c>
      <c r="U97" s="78" t="str">
        <f>IFERROR(SR_demand_forecast!U204*#REF!,"-")</f>
        <v>-</v>
      </c>
      <c r="V97" s="78" t="str">
        <f>IFERROR(SR_demand_forecast!V204*#REF!,"-")</f>
        <v>-</v>
      </c>
    </row>
    <row r="98" spans="1:22" x14ac:dyDescent="0.3">
      <c r="A98" s="511"/>
      <c r="B98" s="30" t="s">
        <v>80</v>
      </c>
      <c r="C98" s="78" t="str">
        <f>IFERROR(SR_demand_forecast!C205*#REF!,"-")</f>
        <v>-</v>
      </c>
      <c r="D98" s="78" t="str">
        <f>IFERROR(SR_demand_forecast!D205*#REF!,"-")</f>
        <v>-</v>
      </c>
      <c r="E98" s="78" t="str">
        <f>IFERROR(SR_demand_forecast!E205*#REF!,"-")</f>
        <v>-</v>
      </c>
      <c r="F98" s="78" t="str">
        <f>IFERROR(SR_demand_forecast!F205*#REF!,"-")</f>
        <v>-</v>
      </c>
      <c r="G98" s="78" t="str">
        <f>IFERROR(SR_demand_forecast!G205*#REF!,"-")</f>
        <v>-</v>
      </c>
      <c r="H98" s="78" t="str">
        <f>IFERROR(SR_demand_forecast!H205*#REF!,"-")</f>
        <v>-</v>
      </c>
      <c r="I98" s="78" t="str">
        <f>IFERROR(SR_demand_forecast!I205*#REF!,"-")</f>
        <v>-</v>
      </c>
      <c r="J98" s="78" t="str">
        <f>IFERROR(SR_demand_forecast!J205*#REF!,"-")</f>
        <v>-</v>
      </c>
      <c r="K98" s="78" t="str">
        <f>IFERROR(SR_demand_forecast!K205*#REF!,"-")</f>
        <v>-</v>
      </c>
      <c r="L98" s="78" t="str">
        <f>IFERROR(SR_demand_forecast!L205*#REF!,"-")</f>
        <v>-</v>
      </c>
      <c r="M98" s="78" t="str">
        <f>IFERROR(SR_demand_forecast!M205*#REF!,"-")</f>
        <v>-</v>
      </c>
      <c r="N98" s="78" t="str">
        <f>IFERROR(SR_demand_forecast!N205*#REF!,"-")</f>
        <v>-</v>
      </c>
      <c r="O98" s="78" t="str">
        <f>IFERROR(SR_demand_forecast!O205*#REF!,"-")</f>
        <v>-</v>
      </c>
      <c r="P98" s="78" t="str">
        <f>IFERROR(SR_demand_forecast!P205*#REF!,"-")</f>
        <v>-</v>
      </c>
      <c r="Q98" s="78" t="str">
        <f>IFERROR(SR_demand_forecast!Q205*#REF!,"-")</f>
        <v>-</v>
      </c>
      <c r="R98" s="78" t="str">
        <f>IFERROR(SR_demand_forecast!R205*#REF!,"-")</f>
        <v>-</v>
      </c>
      <c r="S98" s="78" t="str">
        <f>IFERROR(SR_demand_forecast!S205*#REF!,"-")</f>
        <v>-</v>
      </c>
      <c r="T98" s="78" t="str">
        <f>IFERROR(SR_demand_forecast!T205*#REF!,"-")</f>
        <v>-</v>
      </c>
      <c r="U98" s="78" t="str">
        <f>IFERROR(SR_demand_forecast!U205*#REF!,"-")</f>
        <v>-</v>
      </c>
      <c r="V98" s="78" t="str">
        <f>IFERROR(SR_demand_forecast!V205*#REF!,"-")</f>
        <v>-</v>
      </c>
    </row>
    <row r="99" spans="1:22" x14ac:dyDescent="0.3">
      <c r="A99" s="511"/>
      <c r="B99" s="30" t="s">
        <v>44</v>
      </c>
      <c r="C99" s="78" t="str">
        <f>IFERROR(SR_demand_forecast!C206*#REF!,"-")</f>
        <v>-</v>
      </c>
      <c r="D99" s="78" t="str">
        <f>IFERROR(SR_demand_forecast!D206*#REF!,"-")</f>
        <v>-</v>
      </c>
      <c r="E99" s="78" t="str">
        <f>IFERROR(SR_demand_forecast!E206*#REF!,"-")</f>
        <v>-</v>
      </c>
      <c r="F99" s="78" t="str">
        <f>IFERROR(SR_demand_forecast!F206*#REF!,"-")</f>
        <v>-</v>
      </c>
      <c r="G99" s="78" t="str">
        <f>IFERROR(SR_demand_forecast!G206*#REF!,"-")</f>
        <v>-</v>
      </c>
      <c r="H99" s="78" t="str">
        <f>IFERROR(SR_demand_forecast!H206*#REF!,"-")</f>
        <v>-</v>
      </c>
      <c r="I99" s="78" t="str">
        <f>IFERROR(SR_demand_forecast!I206*#REF!,"-")</f>
        <v>-</v>
      </c>
      <c r="J99" s="78" t="str">
        <f>IFERROR(SR_demand_forecast!J206*#REF!,"-")</f>
        <v>-</v>
      </c>
      <c r="K99" s="78" t="str">
        <f>IFERROR(SR_demand_forecast!K206*#REF!,"-")</f>
        <v>-</v>
      </c>
      <c r="L99" s="78" t="str">
        <f>IFERROR(SR_demand_forecast!L206*#REF!,"-")</f>
        <v>-</v>
      </c>
      <c r="M99" s="78" t="str">
        <f>IFERROR(SR_demand_forecast!M206*#REF!,"-")</f>
        <v>-</v>
      </c>
      <c r="N99" s="78" t="str">
        <f>IFERROR(SR_demand_forecast!N206*#REF!,"-")</f>
        <v>-</v>
      </c>
      <c r="O99" s="78" t="str">
        <f>IFERROR(SR_demand_forecast!O206*#REF!,"-")</f>
        <v>-</v>
      </c>
      <c r="P99" s="78" t="str">
        <f>IFERROR(SR_demand_forecast!P206*#REF!,"-")</f>
        <v>-</v>
      </c>
      <c r="Q99" s="78" t="str">
        <f>IFERROR(SR_demand_forecast!Q206*#REF!,"-")</f>
        <v>-</v>
      </c>
      <c r="R99" s="78" t="str">
        <f>IFERROR(SR_demand_forecast!R206*#REF!,"-")</f>
        <v>-</v>
      </c>
      <c r="S99" s="78" t="str">
        <f>IFERROR(SR_demand_forecast!S206*#REF!,"-")</f>
        <v>-</v>
      </c>
      <c r="T99" s="78" t="str">
        <f>IFERROR(SR_demand_forecast!T206*#REF!,"-")</f>
        <v>-</v>
      </c>
      <c r="U99" s="78" t="str">
        <f>IFERROR(SR_demand_forecast!U206*#REF!,"-")</f>
        <v>-</v>
      </c>
      <c r="V99" s="78" t="str">
        <f>IFERROR(SR_demand_forecast!V206*#REF!,"-")</f>
        <v>-</v>
      </c>
    </row>
    <row r="100" spans="1:22" x14ac:dyDescent="0.3">
      <c r="A100" s="511"/>
      <c r="B100" s="30" t="s">
        <v>81</v>
      </c>
      <c r="C100" s="78" t="str">
        <f>IFERROR(SR_demand_forecast!C207*#REF!,"-")</f>
        <v>-</v>
      </c>
      <c r="D100" s="78" t="str">
        <f>IFERROR(SR_demand_forecast!D207*#REF!,"-")</f>
        <v>-</v>
      </c>
      <c r="E100" s="78" t="str">
        <f>IFERROR(SR_demand_forecast!E207*#REF!,"-")</f>
        <v>-</v>
      </c>
      <c r="F100" s="78" t="str">
        <f>IFERROR(SR_demand_forecast!F207*#REF!,"-")</f>
        <v>-</v>
      </c>
      <c r="G100" s="78" t="str">
        <f>IFERROR(SR_demand_forecast!G207*#REF!,"-")</f>
        <v>-</v>
      </c>
      <c r="H100" s="78" t="str">
        <f>IFERROR(SR_demand_forecast!H207*#REF!,"-")</f>
        <v>-</v>
      </c>
      <c r="I100" s="78" t="str">
        <f>IFERROR(SR_demand_forecast!I207*#REF!,"-")</f>
        <v>-</v>
      </c>
      <c r="J100" s="78" t="str">
        <f>IFERROR(SR_demand_forecast!J207*#REF!,"-")</f>
        <v>-</v>
      </c>
      <c r="K100" s="78" t="str">
        <f>IFERROR(SR_demand_forecast!K207*#REF!,"-")</f>
        <v>-</v>
      </c>
      <c r="L100" s="78" t="str">
        <f>IFERROR(SR_demand_forecast!L207*#REF!,"-")</f>
        <v>-</v>
      </c>
      <c r="M100" s="78" t="str">
        <f>IFERROR(SR_demand_forecast!M207*#REF!,"-")</f>
        <v>-</v>
      </c>
      <c r="N100" s="78" t="str">
        <f>IFERROR(SR_demand_forecast!N207*#REF!,"-")</f>
        <v>-</v>
      </c>
      <c r="O100" s="78" t="str">
        <f>IFERROR(SR_demand_forecast!O207*#REF!,"-")</f>
        <v>-</v>
      </c>
      <c r="P100" s="78" t="str">
        <f>IFERROR(SR_demand_forecast!P207*#REF!,"-")</f>
        <v>-</v>
      </c>
      <c r="Q100" s="78" t="str">
        <f>IFERROR(SR_demand_forecast!Q207*#REF!,"-")</f>
        <v>-</v>
      </c>
      <c r="R100" s="78" t="str">
        <f>IFERROR(SR_demand_forecast!R207*#REF!,"-")</f>
        <v>-</v>
      </c>
      <c r="S100" s="78" t="str">
        <f>IFERROR(SR_demand_forecast!S207*#REF!,"-")</f>
        <v>-</v>
      </c>
      <c r="T100" s="78" t="str">
        <f>IFERROR(SR_demand_forecast!T207*#REF!,"-")</f>
        <v>-</v>
      </c>
      <c r="U100" s="78" t="str">
        <f>IFERROR(SR_demand_forecast!U207*#REF!,"-")</f>
        <v>-</v>
      </c>
      <c r="V100" s="78" t="str">
        <f>IFERROR(SR_demand_forecast!V207*#REF!,"-")</f>
        <v>-</v>
      </c>
    </row>
    <row r="101" spans="1:22" x14ac:dyDescent="0.3">
      <c r="A101" s="511"/>
      <c r="B101" s="30" t="s">
        <v>42</v>
      </c>
      <c r="C101" s="78" t="str">
        <f>IFERROR(SR_demand_forecast!C208*#REF!,"-")</f>
        <v>-</v>
      </c>
      <c r="D101" s="78" t="str">
        <f>IFERROR(SR_demand_forecast!D208*#REF!,"-")</f>
        <v>-</v>
      </c>
      <c r="E101" s="78" t="str">
        <f>IFERROR(SR_demand_forecast!E208*#REF!,"-")</f>
        <v>-</v>
      </c>
      <c r="F101" s="78" t="str">
        <f>IFERROR(SR_demand_forecast!F208*#REF!,"-")</f>
        <v>-</v>
      </c>
      <c r="G101" s="78" t="str">
        <f>IFERROR(SR_demand_forecast!G208*#REF!,"-")</f>
        <v>-</v>
      </c>
      <c r="H101" s="78" t="str">
        <f>IFERROR(SR_demand_forecast!H208*#REF!,"-")</f>
        <v>-</v>
      </c>
      <c r="I101" s="78" t="str">
        <f>IFERROR(SR_demand_forecast!I208*#REF!,"-")</f>
        <v>-</v>
      </c>
      <c r="J101" s="78" t="str">
        <f>IFERROR(SR_demand_forecast!J208*#REF!,"-")</f>
        <v>-</v>
      </c>
      <c r="K101" s="78" t="str">
        <f>IFERROR(SR_demand_forecast!K208*#REF!,"-")</f>
        <v>-</v>
      </c>
      <c r="L101" s="78" t="str">
        <f>IFERROR(SR_demand_forecast!L208*#REF!,"-")</f>
        <v>-</v>
      </c>
      <c r="M101" s="78" t="str">
        <f>IFERROR(SR_demand_forecast!M208*#REF!,"-")</f>
        <v>-</v>
      </c>
      <c r="N101" s="78" t="str">
        <f>IFERROR(SR_demand_forecast!N208*#REF!,"-")</f>
        <v>-</v>
      </c>
      <c r="O101" s="78" t="str">
        <f>IFERROR(SR_demand_forecast!O208*#REF!,"-")</f>
        <v>-</v>
      </c>
      <c r="P101" s="78" t="str">
        <f>IFERROR(SR_demand_forecast!P208*#REF!,"-")</f>
        <v>-</v>
      </c>
      <c r="Q101" s="78" t="str">
        <f>IFERROR(SR_demand_forecast!Q208*#REF!,"-")</f>
        <v>-</v>
      </c>
      <c r="R101" s="78" t="str">
        <f>IFERROR(SR_demand_forecast!R208*#REF!,"-")</f>
        <v>-</v>
      </c>
      <c r="S101" s="78" t="str">
        <f>IFERROR(SR_demand_forecast!S208*#REF!,"-")</f>
        <v>-</v>
      </c>
      <c r="T101" s="78" t="str">
        <f>IFERROR(SR_demand_forecast!T208*#REF!,"-")</f>
        <v>-</v>
      </c>
      <c r="U101" s="78" t="str">
        <f>IFERROR(SR_demand_forecast!U208*#REF!,"-")</f>
        <v>-</v>
      </c>
      <c r="V101" s="78" t="str">
        <f>IFERROR(SR_demand_forecast!V208*#REF!,"-")</f>
        <v>-</v>
      </c>
    </row>
    <row r="102" spans="1:22" x14ac:dyDescent="0.3">
      <c r="A102" s="511"/>
      <c r="B102" s="30" t="s">
        <v>45</v>
      </c>
      <c r="C102" s="78" t="str">
        <f>IFERROR(SR_demand_forecast!C209*#REF!,"-")</f>
        <v>-</v>
      </c>
      <c r="D102" s="78" t="str">
        <f>IFERROR(SR_demand_forecast!D209*#REF!,"-")</f>
        <v>-</v>
      </c>
      <c r="E102" s="78" t="str">
        <f>IFERROR(SR_demand_forecast!E209*#REF!,"-")</f>
        <v>-</v>
      </c>
      <c r="F102" s="78" t="str">
        <f>IFERROR(SR_demand_forecast!F209*#REF!,"-")</f>
        <v>-</v>
      </c>
      <c r="G102" s="78" t="str">
        <f>IFERROR(SR_demand_forecast!G209*#REF!,"-")</f>
        <v>-</v>
      </c>
      <c r="H102" s="78" t="str">
        <f>IFERROR(SR_demand_forecast!H209*#REF!,"-")</f>
        <v>-</v>
      </c>
      <c r="I102" s="78" t="str">
        <f>IFERROR(SR_demand_forecast!I209*#REF!,"-")</f>
        <v>-</v>
      </c>
      <c r="J102" s="78" t="str">
        <f>IFERROR(SR_demand_forecast!J209*#REF!,"-")</f>
        <v>-</v>
      </c>
      <c r="K102" s="78" t="str">
        <f>IFERROR(SR_demand_forecast!K209*#REF!,"-")</f>
        <v>-</v>
      </c>
      <c r="L102" s="78" t="str">
        <f>IFERROR(SR_demand_forecast!L209*#REF!,"-")</f>
        <v>-</v>
      </c>
      <c r="M102" s="78" t="str">
        <f>IFERROR(SR_demand_forecast!M209*#REF!,"-")</f>
        <v>-</v>
      </c>
      <c r="N102" s="78" t="str">
        <f>IFERROR(SR_demand_forecast!N209*#REF!,"-")</f>
        <v>-</v>
      </c>
      <c r="O102" s="78" t="str">
        <f>IFERROR(SR_demand_forecast!O209*#REF!,"-")</f>
        <v>-</v>
      </c>
      <c r="P102" s="78" t="str">
        <f>IFERROR(SR_demand_forecast!P209*#REF!,"-")</f>
        <v>-</v>
      </c>
      <c r="Q102" s="78" t="str">
        <f>IFERROR(SR_demand_forecast!Q209*#REF!,"-")</f>
        <v>-</v>
      </c>
      <c r="R102" s="78" t="str">
        <f>IFERROR(SR_demand_forecast!R209*#REF!,"-")</f>
        <v>-</v>
      </c>
      <c r="S102" s="78" t="str">
        <f>IFERROR(SR_demand_forecast!S209*#REF!,"-")</f>
        <v>-</v>
      </c>
      <c r="T102" s="78" t="str">
        <f>IFERROR(SR_demand_forecast!T209*#REF!,"-")</f>
        <v>-</v>
      </c>
      <c r="U102" s="78" t="str">
        <f>IFERROR(SR_demand_forecast!U209*#REF!,"-")</f>
        <v>-</v>
      </c>
      <c r="V102" s="78" t="str">
        <f>IFERROR(SR_demand_forecast!V209*#REF!,"-")</f>
        <v>-</v>
      </c>
    </row>
    <row r="103" spans="1:22" x14ac:dyDescent="0.3">
      <c r="A103" s="511"/>
      <c r="B103" s="30" t="s">
        <v>84</v>
      </c>
      <c r="C103" s="124">
        <f t="shared" ref="C103:V103" si="5">SUM(C95:C102)</f>
        <v>0</v>
      </c>
      <c r="D103" s="124">
        <f t="shared" si="5"/>
        <v>0</v>
      </c>
      <c r="E103" s="124">
        <f t="shared" si="5"/>
        <v>0</v>
      </c>
      <c r="F103" s="124">
        <f t="shared" si="5"/>
        <v>0</v>
      </c>
      <c r="G103" s="124">
        <f t="shared" si="5"/>
        <v>0</v>
      </c>
      <c r="H103" s="124">
        <f t="shared" si="5"/>
        <v>0</v>
      </c>
      <c r="I103" s="124">
        <f t="shared" si="5"/>
        <v>0</v>
      </c>
      <c r="J103" s="124">
        <f t="shared" si="5"/>
        <v>0</v>
      </c>
      <c r="K103" s="124">
        <f t="shared" si="5"/>
        <v>0</v>
      </c>
      <c r="L103" s="124">
        <f t="shared" si="5"/>
        <v>0</v>
      </c>
      <c r="M103" s="124">
        <f t="shared" si="5"/>
        <v>0</v>
      </c>
      <c r="N103" s="124">
        <f t="shared" si="5"/>
        <v>0</v>
      </c>
      <c r="O103" s="124">
        <f t="shared" si="5"/>
        <v>0</v>
      </c>
      <c r="P103" s="124">
        <f t="shared" si="5"/>
        <v>0</v>
      </c>
      <c r="Q103" s="124">
        <f t="shared" si="5"/>
        <v>0</v>
      </c>
      <c r="R103" s="124">
        <f t="shared" si="5"/>
        <v>0</v>
      </c>
      <c r="S103" s="124">
        <f t="shared" si="5"/>
        <v>0</v>
      </c>
      <c r="T103" s="124">
        <f t="shared" si="5"/>
        <v>0</v>
      </c>
      <c r="U103" s="124">
        <f t="shared" si="5"/>
        <v>0</v>
      </c>
      <c r="V103" s="124">
        <f t="shared" si="5"/>
        <v>0</v>
      </c>
    </row>
    <row r="104" spans="1:22" x14ac:dyDescent="0.3">
      <c r="A104" s="511"/>
    </row>
    <row r="105" spans="1:22" x14ac:dyDescent="0.3">
      <c r="A105" s="511"/>
    </row>
    <row r="106" spans="1:22" x14ac:dyDescent="0.3">
      <c r="A106" s="511"/>
    </row>
    <row r="107" spans="1:22" x14ac:dyDescent="0.3">
      <c r="A107" s="511"/>
    </row>
    <row r="108" spans="1:22" x14ac:dyDescent="0.3">
      <c r="A108" s="511"/>
    </row>
    <row r="109" spans="1:22" x14ac:dyDescent="0.3">
      <c r="A109" s="511"/>
    </row>
    <row r="110" spans="1:22" x14ac:dyDescent="0.3">
      <c r="A110" s="511"/>
    </row>
    <row r="111" spans="1:22" x14ac:dyDescent="0.3">
      <c r="A111" s="511"/>
    </row>
    <row r="112" spans="1:22" x14ac:dyDescent="0.3">
      <c r="A112" s="511"/>
    </row>
    <row r="113" spans="1:22" x14ac:dyDescent="0.3">
      <c r="A113" s="510">
        <v>0.6</v>
      </c>
      <c r="B113" s="32" t="s">
        <v>149</v>
      </c>
      <c r="L113" s="18"/>
      <c r="M113" s="18"/>
    </row>
    <row r="114" spans="1:22" x14ac:dyDescent="0.3">
      <c r="A114" s="511"/>
      <c r="B114" s="75" t="s">
        <v>82</v>
      </c>
      <c r="C114" s="75">
        <v>2021</v>
      </c>
      <c r="D114" s="76">
        <v>2022</v>
      </c>
      <c r="E114" s="75">
        <v>2023</v>
      </c>
      <c r="F114" s="76">
        <v>2024</v>
      </c>
      <c r="G114" s="75">
        <v>2025</v>
      </c>
      <c r="H114" s="76">
        <v>2026</v>
      </c>
      <c r="I114" s="75">
        <v>2027</v>
      </c>
      <c r="J114" s="76">
        <v>2028</v>
      </c>
      <c r="K114" s="75">
        <v>2029</v>
      </c>
      <c r="L114" s="76">
        <v>2030</v>
      </c>
      <c r="M114" s="75">
        <v>2031</v>
      </c>
      <c r="N114" s="76">
        <v>2032</v>
      </c>
      <c r="O114" s="75">
        <v>2033</v>
      </c>
      <c r="P114" s="76">
        <v>2034</v>
      </c>
      <c r="Q114" s="75">
        <v>2035</v>
      </c>
      <c r="R114" s="76">
        <v>2036</v>
      </c>
      <c r="S114" s="75">
        <v>2037</v>
      </c>
      <c r="T114" s="76">
        <v>2038</v>
      </c>
      <c r="U114" s="75">
        <v>2039</v>
      </c>
      <c r="V114" s="76">
        <v>2040</v>
      </c>
    </row>
    <row r="115" spans="1:22" x14ac:dyDescent="0.3">
      <c r="A115" s="511"/>
      <c r="B115" s="30" t="s">
        <v>43</v>
      </c>
      <c r="C115" s="78" t="str">
        <f>IFERROR(SR_demand_forecast!C56*#REF!,"-")</f>
        <v>-</v>
      </c>
      <c r="D115" s="78" t="str">
        <f>IFERROR(SR_demand_forecast!D56*#REF!,"-")</f>
        <v>-</v>
      </c>
      <c r="E115" s="78" t="str">
        <f>IFERROR(SR_demand_forecast!E56*#REF!,"-")</f>
        <v>-</v>
      </c>
      <c r="F115" s="78" t="str">
        <f>IFERROR(SR_demand_forecast!F56*#REF!,"-")</f>
        <v>-</v>
      </c>
      <c r="G115" s="78" t="str">
        <f>IFERROR(SR_demand_forecast!G56*#REF!,"-")</f>
        <v>-</v>
      </c>
      <c r="H115" s="78" t="str">
        <f>IFERROR(SR_demand_forecast!H56*#REF!,"-")</f>
        <v>-</v>
      </c>
      <c r="I115" s="78" t="str">
        <f>IFERROR(SR_demand_forecast!I56*#REF!,"-")</f>
        <v>-</v>
      </c>
      <c r="J115" s="78" t="str">
        <f>IFERROR(SR_demand_forecast!J56*#REF!,"-")</f>
        <v>-</v>
      </c>
      <c r="K115" s="78" t="str">
        <f>IFERROR(SR_demand_forecast!K56*#REF!,"-")</f>
        <v>-</v>
      </c>
      <c r="L115" s="78" t="str">
        <f>IFERROR(SR_demand_forecast!L56*#REF!,"-")</f>
        <v>-</v>
      </c>
      <c r="M115" s="78" t="str">
        <f>IFERROR(SR_demand_forecast!M56*#REF!,"-")</f>
        <v>-</v>
      </c>
      <c r="N115" s="78" t="str">
        <f>IFERROR(SR_demand_forecast!N56*#REF!,"-")</f>
        <v>-</v>
      </c>
      <c r="O115" s="78" t="str">
        <f>IFERROR(SR_demand_forecast!O56*#REF!,"-")</f>
        <v>-</v>
      </c>
      <c r="P115" s="78" t="str">
        <f>IFERROR(SR_demand_forecast!P56*#REF!,"-")</f>
        <v>-</v>
      </c>
      <c r="Q115" s="78" t="str">
        <f>IFERROR(SR_demand_forecast!Q56*#REF!,"-")</f>
        <v>-</v>
      </c>
      <c r="R115" s="78" t="str">
        <f>IFERROR(SR_demand_forecast!R56*#REF!,"-")</f>
        <v>-</v>
      </c>
      <c r="S115" s="78" t="str">
        <f>IFERROR(SR_demand_forecast!S56*#REF!,"-")</f>
        <v>-</v>
      </c>
      <c r="T115" s="78" t="str">
        <f>IFERROR(SR_demand_forecast!T56*#REF!,"-")</f>
        <v>-</v>
      </c>
      <c r="U115" s="78" t="str">
        <f>IFERROR(SR_demand_forecast!U56*#REF!,"-")</f>
        <v>-</v>
      </c>
      <c r="V115" s="78" t="str">
        <f>IFERROR(SR_demand_forecast!V56*#REF!,"-")</f>
        <v>-</v>
      </c>
    </row>
    <row r="116" spans="1:22" x14ac:dyDescent="0.3">
      <c r="A116" s="511"/>
      <c r="B116" s="30" t="s">
        <v>41</v>
      </c>
      <c r="C116" s="78" t="str">
        <f>IFERROR(SR_demand_forecast!C57*#REF!,"-")</f>
        <v>-</v>
      </c>
      <c r="D116" s="78" t="str">
        <f>IFERROR(SR_demand_forecast!D57*#REF!,"-")</f>
        <v>-</v>
      </c>
      <c r="E116" s="78" t="str">
        <f>IFERROR(SR_demand_forecast!E57*#REF!,"-")</f>
        <v>-</v>
      </c>
      <c r="F116" s="78" t="str">
        <f>IFERROR(SR_demand_forecast!F57*#REF!,"-")</f>
        <v>-</v>
      </c>
      <c r="G116" s="78" t="str">
        <f>IFERROR(SR_demand_forecast!G57*#REF!,"-")</f>
        <v>-</v>
      </c>
      <c r="H116" s="78" t="str">
        <f>IFERROR(SR_demand_forecast!H57*#REF!,"-")</f>
        <v>-</v>
      </c>
      <c r="I116" s="78" t="str">
        <f>IFERROR(SR_demand_forecast!I57*#REF!,"-")</f>
        <v>-</v>
      </c>
      <c r="J116" s="78" t="str">
        <f>IFERROR(SR_demand_forecast!J57*#REF!,"-")</f>
        <v>-</v>
      </c>
      <c r="K116" s="78" t="str">
        <f>IFERROR(SR_demand_forecast!K57*#REF!,"-")</f>
        <v>-</v>
      </c>
      <c r="L116" s="78" t="str">
        <f>IFERROR(SR_demand_forecast!L57*#REF!,"-")</f>
        <v>-</v>
      </c>
      <c r="M116" s="78" t="str">
        <f>IFERROR(SR_demand_forecast!M57*#REF!,"-")</f>
        <v>-</v>
      </c>
      <c r="N116" s="78" t="str">
        <f>IFERROR(SR_demand_forecast!N57*#REF!,"-")</f>
        <v>-</v>
      </c>
      <c r="O116" s="78" t="str">
        <f>IFERROR(SR_demand_forecast!O57*#REF!,"-")</f>
        <v>-</v>
      </c>
      <c r="P116" s="78" t="str">
        <f>IFERROR(SR_demand_forecast!P57*#REF!,"-")</f>
        <v>-</v>
      </c>
      <c r="Q116" s="78" t="str">
        <f>IFERROR(SR_demand_forecast!Q57*#REF!,"-")</f>
        <v>-</v>
      </c>
      <c r="R116" s="78" t="str">
        <f>IFERROR(SR_demand_forecast!R57*#REF!,"-")</f>
        <v>-</v>
      </c>
      <c r="S116" s="78" t="str">
        <f>IFERROR(SR_demand_forecast!S57*#REF!,"-")</f>
        <v>-</v>
      </c>
      <c r="T116" s="78" t="str">
        <f>IFERROR(SR_demand_forecast!T57*#REF!,"-")</f>
        <v>-</v>
      </c>
      <c r="U116" s="78" t="str">
        <f>IFERROR(SR_demand_forecast!U57*#REF!,"-")</f>
        <v>-</v>
      </c>
      <c r="V116" s="78" t="str">
        <f>IFERROR(SR_demand_forecast!V57*#REF!,"-")</f>
        <v>-</v>
      </c>
    </row>
    <row r="117" spans="1:22" x14ac:dyDescent="0.3">
      <c r="A117" s="511"/>
      <c r="B117" s="30" t="s">
        <v>40</v>
      </c>
      <c r="C117" s="78" t="str">
        <f>IFERROR(SR_demand_forecast!C58*#REF!,"-")</f>
        <v>-</v>
      </c>
      <c r="D117" s="78" t="str">
        <f>IFERROR(SR_demand_forecast!D58*#REF!,"-")</f>
        <v>-</v>
      </c>
      <c r="E117" s="78" t="str">
        <f>IFERROR(SR_demand_forecast!E58*#REF!,"-")</f>
        <v>-</v>
      </c>
      <c r="F117" s="78" t="str">
        <f>IFERROR(SR_demand_forecast!F58*#REF!,"-")</f>
        <v>-</v>
      </c>
      <c r="G117" s="78" t="str">
        <f>IFERROR(SR_demand_forecast!G58*#REF!,"-")</f>
        <v>-</v>
      </c>
      <c r="H117" s="78" t="str">
        <f>IFERROR(SR_demand_forecast!H58*#REF!,"-")</f>
        <v>-</v>
      </c>
      <c r="I117" s="78" t="str">
        <f>IFERROR(SR_demand_forecast!I58*#REF!,"-")</f>
        <v>-</v>
      </c>
      <c r="J117" s="78" t="str">
        <f>IFERROR(SR_demand_forecast!J58*#REF!,"-")</f>
        <v>-</v>
      </c>
      <c r="K117" s="78" t="str">
        <f>IFERROR(SR_demand_forecast!K58*#REF!,"-")</f>
        <v>-</v>
      </c>
      <c r="L117" s="78" t="str">
        <f>IFERROR(SR_demand_forecast!L58*#REF!,"-")</f>
        <v>-</v>
      </c>
      <c r="M117" s="78" t="str">
        <f>IFERROR(SR_demand_forecast!M58*#REF!,"-")</f>
        <v>-</v>
      </c>
      <c r="N117" s="78" t="str">
        <f>IFERROR(SR_demand_forecast!N58*#REF!,"-")</f>
        <v>-</v>
      </c>
      <c r="O117" s="78" t="str">
        <f>IFERROR(SR_demand_forecast!O58*#REF!,"-")</f>
        <v>-</v>
      </c>
      <c r="P117" s="78" t="str">
        <f>IFERROR(SR_demand_forecast!P58*#REF!,"-")</f>
        <v>-</v>
      </c>
      <c r="Q117" s="78" t="str">
        <f>IFERROR(SR_demand_forecast!Q58*#REF!,"-")</f>
        <v>-</v>
      </c>
      <c r="R117" s="78" t="str">
        <f>IFERROR(SR_demand_forecast!R58*#REF!,"-")</f>
        <v>-</v>
      </c>
      <c r="S117" s="78" t="str">
        <f>IFERROR(SR_demand_forecast!S58*#REF!,"-")</f>
        <v>-</v>
      </c>
      <c r="T117" s="78" t="str">
        <f>IFERROR(SR_demand_forecast!T58*#REF!,"-")</f>
        <v>-</v>
      </c>
      <c r="U117" s="78" t="str">
        <f>IFERROR(SR_demand_forecast!U58*#REF!,"-")</f>
        <v>-</v>
      </c>
      <c r="V117" s="78" t="str">
        <f>IFERROR(SR_demand_forecast!V58*#REF!,"-")</f>
        <v>-</v>
      </c>
    </row>
    <row r="118" spans="1:22" x14ac:dyDescent="0.3">
      <c r="A118" s="511"/>
      <c r="B118" s="30" t="s">
        <v>80</v>
      </c>
      <c r="C118" s="78" t="str">
        <f>IFERROR(SR_demand_forecast!C59*#REF!,"-")</f>
        <v>-</v>
      </c>
      <c r="D118" s="78" t="str">
        <f>IFERROR(SR_demand_forecast!D59*#REF!,"-")</f>
        <v>-</v>
      </c>
      <c r="E118" s="78" t="str">
        <f>IFERROR(SR_demand_forecast!E59*#REF!,"-")</f>
        <v>-</v>
      </c>
      <c r="F118" s="78" t="str">
        <f>IFERROR(SR_demand_forecast!F59*#REF!,"-")</f>
        <v>-</v>
      </c>
      <c r="G118" s="78" t="str">
        <f>IFERROR(SR_demand_forecast!G59*#REF!,"-")</f>
        <v>-</v>
      </c>
      <c r="H118" s="78" t="str">
        <f>IFERROR(SR_demand_forecast!H59*#REF!,"-")</f>
        <v>-</v>
      </c>
      <c r="I118" s="78" t="str">
        <f>IFERROR(SR_demand_forecast!I59*#REF!,"-")</f>
        <v>-</v>
      </c>
      <c r="J118" s="78" t="str">
        <f>IFERROR(SR_demand_forecast!J59*#REF!,"-")</f>
        <v>-</v>
      </c>
      <c r="K118" s="78" t="str">
        <f>IFERROR(SR_demand_forecast!K59*#REF!,"-")</f>
        <v>-</v>
      </c>
      <c r="L118" s="78" t="str">
        <f>IFERROR(SR_demand_forecast!L59*#REF!,"-")</f>
        <v>-</v>
      </c>
      <c r="M118" s="78" t="str">
        <f>IFERROR(SR_demand_forecast!M59*#REF!,"-")</f>
        <v>-</v>
      </c>
      <c r="N118" s="78" t="str">
        <f>IFERROR(SR_demand_forecast!N59*#REF!,"-")</f>
        <v>-</v>
      </c>
      <c r="O118" s="78" t="str">
        <f>IFERROR(SR_demand_forecast!O59*#REF!,"-")</f>
        <v>-</v>
      </c>
      <c r="P118" s="78" t="str">
        <f>IFERROR(SR_demand_forecast!P59*#REF!,"-")</f>
        <v>-</v>
      </c>
      <c r="Q118" s="78" t="str">
        <f>IFERROR(SR_demand_forecast!Q59*#REF!,"-")</f>
        <v>-</v>
      </c>
      <c r="R118" s="78" t="str">
        <f>IFERROR(SR_demand_forecast!R59*#REF!,"-")</f>
        <v>-</v>
      </c>
      <c r="S118" s="78" t="str">
        <f>IFERROR(SR_demand_forecast!S59*#REF!,"-")</f>
        <v>-</v>
      </c>
      <c r="T118" s="78" t="str">
        <f>IFERROR(SR_demand_forecast!T59*#REF!,"-")</f>
        <v>-</v>
      </c>
      <c r="U118" s="78" t="str">
        <f>IFERROR(SR_demand_forecast!U59*#REF!,"-")</f>
        <v>-</v>
      </c>
      <c r="V118" s="78" t="str">
        <f>IFERROR(SR_demand_forecast!V59*#REF!,"-")</f>
        <v>-</v>
      </c>
    </row>
    <row r="119" spans="1:22" x14ac:dyDescent="0.3">
      <c r="A119" s="511"/>
      <c r="B119" s="30" t="s">
        <v>44</v>
      </c>
      <c r="C119" s="78" t="str">
        <f>IFERROR(SR_demand_forecast!C60*#REF!,"-")</f>
        <v>-</v>
      </c>
      <c r="D119" s="78" t="str">
        <f>IFERROR(SR_demand_forecast!D60*#REF!,"-")</f>
        <v>-</v>
      </c>
      <c r="E119" s="78" t="str">
        <f>IFERROR(SR_demand_forecast!E60*#REF!,"-")</f>
        <v>-</v>
      </c>
      <c r="F119" s="78" t="str">
        <f>IFERROR(SR_demand_forecast!F60*#REF!,"-")</f>
        <v>-</v>
      </c>
      <c r="G119" s="78" t="str">
        <f>IFERROR(SR_demand_forecast!G60*#REF!,"-")</f>
        <v>-</v>
      </c>
      <c r="H119" s="78" t="str">
        <f>IFERROR(SR_demand_forecast!H60*#REF!,"-")</f>
        <v>-</v>
      </c>
      <c r="I119" s="78" t="str">
        <f>IFERROR(SR_demand_forecast!I60*#REF!,"-")</f>
        <v>-</v>
      </c>
      <c r="J119" s="78" t="str">
        <f>IFERROR(SR_demand_forecast!J60*#REF!,"-")</f>
        <v>-</v>
      </c>
      <c r="K119" s="78" t="str">
        <f>IFERROR(SR_demand_forecast!K60*#REF!,"-")</f>
        <v>-</v>
      </c>
      <c r="L119" s="78" t="str">
        <f>IFERROR(SR_demand_forecast!L60*#REF!,"-")</f>
        <v>-</v>
      </c>
      <c r="M119" s="78" t="str">
        <f>IFERROR(SR_demand_forecast!M60*#REF!,"-")</f>
        <v>-</v>
      </c>
      <c r="N119" s="78" t="str">
        <f>IFERROR(SR_demand_forecast!N60*#REF!,"-")</f>
        <v>-</v>
      </c>
      <c r="O119" s="78" t="str">
        <f>IFERROR(SR_demand_forecast!O60*#REF!,"-")</f>
        <v>-</v>
      </c>
      <c r="P119" s="78" t="str">
        <f>IFERROR(SR_demand_forecast!P60*#REF!,"-")</f>
        <v>-</v>
      </c>
      <c r="Q119" s="78" t="str">
        <f>IFERROR(SR_demand_forecast!Q60*#REF!,"-")</f>
        <v>-</v>
      </c>
      <c r="R119" s="78" t="str">
        <f>IFERROR(SR_demand_forecast!R60*#REF!,"-")</f>
        <v>-</v>
      </c>
      <c r="S119" s="78" t="str">
        <f>IFERROR(SR_demand_forecast!S60*#REF!,"-")</f>
        <v>-</v>
      </c>
      <c r="T119" s="78" t="str">
        <f>IFERROR(SR_demand_forecast!T60*#REF!,"-")</f>
        <v>-</v>
      </c>
      <c r="U119" s="78" t="str">
        <f>IFERROR(SR_demand_forecast!U60*#REF!,"-")</f>
        <v>-</v>
      </c>
      <c r="V119" s="78" t="str">
        <f>IFERROR(SR_demand_forecast!V60*#REF!,"-")</f>
        <v>-</v>
      </c>
    </row>
    <row r="120" spans="1:22" x14ac:dyDescent="0.3">
      <c r="A120" s="511"/>
      <c r="B120" s="30" t="s">
        <v>81</v>
      </c>
      <c r="C120" s="78" t="str">
        <f>IFERROR(SR_demand_forecast!C61*#REF!,"-")</f>
        <v>-</v>
      </c>
      <c r="D120" s="78" t="str">
        <f>IFERROR(SR_demand_forecast!D61*#REF!,"-")</f>
        <v>-</v>
      </c>
      <c r="E120" s="78" t="str">
        <f>IFERROR(SR_demand_forecast!E61*#REF!,"-")</f>
        <v>-</v>
      </c>
      <c r="F120" s="78" t="str">
        <f>IFERROR(SR_demand_forecast!F61*#REF!,"-")</f>
        <v>-</v>
      </c>
      <c r="G120" s="78" t="str">
        <f>IFERROR(SR_demand_forecast!G61*#REF!,"-")</f>
        <v>-</v>
      </c>
      <c r="H120" s="78" t="str">
        <f>IFERROR(SR_demand_forecast!H61*#REF!,"-")</f>
        <v>-</v>
      </c>
      <c r="I120" s="78" t="str">
        <f>IFERROR(SR_demand_forecast!I61*#REF!,"-")</f>
        <v>-</v>
      </c>
      <c r="J120" s="78" t="str">
        <f>IFERROR(SR_demand_forecast!J61*#REF!,"-")</f>
        <v>-</v>
      </c>
      <c r="K120" s="78" t="str">
        <f>IFERROR(SR_demand_forecast!K61*#REF!,"-")</f>
        <v>-</v>
      </c>
      <c r="L120" s="78" t="str">
        <f>IFERROR(SR_demand_forecast!L61*#REF!,"-")</f>
        <v>-</v>
      </c>
      <c r="M120" s="78" t="str">
        <f>IFERROR(SR_demand_forecast!M61*#REF!,"-")</f>
        <v>-</v>
      </c>
      <c r="N120" s="78" t="str">
        <f>IFERROR(SR_demand_forecast!N61*#REF!,"-")</f>
        <v>-</v>
      </c>
      <c r="O120" s="78" t="str">
        <f>IFERROR(SR_demand_forecast!O61*#REF!,"-")</f>
        <v>-</v>
      </c>
      <c r="P120" s="78" t="str">
        <f>IFERROR(SR_demand_forecast!P61*#REF!,"-")</f>
        <v>-</v>
      </c>
      <c r="Q120" s="78" t="str">
        <f>IFERROR(SR_demand_forecast!Q61*#REF!,"-")</f>
        <v>-</v>
      </c>
      <c r="R120" s="78" t="str">
        <f>IFERROR(SR_demand_forecast!R61*#REF!,"-")</f>
        <v>-</v>
      </c>
      <c r="S120" s="78" t="str">
        <f>IFERROR(SR_demand_forecast!S61*#REF!,"-")</f>
        <v>-</v>
      </c>
      <c r="T120" s="78" t="str">
        <f>IFERROR(SR_demand_forecast!T61*#REF!,"-")</f>
        <v>-</v>
      </c>
      <c r="U120" s="78" t="str">
        <f>IFERROR(SR_demand_forecast!U61*#REF!,"-")</f>
        <v>-</v>
      </c>
      <c r="V120" s="78" t="str">
        <f>IFERROR(SR_demand_forecast!V61*#REF!,"-")</f>
        <v>-</v>
      </c>
    </row>
    <row r="121" spans="1:22" x14ac:dyDescent="0.3">
      <c r="A121" s="511"/>
      <c r="B121" s="30" t="s">
        <v>42</v>
      </c>
      <c r="C121" s="78" t="str">
        <f>IFERROR(SR_demand_forecast!C62*#REF!,"-")</f>
        <v>-</v>
      </c>
      <c r="D121" s="78" t="str">
        <f>IFERROR(SR_demand_forecast!D62*#REF!,"-")</f>
        <v>-</v>
      </c>
      <c r="E121" s="78" t="str">
        <f>IFERROR(SR_demand_forecast!E62*#REF!,"-")</f>
        <v>-</v>
      </c>
      <c r="F121" s="78" t="str">
        <f>IFERROR(SR_demand_forecast!F62*#REF!,"-")</f>
        <v>-</v>
      </c>
      <c r="G121" s="78" t="str">
        <f>IFERROR(SR_demand_forecast!G62*#REF!,"-")</f>
        <v>-</v>
      </c>
      <c r="H121" s="78" t="str">
        <f>IFERROR(SR_demand_forecast!H62*#REF!,"-")</f>
        <v>-</v>
      </c>
      <c r="I121" s="78" t="str">
        <f>IFERROR(SR_demand_forecast!I62*#REF!,"-")</f>
        <v>-</v>
      </c>
      <c r="J121" s="78" t="str">
        <f>IFERROR(SR_demand_forecast!J62*#REF!,"-")</f>
        <v>-</v>
      </c>
      <c r="K121" s="78" t="str">
        <f>IFERROR(SR_demand_forecast!K62*#REF!,"-")</f>
        <v>-</v>
      </c>
      <c r="L121" s="78" t="str">
        <f>IFERROR(SR_demand_forecast!L62*#REF!,"-")</f>
        <v>-</v>
      </c>
      <c r="M121" s="78" t="str">
        <f>IFERROR(SR_demand_forecast!M62*#REF!,"-")</f>
        <v>-</v>
      </c>
      <c r="N121" s="78" t="str">
        <f>IFERROR(SR_demand_forecast!N62*#REF!,"-")</f>
        <v>-</v>
      </c>
      <c r="O121" s="78" t="str">
        <f>IFERROR(SR_demand_forecast!O62*#REF!,"-")</f>
        <v>-</v>
      </c>
      <c r="P121" s="78" t="str">
        <f>IFERROR(SR_demand_forecast!P62*#REF!,"-")</f>
        <v>-</v>
      </c>
      <c r="Q121" s="78" t="str">
        <f>IFERROR(SR_demand_forecast!Q62*#REF!,"-")</f>
        <v>-</v>
      </c>
      <c r="R121" s="78" t="str">
        <f>IFERROR(SR_demand_forecast!R62*#REF!,"-")</f>
        <v>-</v>
      </c>
      <c r="S121" s="78" t="str">
        <f>IFERROR(SR_demand_forecast!S62*#REF!,"-")</f>
        <v>-</v>
      </c>
      <c r="T121" s="78" t="str">
        <f>IFERROR(SR_demand_forecast!T62*#REF!,"-")</f>
        <v>-</v>
      </c>
      <c r="U121" s="78" t="str">
        <f>IFERROR(SR_demand_forecast!U62*#REF!,"-")</f>
        <v>-</v>
      </c>
      <c r="V121" s="78" t="str">
        <f>IFERROR(SR_demand_forecast!V62*#REF!,"-")</f>
        <v>-</v>
      </c>
    </row>
    <row r="122" spans="1:22" x14ac:dyDescent="0.3">
      <c r="A122" s="511"/>
      <c r="B122" s="30" t="s">
        <v>45</v>
      </c>
      <c r="C122" s="78" t="str">
        <f>IFERROR(SR_demand_forecast!C63*#REF!,"-")</f>
        <v>-</v>
      </c>
      <c r="D122" s="78" t="str">
        <f>IFERROR(SR_demand_forecast!D63*#REF!,"-")</f>
        <v>-</v>
      </c>
      <c r="E122" s="78" t="str">
        <f>IFERROR(SR_demand_forecast!E63*#REF!,"-")</f>
        <v>-</v>
      </c>
      <c r="F122" s="78" t="str">
        <f>IFERROR(SR_demand_forecast!F63*#REF!,"-")</f>
        <v>-</v>
      </c>
      <c r="G122" s="78" t="str">
        <f>IFERROR(SR_demand_forecast!G63*#REF!,"-")</f>
        <v>-</v>
      </c>
      <c r="H122" s="78" t="str">
        <f>IFERROR(SR_demand_forecast!H63*#REF!,"-")</f>
        <v>-</v>
      </c>
      <c r="I122" s="78" t="str">
        <f>IFERROR(SR_demand_forecast!I63*#REF!,"-")</f>
        <v>-</v>
      </c>
      <c r="J122" s="78" t="str">
        <f>IFERROR(SR_demand_forecast!J63*#REF!,"-")</f>
        <v>-</v>
      </c>
      <c r="K122" s="78" t="str">
        <f>IFERROR(SR_demand_forecast!K63*#REF!,"-")</f>
        <v>-</v>
      </c>
      <c r="L122" s="78" t="str">
        <f>IFERROR(SR_demand_forecast!L63*#REF!,"-")</f>
        <v>-</v>
      </c>
      <c r="M122" s="78" t="str">
        <f>IFERROR(SR_demand_forecast!M63*#REF!,"-")</f>
        <v>-</v>
      </c>
      <c r="N122" s="78" t="str">
        <f>IFERROR(SR_demand_forecast!N63*#REF!,"-")</f>
        <v>-</v>
      </c>
      <c r="O122" s="78" t="str">
        <f>IFERROR(SR_demand_forecast!O63*#REF!,"-")</f>
        <v>-</v>
      </c>
      <c r="P122" s="78" t="str">
        <f>IFERROR(SR_demand_forecast!P63*#REF!,"-")</f>
        <v>-</v>
      </c>
      <c r="Q122" s="78" t="str">
        <f>IFERROR(SR_demand_forecast!Q63*#REF!,"-")</f>
        <v>-</v>
      </c>
      <c r="R122" s="78" t="str">
        <f>IFERROR(SR_demand_forecast!R63*#REF!,"-")</f>
        <v>-</v>
      </c>
      <c r="S122" s="78" t="str">
        <f>IFERROR(SR_demand_forecast!S63*#REF!,"-")</f>
        <v>-</v>
      </c>
      <c r="T122" s="78" t="str">
        <f>IFERROR(SR_demand_forecast!T63*#REF!,"-")</f>
        <v>-</v>
      </c>
      <c r="U122" s="78" t="str">
        <f>IFERROR(SR_demand_forecast!U63*#REF!,"-")</f>
        <v>-</v>
      </c>
      <c r="V122" s="78" t="str">
        <f>IFERROR(SR_demand_forecast!V63*#REF!,"-")</f>
        <v>-</v>
      </c>
    </row>
    <row r="123" spans="1:22" x14ac:dyDescent="0.3">
      <c r="A123" s="511"/>
      <c r="B123" s="31" t="s">
        <v>84</v>
      </c>
      <c r="C123" s="124">
        <f t="shared" ref="C123:V123" si="6">SUM(C115:C122)</f>
        <v>0</v>
      </c>
      <c r="D123" s="124">
        <f t="shared" si="6"/>
        <v>0</v>
      </c>
      <c r="E123" s="124">
        <f t="shared" si="6"/>
        <v>0</v>
      </c>
      <c r="F123" s="124">
        <f t="shared" si="6"/>
        <v>0</v>
      </c>
      <c r="G123" s="124">
        <f t="shared" si="6"/>
        <v>0</v>
      </c>
      <c r="H123" s="124">
        <f t="shared" si="6"/>
        <v>0</v>
      </c>
      <c r="I123" s="124">
        <f t="shared" si="6"/>
        <v>0</v>
      </c>
      <c r="J123" s="124">
        <f t="shared" si="6"/>
        <v>0</v>
      </c>
      <c r="K123" s="124">
        <f t="shared" si="6"/>
        <v>0</v>
      </c>
      <c r="L123" s="124">
        <f t="shared" si="6"/>
        <v>0</v>
      </c>
      <c r="M123" s="124">
        <f t="shared" si="6"/>
        <v>0</v>
      </c>
      <c r="N123" s="124">
        <f t="shared" si="6"/>
        <v>0</v>
      </c>
      <c r="O123" s="124">
        <f t="shared" si="6"/>
        <v>0</v>
      </c>
      <c r="P123" s="124">
        <f t="shared" si="6"/>
        <v>0</v>
      </c>
      <c r="Q123" s="124">
        <f t="shared" si="6"/>
        <v>0</v>
      </c>
      <c r="R123" s="124">
        <f t="shared" si="6"/>
        <v>0</v>
      </c>
      <c r="S123" s="124">
        <f t="shared" si="6"/>
        <v>0</v>
      </c>
      <c r="T123" s="124">
        <f t="shared" si="6"/>
        <v>0</v>
      </c>
      <c r="U123" s="124">
        <f t="shared" si="6"/>
        <v>0</v>
      </c>
      <c r="V123" s="124">
        <f t="shared" si="6"/>
        <v>0</v>
      </c>
    </row>
    <row r="124" spans="1:22" x14ac:dyDescent="0.3">
      <c r="A124" s="511"/>
      <c r="B124" s="125"/>
      <c r="C124" s="126"/>
      <c r="D124" s="126"/>
      <c r="E124" s="126"/>
      <c r="F124" s="126"/>
      <c r="G124" s="126"/>
      <c r="H124" s="126"/>
      <c r="I124" s="126"/>
      <c r="J124" s="126"/>
      <c r="K124" s="126"/>
      <c r="L124" s="126"/>
      <c r="M124" s="126"/>
      <c r="N124" s="126"/>
      <c r="O124" s="126"/>
      <c r="P124" s="126"/>
      <c r="Q124" s="126"/>
      <c r="R124" s="126"/>
      <c r="S124" s="126"/>
      <c r="T124" s="126"/>
      <c r="U124" s="126"/>
      <c r="V124" s="126"/>
    </row>
    <row r="125" spans="1:22" x14ac:dyDescent="0.3">
      <c r="A125" s="511"/>
      <c r="B125" s="125"/>
      <c r="C125" s="126"/>
      <c r="D125" s="126"/>
      <c r="E125" s="126"/>
      <c r="F125" s="126"/>
      <c r="G125" s="126"/>
      <c r="H125" s="126"/>
      <c r="I125" s="126"/>
      <c r="J125" s="126"/>
      <c r="K125" s="126"/>
      <c r="L125" s="126"/>
      <c r="M125" s="126"/>
      <c r="N125" s="126"/>
      <c r="O125" s="126"/>
      <c r="P125" s="126"/>
      <c r="Q125" s="126"/>
      <c r="R125" s="126"/>
      <c r="S125" s="126"/>
      <c r="T125" s="126"/>
      <c r="U125" s="126"/>
      <c r="V125" s="126"/>
    </row>
    <row r="126" spans="1:22" x14ac:dyDescent="0.3">
      <c r="A126" s="511"/>
      <c r="B126" s="125"/>
      <c r="C126" s="126"/>
      <c r="D126" s="126"/>
      <c r="E126" s="126"/>
      <c r="F126" s="126"/>
      <c r="G126" s="126"/>
      <c r="H126" s="126"/>
      <c r="I126" s="126"/>
      <c r="J126" s="126"/>
      <c r="K126" s="126"/>
      <c r="L126" s="126"/>
      <c r="M126" s="126"/>
      <c r="N126" s="126"/>
      <c r="O126" s="126"/>
      <c r="P126" s="126"/>
      <c r="Q126" s="126"/>
      <c r="R126" s="126"/>
      <c r="S126" s="126"/>
      <c r="T126" s="126"/>
      <c r="U126" s="126"/>
      <c r="V126" s="126"/>
    </row>
    <row r="127" spans="1:22" x14ac:dyDescent="0.3">
      <c r="A127" s="511"/>
      <c r="B127" s="125"/>
      <c r="C127" s="126"/>
      <c r="D127" s="126"/>
      <c r="E127" s="126"/>
      <c r="F127" s="126"/>
      <c r="G127" s="126"/>
      <c r="H127" s="126"/>
      <c r="I127" s="126"/>
      <c r="J127" s="126"/>
      <c r="K127" s="126"/>
      <c r="L127" s="126"/>
      <c r="M127" s="126"/>
      <c r="N127" s="126"/>
      <c r="O127" s="126"/>
      <c r="P127" s="126"/>
      <c r="Q127" s="126"/>
      <c r="R127" s="126"/>
      <c r="S127" s="126"/>
      <c r="T127" s="126"/>
      <c r="U127" s="126"/>
      <c r="V127" s="126"/>
    </row>
    <row r="128" spans="1:22" x14ac:dyDescent="0.3">
      <c r="A128" s="511"/>
      <c r="B128" s="125"/>
      <c r="C128" s="126"/>
      <c r="D128" s="126"/>
      <c r="E128" s="126"/>
      <c r="F128" s="126"/>
      <c r="G128" s="126"/>
      <c r="H128" s="126"/>
      <c r="I128" s="126"/>
      <c r="J128" s="126"/>
      <c r="K128" s="126"/>
      <c r="L128" s="126"/>
      <c r="M128" s="126"/>
      <c r="N128" s="126"/>
      <c r="O128" s="126"/>
      <c r="P128" s="126"/>
      <c r="Q128" s="126"/>
      <c r="R128" s="126"/>
      <c r="S128" s="126"/>
      <c r="T128" s="126"/>
      <c r="U128" s="126"/>
      <c r="V128" s="126"/>
    </row>
    <row r="129" spans="1:22" x14ac:dyDescent="0.3">
      <c r="A129" s="511"/>
    </row>
    <row r="130" spans="1:22" x14ac:dyDescent="0.3">
      <c r="A130" s="511"/>
    </row>
    <row r="131" spans="1:22" x14ac:dyDescent="0.3">
      <c r="A131" s="511"/>
      <c r="B131" s="32" t="s">
        <v>150</v>
      </c>
      <c r="L131" s="18"/>
      <c r="M131" s="18"/>
    </row>
    <row r="132" spans="1:22" x14ac:dyDescent="0.3">
      <c r="A132" s="511"/>
      <c r="B132" s="75" t="s">
        <v>82</v>
      </c>
      <c r="C132" s="75">
        <v>2021</v>
      </c>
      <c r="D132" s="76">
        <v>2022</v>
      </c>
      <c r="E132" s="75">
        <v>2023</v>
      </c>
      <c r="F132" s="76">
        <v>2024</v>
      </c>
      <c r="G132" s="75">
        <v>2025</v>
      </c>
      <c r="H132" s="76">
        <v>2026</v>
      </c>
      <c r="I132" s="75">
        <v>2027</v>
      </c>
      <c r="J132" s="76">
        <v>2028</v>
      </c>
      <c r="K132" s="75">
        <v>2029</v>
      </c>
      <c r="L132" s="76">
        <v>2030</v>
      </c>
      <c r="M132" s="75">
        <v>2031</v>
      </c>
      <c r="N132" s="76">
        <v>2032</v>
      </c>
      <c r="O132" s="75">
        <v>2033</v>
      </c>
      <c r="P132" s="76">
        <v>2034</v>
      </c>
      <c r="Q132" s="75">
        <v>2035</v>
      </c>
      <c r="R132" s="76">
        <v>2036</v>
      </c>
      <c r="S132" s="75">
        <v>2037</v>
      </c>
      <c r="T132" s="76">
        <v>2038</v>
      </c>
      <c r="U132" s="75">
        <v>2039</v>
      </c>
      <c r="V132" s="76">
        <v>2040</v>
      </c>
    </row>
    <row r="133" spans="1:22" x14ac:dyDescent="0.3">
      <c r="A133" s="511"/>
      <c r="B133" s="30" t="s">
        <v>43</v>
      </c>
      <c r="C133" s="78" t="str">
        <f>IFERROR(SR_demand_forecast!C129*#REF!,"-")</f>
        <v>-</v>
      </c>
      <c r="D133" s="78" t="str">
        <f>IFERROR(SR_demand_forecast!D129*#REF!,"-")</f>
        <v>-</v>
      </c>
      <c r="E133" s="78" t="str">
        <f>IFERROR(SR_demand_forecast!E129*#REF!,"-")</f>
        <v>-</v>
      </c>
      <c r="F133" s="78" t="str">
        <f>IFERROR(SR_demand_forecast!F129*#REF!,"-")</f>
        <v>-</v>
      </c>
      <c r="G133" s="78" t="str">
        <f>IFERROR(SR_demand_forecast!G129*#REF!,"-")</f>
        <v>-</v>
      </c>
      <c r="H133" s="78" t="str">
        <f>IFERROR(SR_demand_forecast!H129*#REF!,"-")</f>
        <v>-</v>
      </c>
      <c r="I133" s="78" t="str">
        <f>IFERROR(SR_demand_forecast!I129*#REF!,"-")</f>
        <v>-</v>
      </c>
      <c r="J133" s="78" t="str">
        <f>IFERROR(SR_demand_forecast!J129*#REF!,"-")</f>
        <v>-</v>
      </c>
      <c r="K133" s="78" t="str">
        <f>IFERROR(SR_demand_forecast!K129*#REF!,"-")</f>
        <v>-</v>
      </c>
      <c r="L133" s="78" t="str">
        <f>IFERROR(SR_demand_forecast!L129*#REF!,"-")</f>
        <v>-</v>
      </c>
      <c r="M133" s="78" t="str">
        <f>IFERROR(SR_demand_forecast!M129*#REF!,"-")</f>
        <v>-</v>
      </c>
      <c r="N133" s="78" t="str">
        <f>IFERROR(SR_demand_forecast!N129*#REF!,"-")</f>
        <v>-</v>
      </c>
      <c r="O133" s="78" t="str">
        <f>IFERROR(SR_demand_forecast!O129*#REF!,"-")</f>
        <v>-</v>
      </c>
      <c r="P133" s="78" t="str">
        <f>IFERROR(SR_demand_forecast!P129*#REF!,"-")</f>
        <v>-</v>
      </c>
      <c r="Q133" s="78" t="str">
        <f>IFERROR(SR_demand_forecast!Q129*#REF!,"-")</f>
        <v>-</v>
      </c>
      <c r="R133" s="78" t="str">
        <f>IFERROR(SR_demand_forecast!R129*#REF!,"-")</f>
        <v>-</v>
      </c>
      <c r="S133" s="78" t="str">
        <f>IFERROR(SR_demand_forecast!S129*#REF!,"-")</f>
        <v>-</v>
      </c>
      <c r="T133" s="78" t="str">
        <f>IFERROR(SR_demand_forecast!T129*#REF!,"-")</f>
        <v>-</v>
      </c>
      <c r="U133" s="78" t="str">
        <f>IFERROR(SR_demand_forecast!U129*#REF!,"-")</f>
        <v>-</v>
      </c>
      <c r="V133" s="78" t="str">
        <f>IFERROR(SR_demand_forecast!V129*#REF!,"-")</f>
        <v>-</v>
      </c>
    </row>
    <row r="134" spans="1:22" x14ac:dyDescent="0.3">
      <c r="A134" s="511"/>
      <c r="B134" s="30" t="s">
        <v>41</v>
      </c>
      <c r="C134" s="78" t="str">
        <f>IFERROR(SR_demand_forecast!C130*#REF!,"-")</f>
        <v>-</v>
      </c>
      <c r="D134" s="78" t="str">
        <f>IFERROR(SR_demand_forecast!D130*#REF!,"-")</f>
        <v>-</v>
      </c>
      <c r="E134" s="78" t="str">
        <f>IFERROR(SR_demand_forecast!E130*#REF!,"-")</f>
        <v>-</v>
      </c>
      <c r="F134" s="78" t="str">
        <f>IFERROR(SR_demand_forecast!F130*#REF!,"-")</f>
        <v>-</v>
      </c>
      <c r="G134" s="78" t="str">
        <f>IFERROR(SR_demand_forecast!G130*#REF!,"-")</f>
        <v>-</v>
      </c>
      <c r="H134" s="78" t="str">
        <f>IFERROR(SR_demand_forecast!H130*#REF!,"-")</f>
        <v>-</v>
      </c>
      <c r="I134" s="78" t="str">
        <f>IFERROR(SR_demand_forecast!I130*#REF!,"-")</f>
        <v>-</v>
      </c>
      <c r="J134" s="78" t="str">
        <f>IFERROR(SR_demand_forecast!J130*#REF!,"-")</f>
        <v>-</v>
      </c>
      <c r="K134" s="78" t="str">
        <f>IFERROR(SR_demand_forecast!K130*#REF!,"-")</f>
        <v>-</v>
      </c>
      <c r="L134" s="78" t="str">
        <f>IFERROR(SR_demand_forecast!L130*#REF!,"-")</f>
        <v>-</v>
      </c>
      <c r="M134" s="78" t="str">
        <f>IFERROR(SR_demand_forecast!M130*#REF!,"-")</f>
        <v>-</v>
      </c>
      <c r="N134" s="78" t="str">
        <f>IFERROR(SR_demand_forecast!N130*#REF!,"-")</f>
        <v>-</v>
      </c>
      <c r="O134" s="78" t="str">
        <f>IFERROR(SR_demand_forecast!O130*#REF!,"-")</f>
        <v>-</v>
      </c>
      <c r="P134" s="78" t="str">
        <f>IFERROR(SR_demand_forecast!P130*#REF!,"-")</f>
        <v>-</v>
      </c>
      <c r="Q134" s="78" t="str">
        <f>IFERROR(SR_demand_forecast!Q130*#REF!,"-")</f>
        <v>-</v>
      </c>
      <c r="R134" s="78" t="str">
        <f>IFERROR(SR_demand_forecast!R130*#REF!,"-")</f>
        <v>-</v>
      </c>
      <c r="S134" s="78" t="str">
        <f>IFERROR(SR_demand_forecast!S130*#REF!,"-")</f>
        <v>-</v>
      </c>
      <c r="T134" s="78" t="str">
        <f>IFERROR(SR_demand_forecast!T130*#REF!,"-")</f>
        <v>-</v>
      </c>
      <c r="U134" s="78" t="str">
        <f>IFERROR(SR_demand_forecast!U130*#REF!,"-")</f>
        <v>-</v>
      </c>
      <c r="V134" s="78" t="str">
        <f>IFERROR(SR_demand_forecast!V130*#REF!,"-")</f>
        <v>-</v>
      </c>
    </row>
    <row r="135" spans="1:22" x14ac:dyDescent="0.3">
      <c r="A135" s="511"/>
      <c r="B135" s="30" t="s">
        <v>40</v>
      </c>
      <c r="C135" s="78" t="str">
        <f>IFERROR(SR_demand_forecast!C131*#REF!,"-")</f>
        <v>-</v>
      </c>
      <c r="D135" s="78" t="str">
        <f>IFERROR(SR_demand_forecast!D131*#REF!,"-")</f>
        <v>-</v>
      </c>
      <c r="E135" s="78" t="str">
        <f>IFERROR(SR_demand_forecast!E131*#REF!,"-")</f>
        <v>-</v>
      </c>
      <c r="F135" s="78" t="str">
        <f>IFERROR(SR_demand_forecast!F131*#REF!,"-")</f>
        <v>-</v>
      </c>
      <c r="G135" s="78" t="str">
        <f>IFERROR(SR_demand_forecast!G131*#REF!,"-")</f>
        <v>-</v>
      </c>
      <c r="H135" s="78" t="str">
        <f>IFERROR(SR_demand_forecast!H131*#REF!,"-")</f>
        <v>-</v>
      </c>
      <c r="I135" s="78" t="str">
        <f>IFERROR(SR_demand_forecast!I131*#REF!,"-")</f>
        <v>-</v>
      </c>
      <c r="J135" s="78" t="str">
        <f>IFERROR(SR_demand_forecast!J131*#REF!,"-")</f>
        <v>-</v>
      </c>
      <c r="K135" s="78" t="str">
        <f>IFERROR(SR_demand_forecast!K131*#REF!,"-")</f>
        <v>-</v>
      </c>
      <c r="L135" s="78" t="str">
        <f>IFERROR(SR_demand_forecast!L131*#REF!,"-")</f>
        <v>-</v>
      </c>
      <c r="M135" s="78" t="str">
        <f>IFERROR(SR_demand_forecast!M131*#REF!,"-")</f>
        <v>-</v>
      </c>
      <c r="N135" s="78" t="str">
        <f>IFERROR(SR_demand_forecast!N131*#REF!,"-")</f>
        <v>-</v>
      </c>
      <c r="O135" s="78" t="str">
        <f>IFERROR(SR_demand_forecast!O131*#REF!,"-")</f>
        <v>-</v>
      </c>
      <c r="P135" s="78" t="str">
        <f>IFERROR(SR_demand_forecast!P131*#REF!,"-")</f>
        <v>-</v>
      </c>
      <c r="Q135" s="78" t="str">
        <f>IFERROR(SR_demand_forecast!Q131*#REF!,"-")</f>
        <v>-</v>
      </c>
      <c r="R135" s="78" t="str">
        <f>IFERROR(SR_demand_forecast!R131*#REF!,"-")</f>
        <v>-</v>
      </c>
      <c r="S135" s="78" t="str">
        <f>IFERROR(SR_demand_forecast!S131*#REF!,"-")</f>
        <v>-</v>
      </c>
      <c r="T135" s="78" t="str">
        <f>IFERROR(SR_demand_forecast!T131*#REF!,"-")</f>
        <v>-</v>
      </c>
      <c r="U135" s="78" t="str">
        <f>IFERROR(SR_demand_forecast!U131*#REF!,"-")</f>
        <v>-</v>
      </c>
      <c r="V135" s="78" t="str">
        <f>IFERROR(SR_demand_forecast!V131*#REF!,"-")</f>
        <v>-</v>
      </c>
    </row>
    <row r="136" spans="1:22" x14ac:dyDescent="0.3">
      <c r="A136" s="511"/>
      <c r="B136" s="30" t="s">
        <v>80</v>
      </c>
      <c r="C136" s="78" t="str">
        <f>IFERROR(SR_demand_forecast!C132*#REF!,"-")</f>
        <v>-</v>
      </c>
      <c r="D136" s="78" t="str">
        <f>IFERROR(SR_demand_forecast!D132*#REF!,"-")</f>
        <v>-</v>
      </c>
      <c r="E136" s="78" t="str">
        <f>IFERROR(SR_demand_forecast!E132*#REF!,"-")</f>
        <v>-</v>
      </c>
      <c r="F136" s="78" t="str">
        <f>IFERROR(SR_demand_forecast!F132*#REF!,"-")</f>
        <v>-</v>
      </c>
      <c r="G136" s="78" t="str">
        <f>IFERROR(SR_demand_forecast!G132*#REF!,"-")</f>
        <v>-</v>
      </c>
      <c r="H136" s="78" t="str">
        <f>IFERROR(SR_demand_forecast!H132*#REF!,"-")</f>
        <v>-</v>
      </c>
      <c r="I136" s="78" t="str">
        <f>IFERROR(SR_demand_forecast!I132*#REF!,"-")</f>
        <v>-</v>
      </c>
      <c r="J136" s="78" t="str">
        <f>IFERROR(SR_demand_forecast!J132*#REF!,"-")</f>
        <v>-</v>
      </c>
      <c r="K136" s="78" t="str">
        <f>IFERROR(SR_demand_forecast!K132*#REF!,"-")</f>
        <v>-</v>
      </c>
      <c r="L136" s="78" t="str">
        <f>IFERROR(SR_demand_forecast!L132*#REF!,"-")</f>
        <v>-</v>
      </c>
      <c r="M136" s="78" t="str">
        <f>IFERROR(SR_demand_forecast!M132*#REF!,"-")</f>
        <v>-</v>
      </c>
      <c r="N136" s="78" t="str">
        <f>IFERROR(SR_demand_forecast!N132*#REF!,"-")</f>
        <v>-</v>
      </c>
      <c r="O136" s="78" t="str">
        <f>IFERROR(SR_demand_forecast!O132*#REF!,"-")</f>
        <v>-</v>
      </c>
      <c r="P136" s="78" t="str">
        <f>IFERROR(SR_demand_forecast!P132*#REF!,"-")</f>
        <v>-</v>
      </c>
      <c r="Q136" s="78" t="str">
        <f>IFERROR(SR_demand_forecast!Q132*#REF!,"-")</f>
        <v>-</v>
      </c>
      <c r="R136" s="78" t="str">
        <f>IFERROR(SR_demand_forecast!R132*#REF!,"-")</f>
        <v>-</v>
      </c>
      <c r="S136" s="78" t="str">
        <f>IFERROR(SR_demand_forecast!S132*#REF!,"-")</f>
        <v>-</v>
      </c>
      <c r="T136" s="78" t="str">
        <f>IFERROR(SR_demand_forecast!T132*#REF!,"-")</f>
        <v>-</v>
      </c>
      <c r="U136" s="78" t="str">
        <f>IFERROR(SR_demand_forecast!U132*#REF!,"-")</f>
        <v>-</v>
      </c>
      <c r="V136" s="78" t="str">
        <f>IFERROR(SR_demand_forecast!V132*#REF!,"-")</f>
        <v>-</v>
      </c>
    </row>
    <row r="137" spans="1:22" x14ac:dyDescent="0.3">
      <c r="A137" s="511"/>
      <c r="B137" s="30" t="s">
        <v>44</v>
      </c>
      <c r="C137" s="78" t="str">
        <f>IFERROR(SR_demand_forecast!C133*#REF!,"-")</f>
        <v>-</v>
      </c>
      <c r="D137" s="78" t="str">
        <f>IFERROR(SR_demand_forecast!D133*#REF!,"-")</f>
        <v>-</v>
      </c>
      <c r="E137" s="78" t="str">
        <f>IFERROR(SR_demand_forecast!E133*#REF!,"-")</f>
        <v>-</v>
      </c>
      <c r="F137" s="78" t="str">
        <f>IFERROR(SR_demand_forecast!F133*#REF!,"-")</f>
        <v>-</v>
      </c>
      <c r="G137" s="78" t="str">
        <f>IFERROR(SR_demand_forecast!G133*#REF!,"-")</f>
        <v>-</v>
      </c>
      <c r="H137" s="78" t="str">
        <f>IFERROR(SR_demand_forecast!H133*#REF!,"-")</f>
        <v>-</v>
      </c>
      <c r="I137" s="78" t="str">
        <f>IFERROR(SR_demand_forecast!I133*#REF!,"-")</f>
        <v>-</v>
      </c>
      <c r="J137" s="78" t="str">
        <f>IFERROR(SR_demand_forecast!J133*#REF!,"-")</f>
        <v>-</v>
      </c>
      <c r="K137" s="78" t="str">
        <f>IFERROR(SR_demand_forecast!K133*#REF!,"-")</f>
        <v>-</v>
      </c>
      <c r="L137" s="78" t="str">
        <f>IFERROR(SR_demand_forecast!L133*#REF!,"-")</f>
        <v>-</v>
      </c>
      <c r="M137" s="78" t="str">
        <f>IFERROR(SR_demand_forecast!M133*#REF!,"-")</f>
        <v>-</v>
      </c>
      <c r="N137" s="78" t="str">
        <f>IFERROR(SR_demand_forecast!N133*#REF!,"-")</f>
        <v>-</v>
      </c>
      <c r="O137" s="78" t="str">
        <f>IFERROR(SR_demand_forecast!O133*#REF!,"-")</f>
        <v>-</v>
      </c>
      <c r="P137" s="78" t="str">
        <f>IFERROR(SR_demand_forecast!P133*#REF!,"-")</f>
        <v>-</v>
      </c>
      <c r="Q137" s="78" t="str">
        <f>IFERROR(SR_demand_forecast!Q133*#REF!,"-")</f>
        <v>-</v>
      </c>
      <c r="R137" s="78" t="str">
        <f>IFERROR(SR_demand_forecast!R133*#REF!,"-")</f>
        <v>-</v>
      </c>
      <c r="S137" s="78" t="str">
        <f>IFERROR(SR_demand_forecast!S133*#REF!,"-")</f>
        <v>-</v>
      </c>
      <c r="T137" s="78" t="str">
        <f>IFERROR(SR_demand_forecast!T133*#REF!,"-")</f>
        <v>-</v>
      </c>
      <c r="U137" s="78" t="str">
        <f>IFERROR(SR_demand_forecast!U133*#REF!,"-")</f>
        <v>-</v>
      </c>
      <c r="V137" s="78" t="str">
        <f>IFERROR(SR_demand_forecast!V133*#REF!,"-")</f>
        <v>-</v>
      </c>
    </row>
    <row r="138" spans="1:22" x14ac:dyDescent="0.3">
      <c r="A138" s="511"/>
      <c r="B138" s="30" t="s">
        <v>81</v>
      </c>
      <c r="C138" s="78" t="str">
        <f>IFERROR(SR_demand_forecast!C134*#REF!,"-")</f>
        <v>-</v>
      </c>
      <c r="D138" s="78" t="str">
        <f>IFERROR(SR_demand_forecast!D134*#REF!,"-")</f>
        <v>-</v>
      </c>
      <c r="E138" s="78" t="str">
        <f>IFERROR(SR_demand_forecast!E134*#REF!,"-")</f>
        <v>-</v>
      </c>
      <c r="F138" s="78" t="str">
        <f>IFERROR(SR_demand_forecast!F134*#REF!,"-")</f>
        <v>-</v>
      </c>
      <c r="G138" s="78" t="str">
        <f>IFERROR(SR_demand_forecast!G134*#REF!,"-")</f>
        <v>-</v>
      </c>
      <c r="H138" s="78" t="str">
        <f>IFERROR(SR_demand_forecast!H134*#REF!,"-")</f>
        <v>-</v>
      </c>
      <c r="I138" s="78" t="str">
        <f>IFERROR(SR_demand_forecast!I134*#REF!,"-")</f>
        <v>-</v>
      </c>
      <c r="J138" s="78" t="str">
        <f>IFERROR(SR_demand_forecast!J134*#REF!,"-")</f>
        <v>-</v>
      </c>
      <c r="K138" s="78" t="str">
        <f>IFERROR(SR_demand_forecast!K134*#REF!,"-")</f>
        <v>-</v>
      </c>
      <c r="L138" s="78" t="str">
        <f>IFERROR(SR_demand_forecast!L134*#REF!,"-")</f>
        <v>-</v>
      </c>
      <c r="M138" s="78" t="str">
        <f>IFERROR(SR_demand_forecast!M134*#REF!,"-")</f>
        <v>-</v>
      </c>
      <c r="N138" s="78" t="str">
        <f>IFERROR(SR_demand_forecast!N134*#REF!,"-")</f>
        <v>-</v>
      </c>
      <c r="O138" s="78" t="str">
        <f>IFERROR(SR_demand_forecast!O134*#REF!,"-")</f>
        <v>-</v>
      </c>
      <c r="P138" s="78" t="str">
        <f>IFERROR(SR_demand_forecast!P134*#REF!,"-")</f>
        <v>-</v>
      </c>
      <c r="Q138" s="78" t="str">
        <f>IFERROR(SR_demand_forecast!Q134*#REF!,"-")</f>
        <v>-</v>
      </c>
      <c r="R138" s="78" t="str">
        <f>IFERROR(SR_demand_forecast!R134*#REF!,"-")</f>
        <v>-</v>
      </c>
      <c r="S138" s="78" t="str">
        <f>IFERROR(SR_demand_forecast!S134*#REF!,"-")</f>
        <v>-</v>
      </c>
      <c r="T138" s="78" t="str">
        <f>IFERROR(SR_demand_forecast!T134*#REF!,"-")</f>
        <v>-</v>
      </c>
      <c r="U138" s="78" t="str">
        <f>IFERROR(SR_demand_forecast!U134*#REF!,"-")</f>
        <v>-</v>
      </c>
      <c r="V138" s="78" t="str">
        <f>IFERROR(SR_demand_forecast!V134*#REF!,"-")</f>
        <v>-</v>
      </c>
    </row>
    <row r="139" spans="1:22" x14ac:dyDescent="0.3">
      <c r="A139" s="511"/>
      <c r="B139" s="30" t="s">
        <v>42</v>
      </c>
      <c r="C139" s="78" t="str">
        <f>IFERROR(SR_demand_forecast!C135*#REF!,"-")</f>
        <v>-</v>
      </c>
      <c r="D139" s="78" t="str">
        <f>IFERROR(SR_demand_forecast!D135*#REF!,"-")</f>
        <v>-</v>
      </c>
      <c r="E139" s="78" t="str">
        <f>IFERROR(SR_demand_forecast!E135*#REF!,"-")</f>
        <v>-</v>
      </c>
      <c r="F139" s="78" t="str">
        <f>IFERROR(SR_demand_forecast!F135*#REF!,"-")</f>
        <v>-</v>
      </c>
      <c r="G139" s="78" t="str">
        <f>IFERROR(SR_demand_forecast!G135*#REF!,"-")</f>
        <v>-</v>
      </c>
      <c r="H139" s="78" t="str">
        <f>IFERROR(SR_demand_forecast!H135*#REF!,"-")</f>
        <v>-</v>
      </c>
      <c r="I139" s="78" t="str">
        <f>IFERROR(SR_demand_forecast!I135*#REF!,"-")</f>
        <v>-</v>
      </c>
      <c r="J139" s="78" t="str">
        <f>IFERROR(SR_demand_forecast!J135*#REF!,"-")</f>
        <v>-</v>
      </c>
      <c r="K139" s="78" t="str">
        <f>IFERROR(SR_demand_forecast!K135*#REF!,"-")</f>
        <v>-</v>
      </c>
      <c r="L139" s="78" t="str">
        <f>IFERROR(SR_demand_forecast!L135*#REF!,"-")</f>
        <v>-</v>
      </c>
      <c r="M139" s="78" t="str">
        <f>IFERROR(SR_demand_forecast!M135*#REF!,"-")</f>
        <v>-</v>
      </c>
      <c r="N139" s="78" t="str">
        <f>IFERROR(SR_demand_forecast!N135*#REF!,"-")</f>
        <v>-</v>
      </c>
      <c r="O139" s="78" t="str">
        <f>IFERROR(SR_demand_forecast!O135*#REF!,"-")</f>
        <v>-</v>
      </c>
      <c r="P139" s="78" t="str">
        <f>IFERROR(SR_demand_forecast!P135*#REF!,"-")</f>
        <v>-</v>
      </c>
      <c r="Q139" s="78" t="str">
        <f>IFERROR(SR_demand_forecast!Q135*#REF!,"-")</f>
        <v>-</v>
      </c>
      <c r="R139" s="78" t="str">
        <f>IFERROR(SR_demand_forecast!R135*#REF!,"-")</f>
        <v>-</v>
      </c>
      <c r="S139" s="78" t="str">
        <f>IFERROR(SR_demand_forecast!S135*#REF!,"-")</f>
        <v>-</v>
      </c>
      <c r="T139" s="78" t="str">
        <f>IFERROR(SR_demand_forecast!T135*#REF!,"-")</f>
        <v>-</v>
      </c>
      <c r="U139" s="78" t="str">
        <f>IFERROR(SR_demand_forecast!U135*#REF!,"-")</f>
        <v>-</v>
      </c>
      <c r="V139" s="78" t="str">
        <f>IFERROR(SR_demand_forecast!V135*#REF!,"-")</f>
        <v>-</v>
      </c>
    </row>
    <row r="140" spans="1:22" x14ac:dyDescent="0.3">
      <c r="A140" s="511"/>
      <c r="B140" s="30" t="s">
        <v>45</v>
      </c>
      <c r="C140" s="78" t="str">
        <f>IFERROR(SR_demand_forecast!C136*#REF!,"-")</f>
        <v>-</v>
      </c>
      <c r="D140" s="78" t="str">
        <f>IFERROR(SR_demand_forecast!D136*#REF!,"-")</f>
        <v>-</v>
      </c>
      <c r="E140" s="78" t="str">
        <f>IFERROR(SR_demand_forecast!E136*#REF!,"-")</f>
        <v>-</v>
      </c>
      <c r="F140" s="78" t="str">
        <f>IFERROR(SR_demand_forecast!F136*#REF!,"-")</f>
        <v>-</v>
      </c>
      <c r="G140" s="78" t="str">
        <f>IFERROR(SR_demand_forecast!G136*#REF!,"-")</f>
        <v>-</v>
      </c>
      <c r="H140" s="78" t="str">
        <f>IFERROR(SR_demand_forecast!H136*#REF!,"-")</f>
        <v>-</v>
      </c>
      <c r="I140" s="78" t="str">
        <f>IFERROR(SR_demand_forecast!I136*#REF!,"-")</f>
        <v>-</v>
      </c>
      <c r="J140" s="78" t="str">
        <f>IFERROR(SR_demand_forecast!J136*#REF!,"-")</f>
        <v>-</v>
      </c>
      <c r="K140" s="78" t="str">
        <f>IFERROR(SR_demand_forecast!K136*#REF!,"-")</f>
        <v>-</v>
      </c>
      <c r="L140" s="78" t="str">
        <f>IFERROR(SR_demand_forecast!L136*#REF!,"-")</f>
        <v>-</v>
      </c>
      <c r="M140" s="78" t="str">
        <f>IFERROR(SR_demand_forecast!M136*#REF!,"-")</f>
        <v>-</v>
      </c>
      <c r="N140" s="78" t="str">
        <f>IFERROR(SR_demand_forecast!N136*#REF!,"-")</f>
        <v>-</v>
      </c>
      <c r="O140" s="78" t="str">
        <f>IFERROR(SR_demand_forecast!O136*#REF!,"-")</f>
        <v>-</v>
      </c>
      <c r="P140" s="78" t="str">
        <f>IFERROR(SR_demand_forecast!P136*#REF!,"-")</f>
        <v>-</v>
      </c>
      <c r="Q140" s="78" t="str">
        <f>IFERROR(SR_demand_forecast!Q136*#REF!,"-")</f>
        <v>-</v>
      </c>
      <c r="R140" s="78" t="str">
        <f>IFERROR(SR_demand_forecast!R136*#REF!,"-")</f>
        <v>-</v>
      </c>
      <c r="S140" s="78" t="str">
        <f>IFERROR(SR_demand_forecast!S136*#REF!,"-")</f>
        <v>-</v>
      </c>
      <c r="T140" s="78" t="str">
        <f>IFERROR(SR_demand_forecast!T136*#REF!,"-")</f>
        <v>-</v>
      </c>
      <c r="U140" s="78" t="str">
        <f>IFERROR(SR_demand_forecast!U136*#REF!,"-")</f>
        <v>-</v>
      </c>
      <c r="V140" s="78" t="str">
        <f>IFERROR(SR_demand_forecast!V136*#REF!,"-")</f>
        <v>-</v>
      </c>
    </row>
    <row r="141" spans="1:22" x14ac:dyDescent="0.3">
      <c r="A141" s="511"/>
      <c r="B141" s="30" t="s">
        <v>84</v>
      </c>
      <c r="C141" s="124">
        <f t="shared" ref="C141:V141" si="7">SUM(C133:C140)</f>
        <v>0</v>
      </c>
      <c r="D141" s="124">
        <f t="shared" si="7"/>
        <v>0</v>
      </c>
      <c r="E141" s="124">
        <f t="shared" si="7"/>
        <v>0</v>
      </c>
      <c r="F141" s="124">
        <f t="shared" si="7"/>
        <v>0</v>
      </c>
      <c r="G141" s="124">
        <f t="shared" si="7"/>
        <v>0</v>
      </c>
      <c r="H141" s="124">
        <f t="shared" si="7"/>
        <v>0</v>
      </c>
      <c r="I141" s="124">
        <f t="shared" si="7"/>
        <v>0</v>
      </c>
      <c r="J141" s="124">
        <f t="shared" si="7"/>
        <v>0</v>
      </c>
      <c r="K141" s="124">
        <f t="shared" si="7"/>
        <v>0</v>
      </c>
      <c r="L141" s="124">
        <f t="shared" si="7"/>
        <v>0</v>
      </c>
      <c r="M141" s="124">
        <f t="shared" si="7"/>
        <v>0</v>
      </c>
      <c r="N141" s="124">
        <f t="shared" si="7"/>
        <v>0</v>
      </c>
      <c r="O141" s="124">
        <f t="shared" si="7"/>
        <v>0</v>
      </c>
      <c r="P141" s="124">
        <f t="shared" si="7"/>
        <v>0</v>
      </c>
      <c r="Q141" s="124">
        <f t="shared" si="7"/>
        <v>0</v>
      </c>
      <c r="R141" s="124">
        <f t="shared" si="7"/>
        <v>0</v>
      </c>
      <c r="S141" s="124">
        <f t="shared" si="7"/>
        <v>0</v>
      </c>
      <c r="T141" s="124">
        <f t="shared" si="7"/>
        <v>0</v>
      </c>
      <c r="U141" s="124">
        <f t="shared" si="7"/>
        <v>0</v>
      </c>
      <c r="V141" s="124">
        <f t="shared" si="7"/>
        <v>0</v>
      </c>
    </row>
    <row r="142" spans="1:22" x14ac:dyDescent="0.3">
      <c r="A142" s="511"/>
    </row>
    <row r="143" spans="1:22" x14ac:dyDescent="0.3">
      <c r="A143" s="511"/>
    </row>
    <row r="144" spans="1:22" x14ac:dyDescent="0.3">
      <c r="A144" s="511"/>
    </row>
    <row r="145" spans="1:22" x14ac:dyDescent="0.3">
      <c r="A145" s="511"/>
    </row>
    <row r="146" spans="1:22" x14ac:dyDescent="0.3">
      <c r="A146" s="511"/>
    </row>
    <row r="147" spans="1:22" x14ac:dyDescent="0.3">
      <c r="A147" s="511"/>
    </row>
    <row r="148" spans="1:22" x14ac:dyDescent="0.3">
      <c r="A148" s="511"/>
    </row>
    <row r="149" spans="1:22" x14ac:dyDescent="0.3">
      <c r="A149" s="511"/>
      <c r="B149" s="32" t="s">
        <v>151</v>
      </c>
      <c r="L149" s="18"/>
      <c r="M149" s="18"/>
    </row>
    <row r="150" spans="1:22" x14ac:dyDescent="0.3">
      <c r="A150" s="511"/>
      <c r="B150" s="75" t="s">
        <v>82</v>
      </c>
      <c r="C150" s="75">
        <v>2021</v>
      </c>
      <c r="D150" s="76">
        <v>2022</v>
      </c>
      <c r="E150" s="75">
        <v>2023</v>
      </c>
      <c r="F150" s="76">
        <v>2024</v>
      </c>
      <c r="G150" s="75">
        <v>2025</v>
      </c>
      <c r="H150" s="76">
        <v>2026</v>
      </c>
      <c r="I150" s="75">
        <v>2027</v>
      </c>
      <c r="J150" s="76">
        <v>2028</v>
      </c>
      <c r="K150" s="75">
        <v>2029</v>
      </c>
      <c r="L150" s="76">
        <v>2030</v>
      </c>
      <c r="M150" s="75">
        <v>2031</v>
      </c>
      <c r="N150" s="76">
        <v>2032</v>
      </c>
      <c r="O150" s="75">
        <v>2033</v>
      </c>
      <c r="P150" s="76">
        <v>2034</v>
      </c>
      <c r="Q150" s="75">
        <v>2035</v>
      </c>
      <c r="R150" s="76">
        <v>2036</v>
      </c>
      <c r="S150" s="75">
        <v>2037</v>
      </c>
      <c r="T150" s="76">
        <v>2038</v>
      </c>
      <c r="U150" s="75">
        <v>2039</v>
      </c>
      <c r="V150" s="76">
        <v>2040</v>
      </c>
    </row>
    <row r="151" spans="1:22" x14ac:dyDescent="0.3">
      <c r="A151" s="511"/>
      <c r="B151" s="30" t="s">
        <v>43</v>
      </c>
      <c r="C151" s="78" t="str">
        <f>IFERROR(SR_demand_forecast!C202*#REF!,"-")</f>
        <v>-</v>
      </c>
      <c r="D151" s="78" t="str">
        <f>IFERROR(SR_demand_forecast!D202*#REF!,"-")</f>
        <v>-</v>
      </c>
      <c r="E151" s="78" t="str">
        <f>IFERROR(SR_demand_forecast!E202*#REF!,"-")</f>
        <v>-</v>
      </c>
      <c r="F151" s="78" t="str">
        <f>IFERROR(SR_demand_forecast!F202*#REF!,"-")</f>
        <v>-</v>
      </c>
      <c r="G151" s="78" t="str">
        <f>IFERROR(SR_demand_forecast!G202*#REF!,"-")</f>
        <v>-</v>
      </c>
      <c r="H151" s="78" t="str">
        <f>IFERROR(SR_demand_forecast!H202*#REF!,"-")</f>
        <v>-</v>
      </c>
      <c r="I151" s="78" t="str">
        <f>IFERROR(SR_demand_forecast!I202*#REF!,"-")</f>
        <v>-</v>
      </c>
      <c r="J151" s="78" t="str">
        <f>IFERROR(SR_demand_forecast!J202*#REF!,"-")</f>
        <v>-</v>
      </c>
      <c r="K151" s="78" t="str">
        <f>IFERROR(SR_demand_forecast!K202*#REF!,"-")</f>
        <v>-</v>
      </c>
      <c r="L151" s="78" t="str">
        <f>IFERROR(SR_demand_forecast!L202*#REF!,"-")</f>
        <v>-</v>
      </c>
      <c r="M151" s="78" t="str">
        <f>IFERROR(SR_demand_forecast!M202*#REF!,"-")</f>
        <v>-</v>
      </c>
      <c r="N151" s="78" t="str">
        <f>IFERROR(SR_demand_forecast!N202*#REF!,"-")</f>
        <v>-</v>
      </c>
      <c r="O151" s="78" t="str">
        <f>IFERROR(SR_demand_forecast!O202*#REF!,"-")</f>
        <v>-</v>
      </c>
      <c r="P151" s="78" t="str">
        <f>IFERROR(SR_demand_forecast!P202*#REF!,"-")</f>
        <v>-</v>
      </c>
      <c r="Q151" s="78" t="str">
        <f>IFERROR(SR_demand_forecast!Q202*#REF!,"-")</f>
        <v>-</v>
      </c>
      <c r="R151" s="78" t="str">
        <f>IFERROR(SR_demand_forecast!R202*#REF!,"-")</f>
        <v>-</v>
      </c>
      <c r="S151" s="78" t="str">
        <f>IFERROR(SR_demand_forecast!S202*#REF!,"-")</f>
        <v>-</v>
      </c>
      <c r="T151" s="78" t="str">
        <f>IFERROR(SR_demand_forecast!T202*#REF!,"-")</f>
        <v>-</v>
      </c>
      <c r="U151" s="78" t="str">
        <f>IFERROR(SR_demand_forecast!U202*#REF!,"-")</f>
        <v>-</v>
      </c>
      <c r="V151" s="78" t="str">
        <f>IFERROR(SR_demand_forecast!V202*#REF!,"-")</f>
        <v>-</v>
      </c>
    </row>
    <row r="152" spans="1:22" x14ac:dyDescent="0.3">
      <c r="A152" s="511"/>
      <c r="B152" s="30" t="s">
        <v>41</v>
      </c>
      <c r="C152" s="78" t="str">
        <f>IFERROR(SR_demand_forecast!C203*#REF!,"-")</f>
        <v>-</v>
      </c>
      <c r="D152" s="78" t="str">
        <f>IFERROR(SR_demand_forecast!D203*#REF!,"-")</f>
        <v>-</v>
      </c>
      <c r="E152" s="78" t="str">
        <f>IFERROR(SR_demand_forecast!E203*#REF!,"-")</f>
        <v>-</v>
      </c>
      <c r="F152" s="78" t="str">
        <f>IFERROR(SR_demand_forecast!F203*#REF!,"-")</f>
        <v>-</v>
      </c>
      <c r="G152" s="78" t="str">
        <f>IFERROR(SR_demand_forecast!G203*#REF!,"-")</f>
        <v>-</v>
      </c>
      <c r="H152" s="78" t="str">
        <f>IFERROR(SR_demand_forecast!H203*#REF!,"-")</f>
        <v>-</v>
      </c>
      <c r="I152" s="78" t="str">
        <f>IFERROR(SR_demand_forecast!I203*#REF!,"-")</f>
        <v>-</v>
      </c>
      <c r="J152" s="78" t="str">
        <f>IFERROR(SR_demand_forecast!J203*#REF!,"-")</f>
        <v>-</v>
      </c>
      <c r="K152" s="78" t="str">
        <f>IFERROR(SR_demand_forecast!K203*#REF!,"-")</f>
        <v>-</v>
      </c>
      <c r="L152" s="78" t="str">
        <f>IFERROR(SR_demand_forecast!L203*#REF!,"-")</f>
        <v>-</v>
      </c>
      <c r="M152" s="78" t="str">
        <f>IFERROR(SR_demand_forecast!M203*#REF!,"-")</f>
        <v>-</v>
      </c>
      <c r="N152" s="78" t="str">
        <f>IFERROR(SR_demand_forecast!N203*#REF!,"-")</f>
        <v>-</v>
      </c>
      <c r="O152" s="78" t="str">
        <f>IFERROR(SR_demand_forecast!O203*#REF!,"-")</f>
        <v>-</v>
      </c>
      <c r="P152" s="78" t="str">
        <f>IFERROR(SR_demand_forecast!P203*#REF!,"-")</f>
        <v>-</v>
      </c>
      <c r="Q152" s="78" t="str">
        <f>IFERROR(SR_demand_forecast!Q203*#REF!,"-")</f>
        <v>-</v>
      </c>
      <c r="R152" s="78" t="str">
        <f>IFERROR(SR_demand_forecast!R203*#REF!,"-")</f>
        <v>-</v>
      </c>
      <c r="S152" s="78" t="str">
        <f>IFERROR(SR_demand_forecast!S203*#REF!,"-")</f>
        <v>-</v>
      </c>
      <c r="T152" s="78" t="str">
        <f>IFERROR(SR_demand_forecast!T203*#REF!,"-")</f>
        <v>-</v>
      </c>
      <c r="U152" s="78" t="str">
        <f>IFERROR(SR_demand_forecast!U203*#REF!,"-")</f>
        <v>-</v>
      </c>
      <c r="V152" s="78" t="str">
        <f>IFERROR(SR_demand_forecast!V203*#REF!,"-")</f>
        <v>-</v>
      </c>
    </row>
    <row r="153" spans="1:22" x14ac:dyDescent="0.3">
      <c r="A153" s="511"/>
      <c r="B153" s="30" t="s">
        <v>40</v>
      </c>
      <c r="C153" s="78" t="str">
        <f>IFERROR(SR_demand_forecast!C204*#REF!,"-")</f>
        <v>-</v>
      </c>
      <c r="D153" s="78" t="str">
        <f>IFERROR(SR_demand_forecast!D204*#REF!,"-")</f>
        <v>-</v>
      </c>
      <c r="E153" s="78" t="str">
        <f>IFERROR(SR_demand_forecast!E204*#REF!,"-")</f>
        <v>-</v>
      </c>
      <c r="F153" s="78" t="str">
        <f>IFERROR(SR_demand_forecast!F204*#REF!,"-")</f>
        <v>-</v>
      </c>
      <c r="G153" s="78" t="str">
        <f>IFERROR(SR_demand_forecast!G204*#REF!,"-")</f>
        <v>-</v>
      </c>
      <c r="H153" s="78" t="str">
        <f>IFERROR(SR_demand_forecast!H204*#REF!,"-")</f>
        <v>-</v>
      </c>
      <c r="I153" s="78" t="str">
        <f>IFERROR(SR_demand_forecast!I204*#REF!,"-")</f>
        <v>-</v>
      </c>
      <c r="J153" s="78" t="str">
        <f>IFERROR(SR_demand_forecast!J204*#REF!,"-")</f>
        <v>-</v>
      </c>
      <c r="K153" s="78" t="str">
        <f>IFERROR(SR_demand_forecast!K204*#REF!,"-")</f>
        <v>-</v>
      </c>
      <c r="L153" s="78" t="str">
        <f>IFERROR(SR_demand_forecast!L204*#REF!,"-")</f>
        <v>-</v>
      </c>
      <c r="M153" s="78" t="str">
        <f>IFERROR(SR_demand_forecast!M204*#REF!,"-")</f>
        <v>-</v>
      </c>
      <c r="N153" s="78" t="str">
        <f>IFERROR(SR_demand_forecast!N204*#REF!,"-")</f>
        <v>-</v>
      </c>
      <c r="O153" s="78" t="str">
        <f>IFERROR(SR_demand_forecast!O204*#REF!,"-")</f>
        <v>-</v>
      </c>
      <c r="P153" s="78" t="str">
        <f>IFERROR(SR_demand_forecast!P204*#REF!,"-")</f>
        <v>-</v>
      </c>
      <c r="Q153" s="78" t="str">
        <f>IFERROR(SR_demand_forecast!Q204*#REF!,"-")</f>
        <v>-</v>
      </c>
      <c r="R153" s="78" t="str">
        <f>IFERROR(SR_demand_forecast!R204*#REF!,"-")</f>
        <v>-</v>
      </c>
      <c r="S153" s="78" t="str">
        <f>IFERROR(SR_demand_forecast!S204*#REF!,"-")</f>
        <v>-</v>
      </c>
      <c r="T153" s="78" t="str">
        <f>IFERROR(SR_demand_forecast!T204*#REF!,"-")</f>
        <v>-</v>
      </c>
      <c r="U153" s="78" t="str">
        <f>IFERROR(SR_demand_forecast!U204*#REF!,"-")</f>
        <v>-</v>
      </c>
      <c r="V153" s="78" t="str">
        <f>IFERROR(SR_demand_forecast!V204*#REF!,"-")</f>
        <v>-</v>
      </c>
    </row>
    <row r="154" spans="1:22" x14ac:dyDescent="0.3">
      <c r="A154" s="511"/>
      <c r="B154" s="30" t="s">
        <v>80</v>
      </c>
      <c r="C154" s="78" t="str">
        <f>IFERROR(SR_demand_forecast!C205*#REF!,"-")</f>
        <v>-</v>
      </c>
      <c r="D154" s="78" t="str">
        <f>IFERROR(SR_demand_forecast!D205*#REF!,"-")</f>
        <v>-</v>
      </c>
      <c r="E154" s="78" t="str">
        <f>IFERROR(SR_demand_forecast!E205*#REF!,"-")</f>
        <v>-</v>
      </c>
      <c r="F154" s="78" t="str">
        <f>IFERROR(SR_demand_forecast!F205*#REF!,"-")</f>
        <v>-</v>
      </c>
      <c r="G154" s="78" t="str">
        <f>IFERROR(SR_demand_forecast!G205*#REF!,"-")</f>
        <v>-</v>
      </c>
      <c r="H154" s="78" t="str">
        <f>IFERROR(SR_demand_forecast!H205*#REF!,"-")</f>
        <v>-</v>
      </c>
      <c r="I154" s="78" t="str">
        <f>IFERROR(SR_demand_forecast!I205*#REF!,"-")</f>
        <v>-</v>
      </c>
      <c r="J154" s="78" t="str">
        <f>IFERROR(SR_demand_forecast!J205*#REF!,"-")</f>
        <v>-</v>
      </c>
      <c r="K154" s="78" t="str">
        <f>IFERROR(SR_demand_forecast!K205*#REF!,"-")</f>
        <v>-</v>
      </c>
      <c r="L154" s="78" t="str">
        <f>IFERROR(SR_demand_forecast!L205*#REF!,"-")</f>
        <v>-</v>
      </c>
      <c r="M154" s="78" t="str">
        <f>IFERROR(SR_demand_forecast!M205*#REF!,"-")</f>
        <v>-</v>
      </c>
      <c r="N154" s="78" t="str">
        <f>IFERROR(SR_demand_forecast!N205*#REF!,"-")</f>
        <v>-</v>
      </c>
      <c r="O154" s="78" t="str">
        <f>IFERROR(SR_demand_forecast!O205*#REF!,"-")</f>
        <v>-</v>
      </c>
      <c r="P154" s="78" t="str">
        <f>IFERROR(SR_demand_forecast!P205*#REF!,"-")</f>
        <v>-</v>
      </c>
      <c r="Q154" s="78" t="str">
        <f>IFERROR(SR_demand_forecast!Q205*#REF!,"-")</f>
        <v>-</v>
      </c>
      <c r="R154" s="78" t="str">
        <f>IFERROR(SR_demand_forecast!R205*#REF!,"-")</f>
        <v>-</v>
      </c>
      <c r="S154" s="78" t="str">
        <f>IFERROR(SR_demand_forecast!S205*#REF!,"-")</f>
        <v>-</v>
      </c>
      <c r="T154" s="78" t="str">
        <f>IFERROR(SR_demand_forecast!T205*#REF!,"-")</f>
        <v>-</v>
      </c>
      <c r="U154" s="78" t="str">
        <f>IFERROR(SR_demand_forecast!U205*#REF!,"-")</f>
        <v>-</v>
      </c>
      <c r="V154" s="78" t="str">
        <f>IFERROR(SR_demand_forecast!V205*#REF!,"-")</f>
        <v>-</v>
      </c>
    </row>
    <row r="155" spans="1:22" x14ac:dyDescent="0.3">
      <c r="A155" s="511"/>
      <c r="B155" s="30" t="s">
        <v>44</v>
      </c>
      <c r="C155" s="78" t="str">
        <f>IFERROR(SR_demand_forecast!C206*#REF!,"-")</f>
        <v>-</v>
      </c>
      <c r="D155" s="78" t="str">
        <f>IFERROR(SR_demand_forecast!D206*#REF!,"-")</f>
        <v>-</v>
      </c>
      <c r="E155" s="78" t="str">
        <f>IFERROR(SR_demand_forecast!E206*#REF!,"-")</f>
        <v>-</v>
      </c>
      <c r="F155" s="78" t="str">
        <f>IFERROR(SR_demand_forecast!F206*#REF!,"-")</f>
        <v>-</v>
      </c>
      <c r="G155" s="78" t="str">
        <f>IFERROR(SR_demand_forecast!G206*#REF!,"-")</f>
        <v>-</v>
      </c>
      <c r="H155" s="78" t="str">
        <f>IFERROR(SR_demand_forecast!H206*#REF!,"-")</f>
        <v>-</v>
      </c>
      <c r="I155" s="78" t="str">
        <f>IFERROR(SR_demand_forecast!I206*#REF!,"-")</f>
        <v>-</v>
      </c>
      <c r="J155" s="78" t="str">
        <f>IFERROR(SR_demand_forecast!J206*#REF!,"-")</f>
        <v>-</v>
      </c>
      <c r="K155" s="78" t="str">
        <f>IFERROR(SR_demand_forecast!K206*#REF!,"-")</f>
        <v>-</v>
      </c>
      <c r="L155" s="78" t="str">
        <f>IFERROR(SR_demand_forecast!L206*#REF!,"-")</f>
        <v>-</v>
      </c>
      <c r="M155" s="78" t="str">
        <f>IFERROR(SR_demand_forecast!M206*#REF!,"-")</f>
        <v>-</v>
      </c>
      <c r="N155" s="78" t="str">
        <f>IFERROR(SR_demand_forecast!N206*#REF!,"-")</f>
        <v>-</v>
      </c>
      <c r="O155" s="78" t="str">
        <f>IFERROR(SR_demand_forecast!O206*#REF!,"-")</f>
        <v>-</v>
      </c>
      <c r="P155" s="78" t="str">
        <f>IFERROR(SR_demand_forecast!P206*#REF!,"-")</f>
        <v>-</v>
      </c>
      <c r="Q155" s="78" t="str">
        <f>IFERROR(SR_demand_forecast!Q206*#REF!,"-")</f>
        <v>-</v>
      </c>
      <c r="R155" s="78" t="str">
        <f>IFERROR(SR_demand_forecast!R206*#REF!,"-")</f>
        <v>-</v>
      </c>
      <c r="S155" s="78" t="str">
        <f>IFERROR(SR_demand_forecast!S206*#REF!,"-")</f>
        <v>-</v>
      </c>
      <c r="T155" s="78" t="str">
        <f>IFERROR(SR_demand_forecast!T206*#REF!,"-")</f>
        <v>-</v>
      </c>
      <c r="U155" s="78" t="str">
        <f>IFERROR(SR_demand_forecast!U206*#REF!,"-")</f>
        <v>-</v>
      </c>
      <c r="V155" s="78" t="str">
        <f>IFERROR(SR_demand_forecast!V206*#REF!,"-")</f>
        <v>-</v>
      </c>
    </row>
    <row r="156" spans="1:22" x14ac:dyDescent="0.3">
      <c r="A156" s="511"/>
      <c r="B156" s="30" t="s">
        <v>81</v>
      </c>
      <c r="C156" s="78" t="str">
        <f>IFERROR(SR_demand_forecast!C207*#REF!,"-")</f>
        <v>-</v>
      </c>
      <c r="D156" s="78" t="str">
        <f>IFERROR(SR_demand_forecast!D207*#REF!,"-")</f>
        <v>-</v>
      </c>
      <c r="E156" s="78" t="str">
        <f>IFERROR(SR_demand_forecast!E207*#REF!,"-")</f>
        <v>-</v>
      </c>
      <c r="F156" s="78" t="str">
        <f>IFERROR(SR_demand_forecast!F207*#REF!,"-")</f>
        <v>-</v>
      </c>
      <c r="G156" s="78" t="str">
        <f>IFERROR(SR_demand_forecast!G207*#REF!,"-")</f>
        <v>-</v>
      </c>
      <c r="H156" s="78" t="str">
        <f>IFERROR(SR_demand_forecast!H207*#REF!,"-")</f>
        <v>-</v>
      </c>
      <c r="I156" s="78" t="str">
        <f>IFERROR(SR_demand_forecast!I207*#REF!,"-")</f>
        <v>-</v>
      </c>
      <c r="J156" s="78" t="str">
        <f>IFERROR(SR_demand_forecast!J207*#REF!,"-")</f>
        <v>-</v>
      </c>
      <c r="K156" s="78" t="str">
        <f>IFERROR(SR_demand_forecast!K207*#REF!,"-")</f>
        <v>-</v>
      </c>
      <c r="L156" s="78" t="str">
        <f>IFERROR(SR_demand_forecast!L207*#REF!,"-")</f>
        <v>-</v>
      </c>
      <c r="M156" s="78" t="str">
        <f>IFERROR(SR_demand_forecast!M207*#REF!,"-")</f>
        <v>-</v>
      </c>
      <c r="N156" s="78" t="str">
        <f>IFERROR(SR_demand_forecast!N207*#REF!,"-")</f>
        <v>-</v>
      </c>
      <c r="O156" s="78" t="str">
        <f>IFERROR(SR_demand_forecast!O207*#REF!,"-")</f>
        <v>-</v>
      </c>
      <c r="P156" s="78" t="str">
        <f>IFERROR(SR_demand_forecast!P207*#REF!,"-")</f>
        <v>-</v>
      </c>
      <c r="Q156" s="78" t="str">
        <f>IFERROR(SR_demand_forecast!Q207*#REF!,"-")</f>
        <v>-</v>
      </c>
      <c r="R156" s="78" t="str">
        <f>IFERROR(SR_demand_forecast!R207*#REF!,"-")</f>
        <v>-</v>
      </c>
      <c r="S156" s="78" t="str">
        <f>IFERROR(SR_demand_forecast!S207*#REF!,"-")</f>
        <v>-</v>
      </c>
      <c r="T156" s="78" t="str">
        <f>IFERROR(SR_demand_forecast!T207*#REF!,"-")</f>
        <v>-</v>
      </c>
      <c r="U156" s="78" t="str">
        <f>IFERROR(SR_demand_forecast!U207*#REF!,"-")</f>
        <v>-</v>
      </c>
      <c r="V156" s="78" t="str">
        <f>IFERROR(SR_demand_forecast!V207*#REF!,"-")</f>
        <v>-</v>
      </c>
    </row>
    <row r="157" spans="1:22" x14ac:dyDescent="0.3">
      <c r="A157" s="511"/>
      <c r="B157" s="30" t="s">
        <v>42</v>
      </c>
      <c r="C157" s="78" t="str">
        <f>IFERROR(SR_demand_forecast!C208*#REF!,"-")</f>
        <v>-</v>
      </c>
      <c r="D157" s="78" t="str">
        <f>IFERROR(SR_demand_forecast!D208*#REF!,"-")</f>
        <v>-</v>
      </c>
      <c r="E157" s="78" t="str">
        <f>IFERROR(SR_demand_forecast!E208*#REF!,"-")</f>
        <v>-</v>
      </c>
      <c r="F157" s="78" t="str">
        <f>IFERROR(SR_demand_forecast!F208*#REF!,"-")</f>
        <v>-</v>
      </c>
      <c r="G157" s="78" t="str">
        <f>IFERROR(SR_demand_forecast!G208*#REF!,"-")</f>
        <v>-</v>
      </c>
      <c r="H157" s="78" t="str">
        <f>IFERROR(SR_demand_forecast!H208*#REF!,"-")</f>
        <v>-</v>
      </c>
      <c r="I157" s="78" t="str">
        <f>IFERROR(SR_demand_forecast!I208*#REF!,"-")</f>
        <v>-</v>
      </c>
      <c r="J157" s="78" t="str">
        <f>IFERROR(SR_demand_forecast!J208*#REF!,"-")</f>
        <v>-</v>
      </c>
      <c r="K157" s="78" t="str">
        <f>IFERROR(SR_demand_forecast!K208*#REF!,"-")</f>
        <v>-</v>
      </c>
      <c r="L157" s="78" t="str">
        <f>IFERROR(SR_demand_forecast!L208*#REF!,"-")</f>
        <v>-</v>
      </c>
      <c r="M157" s="78" t="str">
        <f>IFERROR(SR_demand_forecast!M208*#REF!,"-")</f>
        <v>-</v>
      </c>
      <c r="N157" s="78" t="str">
        <f>IFERROR(SR_demand_forecast!N208*#REF!,"-")</f>
        <v>-</v>
      </c>
      <c r="O157" s="78" t="str">
        <f>IFERROR(SR_demand_forecast!O208*#REF!,"-")</f>
        <v>-</v>
      </c>
      <c r="P157" s="78" t="str">
        <f>IFERROR(SR_demand_forecast!P208*#REF!,"-")</f>
        <v>-</v>
      </c>
      <c r="Q157" s="78" t="str">
        <f>IFERROR(SR_demand_forecast!Q208*#REF!,"-")</f>
        <v>-</v>
      </c>
      <c r="R157" s="78" t="str">
        <f>IFERROR(SR_demand_forecast!R208*#REF!,"-")</f>
        <v>-</v>
      </c>
      <c r="S157" s="78" t="str">
        <f>IFERROR(SR_demand_forecast!S208*#REF!,"-")</f>
        <v>-</v>
      </c>
      <c r="T157" s="78" t="str">
        <f>IFERROR(SR_demand_forecast!T208*#REF!,"-")</f>
        <v>-</v>
      </c>
      <c r="U157" s="78" t="str">
        <f>IFERROR(SR_demand_forecast!U208*#REF!,"-")</f>
        <v>-</v>
      </c>
      <c r="V157" s="78" t="str">
        <f>IFERROR(SR_demand_forecast!V208*#REF!,"-")</f>
        <v>-</v>
      </c>
    </row>
    <row r="158" spans="1:22" x14ac:dyDescent="0.3">
      <c r="A158" s="511"/>
      <c r="B158" s="30" t="s">
        <v>45</v>
      </c>
      <c r="C158" s="78" t="str">
        <f>IFERROR(SR_demand_forecast!C209*#REF!,"-")</f>
        <v>-</v>
      </c>
      <c r="D158" s="78" t="str">
        <f>IFERROR(SR_demand_forecast!D209*#REF!,"-")</f>
        <v>-</v>
      </c>
      <c r="E158" s="78" t="str">
        <f>IFERROR(SR_demand_forecast!E209*#REF!,"-")</f>
        <v>-</v>
      </c>
      <c r="F158" s="78" t="str">
        <f>IFERROR(SR_demand_forecast!F209*#REF!,"-")</f>
        <v>-</v>
      </c>
      <c r="G158" s="78" t="str">
        <f>IFERROR(SR_demand_forecast!G209*#REF!,"-")</f>
        <v>-</v>
      </c>
      <c r="H158" s="78" t="str">
        <f>IFERROR(SR_demand_forecast!H209*#REF!,"-")</f>
        <v>-</v>
      </c>
      <c r="I158" s="78" t="str">
        <f>IFERROR(SR_demand_forecast!I209*#REF!,"-")</f>
        <v>-</v>
      </c>
      <c r="J158" s="78" t="str">
        <f>IFERROR(SR_demand_forecast!J209*#REF!,"-")</f>
        <v>-</v>
      </c>
      <c r="K158" s="78" t="str">
        <f>IFERROR(SR_demand_forecast!K209*#REF!,"-")</f>
        <v>-</v>
      </c>
      <c r="L158" s="78" t="str">
        <f>IFERROR(SR_demand_forecast!L209*#REF!,"-")</f>
        <v>-</v>
      </c>
      <c r="M158" s="78" t="str">
        <f>IFERROR(SR_demand_forecast!M209*#REF!,"-")</f>
        <v>-</v>
      </c>
      <c r="N158" s="78" t="str">
        <f>IFERROR(SR_demand_forecast!N209*#REF!,"-")</f>
        <v>-</v>
      </c>
      <c r="O158" s="78" t="str">
        <f>IFERROR(SR_demand_forecast!O209*#REF!,"-")</f>
        <v>-</v>
      </c>
      <c r="P158" s="78" t="str">
        <f>IFERROR(SR_demand_forecast!P209*#REF!,"-")</f>
        <v>-</v>
      </c>
      <c r="Q158" s="78" t="str">
        <f>IFERROR(SR_demand_forecast!Q209*#REF!,"-")</f>
        <v>-</v>
      </c>
      <c r="R158" s="78" t="str">
        <f>IFERROR(SR_demand_forecast!R209*#REF!,"-")</f>
        <v>-</v>
      </c>
      <c r="S158" s="78" t="str">
        <f>IFERROR(SR_demand_forecast!S209*#REF!,"-")</f>
        <v>-</v>
      </c>
      <c r="T158" s="78" t="str">
        <f>IFERROR(SR_demand_forecast!T209*#REF!,"-")</f>
        <v>-</v>
      </c>
      <c r="U158" s="78" t="str">
        <f>IFERROR(SR_demand_forecast!U209*#REF!,"-")</f>
        <v>-</v>
      </c>
      <c r="V158" s="78" t="str">
        <f>IFERROR(SR_demand_forecast!V209*#REF!,"-")</f>
        <v>-</v>
      </c>
    </row>
    <row r="159" spans="1:22" x14ac:dyDescent="0.3">
      <c r="A159" s="511"/>
      <c r="B159" s="30" t="s">
        <v>84</v>
      </c>
      <c r="C159" s="124">
        <f t="shared" ref="C159:V159" si="8">SUM(C151:C158)</f>
        <v>0</v>
      </c>
      <c r="D159" s="124">
        <f t="shared" si="8"/>
        <v>0</v>
      </c>
      <c r="E159" s="124">
        <f t="shared" si="8"/>
        <v>0</v>
      </c>
      <c r="F159" s="124">
        <f t="shared" si="8"/>
        <v>0</v>
      </c>
      <c r="G159" s="124">
        <f t="shared" si="8"/>
        <v>0</v>
      </c>
      <c r="H159" s="124">
        <f t="shared" si="8"/>
        <v>0</v>
      </c>
      <c r="I159" s="124">
        <f t="shared" si="8"/>
        <v>0</v>
      </c>
      <c r="J159" s="124">
        <f t="shared" si="8"/>
        <v>0</v>
      </c>
      <c r="K159" s="124">
        <f t="shared" si="8"/>
        <v>0</v>
      </c>
      <c r="L159" s="124">
        <f t="shared" si="8"/>
        <v>0</v>
      </c>
      <c r="M159" s="124">
        <f t="shared" si="8"/>
        <v>0</v>
      </c>
      <c r="N159" s="124">
        <f t="shared" si="8"/>
        <v>0</v>
      </c>
      <c r="O159" s="124">
        <f t="shared" si="8"/>
        <v>0</v>
      </c>
      <c r="P159" s="124">
        <f t="shared" si="8"/>
        <v>0</v>
      </c>
      <c r="Q159" s="124">
        <f t="shared" si="8"/>
        <v>0</v>
      </c>
      <c r="R159" s="124">
        <f t="shared" si="8"/>
        <v>0</v>
      </c>
      <c r="S159" s="124">
        <f t="shared" si="8"/>
        <v>0</v>
      </c>
      <c r="T159" s="124">
        <f t="shared" si="8"/>
        <v>0</v>
      </c>
      <c r="U159" s="124">
        <f t="shared" si="8"/>
        <v>0</v>
      </c>
      <c r="V159" s="124">
        <f t="shared" si="8"/>
        <v>0</v>
      </c>
    </row>
    <row r="160" spans="1:22" x14ac:dyDescent="0.3">
      <c r="A160" s="511"/>
    </row>
    <row r="161" spans="1:22" x14ac:dyDescent="0.3">
      <c r="A161" s="511"/>
    </row>
    <row r="162" spans="1:22" x14ac:dyDescent="0.3">
      <c r="A162" s="511"/>
    </row>
    <row r="163" spans="1:22" x14ac:dyDescent="0.3">
      <c r="A163" s="511"/>
    </row>
    <row r="164" spans="1:22" x14ac:dyDescent="0.3">
      <c r="A164" s="511"/>
    </row>
    <row r="165" spans="1:22" x14ac:dyDescent="0.3">
      <c r="A165" s="511"/>
    </row>
    <row r="166" spans="1:22" x14ac:dyDescent="0.3">
      <c r="A166" s="511"/>
    </row>
    <row r="167" spans="1:22" x14ac:dyDescent="0.3">
      <c r="A167" s="511"/>
    </row>
    <row r="168" spans="1:22" x14ac:dyDescent="0.3">
      <c r="A168" s="511"/>
    </row>
    <row r="169" spans="1:22" x14ac:dyDescent="0.3">
      <c r="A169" s="510">
        <v>0.8</v>
      </c>
      <c r="B169" s="32" t="s">
        <v>149</v>
      </c>
      <c r="L169" s="18"/>
      <c r="M169" s="18"/>
    </row>
    <row r="170" spans="1:22" x14ac:dyDescent="0.3">
      <c r="A170" s="511"/>
      <c r="B170" s="75" t="s">
        <v>82</v>
      </c>
      <c r="C170" s="75">
        <v>2021</v>
      </c>
      <c r="D170" s="76">
        <v>2022</v>
      </c>
      <c r="E170" s="75">
        <v>2023</v>
      </c>
      <c r="F170" s="76">
        <v>2024</v>
      </c>
      <c r="G170" s="75">
        <v>2025</v>
      </c>
      <c r="H170" s="76">
        <v>2026</v>
      </c>
      <c r="I170" s="75">
        <v>2027</v>
      </c>
      <c r="J170" s="76">
        <v>2028</v>
      </c>
      <c r="K170" s="75">
        <v>2029</v>
      </c>
      <c r="L170" s="76">
        <v>2030</v>
      </c>
      <c r="M170" s="75">
        <v>2031</v>
      </c>
      <c r="N170" s="76">
        <v>2032</v>
      </c>
      <c r="O170" s="75">
        <v>2033</v>
      </c>
      <c r="P170" s="76">
        <v>2034</v>
      </c>
      <c r="Q170" s="75">
        <v>2035</v>
      </c>
      <c r="R170" s="76">
        <v>2036</v>
      </c>
      <c r="S170" s="75">
        <v>2037</v>
      </c>
      <c r="T170" s="76">
        <v>2038</v>
      </c>
      <c r="U170" s="75">
        <v>2039</v>
      </c>
      <c r="V170" s="76">
        <v>2040</v>
      </c>
    </row>
    <row r="171" spans="1:22" x14ac:dyDescent="0.3">
      <c r="A171" s="511"/>
      <c r="B171" s="30" t="s">
        <v>43</v>
      </c>
      <c r="C171" s="78" t="str">
        <f>IFERROR(SR_demand_forecast!C56*#REF!,"-")</f>
        <v>-</v>
      </c>
      <c r="D171" s="78" t="str">
        <f>IFERROR(SR_demand_forecast!D56*#REF!,"-")</f>
        <v>-</v>
      </c>
      <c r="E171" s="78" t="str">
        <f>IFERROR(SR_demand_forecast!E56*#REF!,"-")</f>
        <v>-</v>
      </c>
      <c r="F171" s="78" t="str">
        <f>IFERROR(SR_demand_forecast!F56*#REF!,"-")</f>
        <v>-</v>
      </c>
      <c r="G171" s="78" t="str">
        <f>IFERROR(SR_demand_forecast!G56*#REF!,"-")</f>
        <v>-</v>
      </c>
      <c r="H171" s="78" t="str">
        <f>IFERROR(SR_demand_forecast!H56*#REF!,"-")</f>
        <v>-</v>
      </c>
      <c r="I171" s="78" t="str">
        <f>IFERROR(SR_demand_forecast!I56*#REF!,"-")</f>
        <v>-</v>
      </c>
      <c r="J171" s="78" t="str">
        <f>IFERROR(SR_demand_forecast!J56*#REF!,"-")</f>
        <v>-</v>
      </c>
      <c r="K171" s="78" t="str">
        <f>IFERROR(SR_demand_forecast!K56*#REF!,"-")</f>
        <v>-</v>
      </c>
      <c r="L171" s="78" t="str">
        <f>IFERROR(SR_demand_forecast!L56*#REF!,"-")</f>
        <v>-</v>
      </c>
      <c r="M171" s="78" t="str">
        <f>IFERROR(SR_demand_forecast!M56*#REF!,"-")</f>
        <v>-</v>
      </c>
      <c r="N171" s="78" t="str">
        <f>IFERROR(SR_demand_forecast!N56*#REF!,"-")</f>
        <v>-</v>
      </c>
      <c r="O171" s="78" t="str">
        <f>IFERROR(SR_demand_forecast!O56*#REF!,"-")</f>
        <v>-</v>
      </c>
      <c r="P171" s="78" t="str">
        <f>IFERROR(SR_demand_forecast!P56*#REF!,"-")</f>
        <v>-</v>
      </c>
      <c r="Q171" s="78" t="str">
        <f>IFERROR(SR_demand_forecast!Q56*#REF!,"-")</f>
        <v>-</v>
      </c>
      <c r="R171" s="78" t="str">
        <f>IFERROR(SR_demand_forecast!R56*#REF!,"-")</f>
        <v>-</v>
      </c>
      <c r="S171" s="78" t="str">
        <f>IFERROR(SR_demand_forecast!S56*#REF!,"-")</f>
        <v>-</v>
      </c>
      <c r="T171" s="78" t="str">
        <f>IFERROR(SR_demand_forecast!T56*#REF!,"-")</f>
        <v>-</v>
      </c>
      <c r="U171" s="78" t="str">
        <f>IFERROR(SR_demand_forecast!U56*#REF!,"-")</f>
        <v>-</v>
      </c>
      <c r="V171" s="78" t="str">
        <f>IFERROR(SR_demand_forecast!V56*#REF!,"-")</f>
        <v>-</v>
      </c>
    </row>
    <row r="172" spans="1:22" x14ac:dyDescent="0.3">
      <c r="A172" s="511"/>
      <c r="B172" s="30" t="s">
        <v>41</v>
      </c>
      <c r="C172" s="78" t="str">
        <f>IFERROR(SR_demand_forecast!C57*#REF!,"-")</f>
        <v>-</v>
      </c>
      <c r="D172" s="78" t="str">
        <f>IFERROR(SR_demand_forecast!D57*#REF!,"-")</f>
        <v>-</v>
      </c>
      <c r="E172" s="78" t="str">
        <f>IFERROR(SR_demand_forecast!E57*#REF!,"-")</f>
        <v>-</v>
      </c>
      <c r="F172" s="78" t="str">
        <f>IFERROR(SR_demand_forecast!F57*#REF!,"-")</f>
        <v>-</v>
      </c>
      <c r="G172" s="78" t="str">
        <f>IFERROR(SR_demand_forecast!G57*#REF!,"-")</f>
        <v>-</v>
      </c>
      <c r="H172" s="78" t="str">
        <f>IFERROR(SR_demand_forecast!H57*#REF!,"-")</f>
        <v>-</v>
      </c>
      <c r="I172" s="78" t="str">
        <f>IFERROR(SR_demand_forecast!I57*#REF!,"-")</f>
        <v>-</v>
      </c>
      <c r="J172" s="78" t="str">
        <f>IFERROR(SR_demand_forecast!J57*#REF!,"-")</f>
        <v>-</v>
      </c>
      <c r="K172" s="78" t="str">
        <f>IFERROR(SR_demand_forecast!K57*#REF!,"-")</f>
        <v>-</v>
      </c>
      <c r="L172" s="78" t="str">
        <f>IFERROR(SR_demand_forecast!L57*#REF!,"-")</f>
        <v>-</v>
      </c>
      <c r="M172" s="78" t="str">
        <f>IFERROR(SR_demand_forecast!M57*#REF!,"-")</f>
        <v>-</v>
      </c>
      <c r="N172" s="78" t="str">
        <f>IFERROR(SR_demand_forecast!N57*#REF!,"-")</f>
        <v>-</v>
      </c>
      <c r="O172" s="78" t="str">
        <f>IFERROR(SR_demand_forecast!O57*#REF!,"-")</f>
        <v>-</v>
      </c>
      <c r="P172" s="78" t="str">
        <f>IFERROR(SR_demand_forecast!P57*#REF!,"-")</f>
        <v>-</v>
      </c>
      <c r="Q172" s="78" t="str">
        <f>IFERROR(SR_demand_forecast!Q57*#REF!,"-")</f>
        <v>-</v>
      </c>
      <c r="R172" s="78" t="str">
        <f>IFERROR(SR_demand_forecast!R57*#REF!,"-")</f>
        <v>-</v>
      </c>
      <c r="S172" s="78" t="str">
        <f>IFERROR(SR_demand_forecast!S57*#REF!,"-")</f>
        <v>-</v>
      </c>
      <c r="T172" s="78" t="str">
        <f>IFERROR(SR_demand_forecast!T57*#REF!,"-")</f>
        <v>-</v>
      </c>
      <c r="U172" s="78" t="str">
        <f>IFERROR(SR_demand_forecast!U57*#REF!,"-")</f>
        <v>-</v>
      </c>
      <c r="V172" s="78" t="str">
        <f>IFERROR(SR_demand_forecast!V57*#REF!,"-")</f>
        <v>-</v>
      </c>
    </row>
    <row r="173" spans="1:22" x14ac:dyDescent="0.3">
      <c r="A173" s="511"/>
      <c r="B173" s="30" t="s">
        <v>40</v>
      </c>
      <c r="C173" s="78" t="str">
        <f>IFERROR(SR_demand_forecast!C58*#REF!,"-")</f>
        <v>-</v>
      </c>
      <c r="D173" s="78" t="str">
        <f>IFERROR(SR_demand_forecast!D58*#REF!,"-")</f>
        <v>-</v>
      </c>
      <c r="E173" s="78" t="str">
        <f>IFERROR(SR_demand_forecast!E58*#REF!,"-")</f>
        <v>-</v>
      </c>
      <c r="F173" s="78" t="str">
        <f>IFERROR(SR_demand_forecast!F58*#REF!,"-")</f>
        <v>-</v>
      </c>
      <c r="G173" s="78" t="str">
        <f>IFERROR(SR_demand_forecast!G58*#REF!,"-")</f>
        <v>-</v>
      </c>
      <c r="H173" s="78" t="str">
        <f>IFERROR(SR_demand_forecast!H58*#REF!,"-")</f>
        <v>-</v>
      </c>
      <c r="I173" s="78" t="str">
        <f>IFERROR(SR_demand_forecast!I58*#REF!,"-")</f>
        <v>-</v>
      </c>
      <c r="J173" s="78" t="str">
        <f>IFERROR(SR_demand_forecast!J58*#REF!,"-")</f>
        <v>-</v>
      </c>
      <c r="K173" s="78" t="str">
        <f>IFERROR(SR_demand_forecast!K58*#REF!,"-")</f>
        <v>-</v>
      </c>
      <c r="L173" s="78" t="str">
        <f>IFERROR(SR_demand_forecast!L58*#REF!,"-")</f>
        <v>-</v>
      </c>
      <c r="M173" s="78" t="str">
        <f>IFERROR(SR_demand_forecast!M58*#REF!,"-")</f>
        <v>-</v>
      </c>
      <c r="N173" s="78" t="str">
        <f>IFERROR(SR_demand_forecast!N58*#REF!,"-")</f>
        <v>-</v>
      </c>
      <c r="O173" s="78" t="str">
        <f>IFERROR(SR_demand_forecast!O58*#REF!,"-")</f>
        <v>-</v>
      </c>
      <c r="P173" s="78" t="str">
        <f>IFERROR(SR_demand_forecast!P58*#REF!,"-")</f>
        <v>-</v>
      </c>
      <c r="Q173" s="78" t="str">
        <f>IFERROR(SR_demand_forecast!Q58*#REF!,"-")</f>
        <v>-</v>
      </c>
      <c r="R173" s="78" t="str">
        <f>IFERROR(SR_demand_forecast!R58*#REF!,"-")</f>
        <v>-</v>
      </c>
      <c r="S173" s="78" t="str">
        <f>IFERROR(SR_demand_forecast!S58*#REF!,"-")</f>
        <v>-</v>
      </c>
      <c r="T173" s="78" t="str">
        <f>IFERROR(SR_demand_forecast!T58*#REF!,"-")</f>
        <v>-</v>
      </c>
      <c r="U173" s="78" t="str">
        <f>IFERROR(SR_demand_forecast!U58*#REF!,"-")</f>
        <v>-</v>
      </c>
      <c r="V173" s="78" t="str">
        <f>IFERROR(SR_demand_forecast!V58*#REF!,"-")</f>
        <v>-</v>
      </c>
    </row>
    <row r="174" spans="1:22" x14ac:dyDescent="0.3">
      <c r="A174" s="511"/>
      <c r="B174" s="30" t="s">
        <v>80</v>
      </c>
      <c r="C174" s="78" t="str">
        <f>IFERROR(SR_demand_forecast!C59*#REF!,"-")</f>
        <v>-</v>
      </c>
      <c r="D174" s="78" t="str">
        <f>IFERROR(SR_demand_forecast!D59*#REF!,"-")</f>
        <v>-</v>
      </c>
      <c r="E174" s="78" t="str">
        <f>IFERROR(SR_demand_forecast!E59*#REF!,"-")</f>
        <v>-</v>
      </c>
      <c r="F174" s="78" t="str">
        <f>IFERROR(SR_demand_forecast!F59*#REF!,"-")</f>
        <v>-</v>
      </c>
      <c r="G174" s="78" t="str">
        <f>IFERROR(SR_demand_forecast!G59*#REF!,"-")</f>
        <v>-</v>
      </c>
      <c r="H174" s="78" t="str">
        <f>IFERROR(SR_demand_forecast!H59*#REF!,"-")</f>
        <v>-</v>
      </c>
      <c r="I174" s="78" t="str">
        <f>IFERROR(SR_demand_forecast!I59*#REF!,"-")</f>
        <v>-</v>
      </c>
      <c r="J174" s="78" t="str">
        <f>IFERROR(SR_demand_forecast!J59*#REF!,"-")</f>
        <v>-</v>
      </c>
      <c r="K174" s="78" t="str">
        <f>IFERROR(SR_demand_forecast!K59*#REF!,"-")</f>
        <v>-</v>
      </c>
      <c r="L174" s="78" t="str">
        <f>IFERROR(SR_demand_forecast!L59*#REF!,"-")</f>
        <v>-</v>
      </c>
      <c r="M174" s="78" t="str">
        <f>IFERROR(SR_demand_forecast!M59*#REF!,"-")</f>
        <v>-</v>
      </c>
      <c r="N174" s="78" t="str">
        <f>IFERROR(SR_demand_forecast!N59*#REF!,"-")</f>
        <v>-</v>
      </c>
      <c r="O174" s="78" t="str">
        <f>IFERROR(SR_demand_forecast!O59*#REF!,"-")</f>
        <v>-</v>
      </c>
      <c r="P174" s="78" t="str">
        <f>IFERROR(SR_demand_forecast!P59*#REF!,"-")</f>
        <v>-</v>
      </c>
      <c r="Q174" s="78" t="str">
        <f>IFERROR(SR_demand_forecast!Q59*#REF!,"-")</f>
        <v>-</v>
      </c>
      <c r="R174" s="78" t="str">
        <f>IFERROR(SR_demand_forecast!R59*#REF!,"-")</f>
        <v>-</v>
      </c>
      <c r="S174" s="78" t="str">
        <f>IFERROR(SR_demand_forecast!S59*#REF!,"-")</f>
        <v>-</v>
      </c>
      <c r="T174" s="78" t="str">
        <f>IFERROR(SR_demand_forecast!T59*#REF!,"-")</f>
        <v>-</v>
      </c>
      <c r="U174" s="78" t="str">
        <f>IFERROR(SR_demand_forecast!U59*#REF!,"-")</f>
        <v>-</v>
      </c>
      <c r="V174" s="78" t="str">
        <f>IFERROR(SR_demand_forecast!V59*#REF!,"-")</f>
        <v>-</v>
      </c>
    </row>
    <row r="175" spans="1:22" x14ac:dyDescent="0.3">
      <c r="A175" s="511"/>
      <c r="B175" s="30" t="s">
        <v>44</v>
      </c>
      <c r="C175" s="78" t="str">
        <f>IFERROR(SR_demand_forecast!C60*#REF!,"-")</f>
        <v>-</v>
      </c>
      <c r="D175" s="78" t="str">
        <f>IFERROR(SR_demand_forecast!D60*#REF!,"-")</f>
        <v>-</v>
      </c>
      <c r="E175" s="78" t="str">
        <f>IFERROR(SR_demand_forecast!E60*#REF!,"-")</f>
        <v>-</v>
      </c>
      <c r="F175" s="78" t="str">
        <f>IFERROR(SR_demand_forecast!F60*#REF!,"-")</f>
        <v>-</v>
      </c>
      <c r="G175" s="78" t="str">
        <f>IFERROR(SR_demand_forecast!G60*#REF!,"-")</f>
        <v>-</v>
      </c>
      <c r="H175" s="78" t="str">
        <f>IFERROR(SR_demand_forecast!H60*#REF!,"-")</f>
        <v>-</v>
      </c>
      <c r="I175" s="78" t="str">
        <f>IFERROR(SR_demand_forecast!I60*#REF!,"-")</f>
        <v>-</v>
      </c>
      <c r="J175" s="78" t="str">
        <f>IFERROR(SR_demand_forecast!J60*#REF!,"-")</f>
        <v>-</v>
      </c>
      <c r="K175" s="78" t="str">
        <f>IFERROR(SR_demand_forecast!K60*#REF!,"-")</f>
        <v>-</v>
      </c>
      <c r="L175" s="78" t="str">
        <f>IFERROR(SR_demand_forecast!L60*#REF!,"-")</f>
        <v>-</v>
      </c>
      <c r="M175" s="78" t="str">
        <f>IFERROR(SR_demand_forecast!M60*#REF!,"-")</f>
        <v>-</v>
      </c>
      <c r="N175" s="78" t="str">
        <f>IFERROR(SR_demand_forecast!N60*#REF!,"-")</f>
        <v>-</v>
      </c>
      <c r="O175" s="78" t="str">
        <f>IFERROR(SR_demand_forecast!O60*#REF!,"-")</f>
        <v>-</v>
      </c>
      <c r="P175" s="78" t="str">
        <f>IFERROR(SR_demand_forecast!P60*#REF!,"-")</f>
        <v>-</v>
      </c>
      <c r="Q175" s="78" t="str">
        <f>IFERROR(SR_demand_forecast!Q60*#REF!,"-")</f>
        <v>-</v>
      </c>
      <c r="R175" s="78" t="str">
        <f>IFERROR(SR_demand_forecast!R60*#REF!,"-")</f>
        <v>-</v>
      </c>
      <c r="S175" s="78" t="str">
        <f>IFERROR(SR_demand_forecast!S60*#REF!,"-")</f>
        <v>-</v>
      </c>
      <c r="T175" s="78" t="str">
        <f>IFERROR(SR_demand_forecast!T60*#REF!,"-")</f>
        <v>-</v>
      </c>
      <c r="U175" s="78" t="str">
        <f>IFERROR(SR_demand_forecast!U60*#REF!,"-")</f>
        <v>-</v>
      </c>
      <c r="V175" s="78" t="str">
        <f>IFERROR(SR_demand_forecast!V60*#REF!,"-")</f>
        <v>-</v>
      </c>
    </row>
    <row r="176" spans="1:22" x14ac:dyDescent="0.3">
      <c r="A176" s="511"/>
      <c r="B176" s="30" t="s">
        <v>81</v>
      </c>
      <c r="C176" s="78" t="str">
        <f>IFERROR(SR_demand_forecast!C61*#REF!,"-")</f>
        <v>-</v>
      </c>
      <c r="D176" s="78" t="str">
        <f>IFERROR(SR_demand_forecast!D61*#REF!,"-")</f>
        <v>-</v>
      </c>
      <c r="E176" s="78" t="str">
        <f>IFERROR(SR_demand_forecast!E61*#REF!,"-")</f>
        <v>-</v>
      </c>
      <c r="F176" s="78" t="str">
        <f>IFERROR(SR_demand_forecast!F61*#REF!,"-")</f>
        <v>-</v>
      </c>
      <c r="G176" s="78" t="str">
        <f>IFERROR(SR_demand_forecast!G61*#REF!,"-")</f>
        <v>-</v>
      </c>
      <c r="H176" s="78" t="str">
        <f>IFERROR(SR_demand_forecast!H61*#REF!,"-")</f>
        <v>-</v>
      </c>
      <c r="I176" s="78" t="str">
        <f>IFERROR(SR_demand_forecast!I61*#REF!,"-")</f>
        <v>-</v>
      </c>
      <c r="J176" s="78" t="str">
        <f>IFERROR(SR_demand_forecast!J61*#REF!,"-")</f>
        <v>-</v>
      </c>
      <c r="K176" s="78" t="str">
        <f>IFERROR(SR_demand_forecast!K61*#REF!,"-")</f>
        <v>-</v>
      </c>
      <c r="L176" s="78" t="str">
        <f>IFERROR(SR_demand_forecast!L61*#REF!,"-")</f>
        <v>-</v>
      </c>
      <c r="M176" s="78" t="str">
        <f>IFERROR(SR_demand_forecast!M61*#REF!,"-")</f>
        <v>-</v>
      </c>
      <c r="N176" s="78" t="str">
        <f>IFERROR(SR_demand_forecast!N61*#REF!,"-")</f>
        <v>-</v>
      </c>
      <c r="O176" s="78" t="str">
        <f>IFERROR(SR_demand_forecast!O61*#REF!,"-")</f>
        <v>-</v>
      </c>
      <c r="P176" s="78" t="str">
        <f>IFERROR(SR_demand_forecast!P61*#REF!,"-")</f>
        <v>-</v>
      </c>
      <c r="Q176" s="78" t="str">
        <f>IFERROR(SR_demand_forecast!Q61*#REF!,"-")</f>
        <v>-</v>
      </c>
      <c r="R176" s="78" t="str">
        <f>IFERROR(SR_demand_forecast!R61*#REF!,"-")</f>
        <v>-</v>
      </c>
      <c r="S176" s="78" t="str">
        <f>IFERROR(SR_demand_forecast!S61*#REF!,"-")</f>
        <v>-</v>
      </c>
      <c r="T176" s="78" t="str">
        <f>IFERROR(SR_demand_forecast!T61*#REF!,"-")</f>
        <v>-</v>
      </c>
      <c r="U176" s="78" t="str">
        <f>IFERROR(SR_demand_forecast!U61*#REF!,"-")</f>
        <v>-</v>
      </c>
      <c r="V176" s="78" t="str">
        <f>IFERROR(SR_demand_forecast!V61*#REF!,"-")</f>
        <v>-</v>
      </c>
    </row>
    <row r="177" spans="1:22" x14ac:dyDescent="0.3">
      <c r="A177" s="511"/>
      <c r="B177" s="30" t="s">
        <v>42</v>
      </c>
      <c r="C177" s="78" t="str">
        <f>IFERROR(SR_demand_forecast!C62*#REF!,"-")</f>
        <v>-</v>
      </c>
      <c r="D177" s="78" t="str">
        <f>IFERROR(SR_demand_forecast!D62*#REF!,"-")</f>
        <v>-</v>
      </c>
      <c r="E177" s="78" t="str">
        <f>IFERROR(SR_demand_forecast!E62*#REF!,"-")</f>
        <v>-</v>
      </c>
      <c r="F177" s="78" t="str">
        <f>IFERROR(SR_demand_forecast!F62*#REF!,"-")</f>
        <v>-</v>
      </c>
      <c r="G177" s="78" t="str">
        <f>IFERROR(SR_demand_forecast!G62*#REF!,"-")</f>
        <v>-</v>
      </c>
      <c r="H177" s="78" t="str">
        <f>IFERROR(SR_demand_forecast!H62*#REF!,"-")</f>
        <v>-</v>
      </c>
      <c r="I177" s="78" t="str">
        <f>IFERROR(SR_demand_forecast!I62*#REF!,"-")</f>
        <v>-</v>
      </c>
      <c r="J177" s="78" t="str">
        <f>IFERROR(SR_demand_forecast!J62*#REF!,"-")</f>
        <v>-</v>
      </c>
      <c r="K177" s="78" t="str">
        <f>IFERROR(SR_demand_forecast!K62*#REF!,"-")</f>
        <v>-</v>
      </c>
      <c r="L177" s="78" t="str">
        <f>IFERROR(SR_demand_forecast!L62*#REF!,"-")</f>
        <v>-</v>
      </c>
      <c r="M177" s="78" t="str">
        <f>IFERROR(SR_demand_forecast!M62*#REF!,"-")</f>
        <v>-</v>
      </c>
      <c r="N177" s="78" t="str">
        <f>IFERROR(SR_demand_forecast!N62*#REF!,"-")</f>
        <v>-</v>
      </c>
      <c r="O177" s="78" t="str">
        <f>IFERROR(SR_demand_forecast!O62*#REF!,"-")</f>
        <v>-</v>
      </c>
      <c r="P177" s="78" t="str">
        <f>IFERROR(SR_demand_forecast!P62*#REF!,"-")</f>
        <v>-</v>
      </c>
      <c r="Q177" s="78" t="str">
        <f>IFERROR(SR_demand_forecast!Q62*#REF!,"-")</f>
        <v>-</v>
      </c>
      <c r="R177" s="78" t="str">
        <f>IFERROR(SR_demand_forecast!R62*#REF!,"-")</f>
        <v>-</v>
      </c>
      <c r="S177" s="78" t="str">
        <f>IFERROR(SR_demand_forecast!S62*#REF!,"-")</f>
        <v>-</v>
      </c>
      <c r="T177" s="78" t="str">
        <f>IFERROR(SR_demand_forecast!T62*#REF!,"-")</f>
        <v>-</v>
      </c>
      <c r="U177" s="78" t="str">
        <f>IFERROR(SR_demand_forecast!U62*#REF!,"-")</f>
        <v>-</v>
      </c>
      <c r="V177" s="78" t="str">
        <f>IFERROR(SR_demand_forecast!V62*#REF!,"-")</f>
        <v>-</v>
      </c>
    </row>
    <row r="178" spans="1:22" x14ac:dyDescent="0.3">
      <c r="A178" s="511"/>
      <c r="B178" s="30" t="s">
        <v>45</v>
      </c>
      <c r="C178" s="78" t="str">
        <f>IFERROR(SR_demand_forecast!C63*#REF!,"-")</f>
        <v>-</v>
      </c>
      <c r="D178" s="78" t="str">
        <f>IFERROR(SR_demand_forecast!D63*#REF!,"-")</f>
        <v>-</v>
      </c>
      <c r="E178" s="78" t="str">
        <f>IFERROR(SR_demand_forecast!E63*#REF!,"-")</f>
        <v>-</v>
      </c>
      <c r="F178" s="78" t="str">
        <f>IFERROR(SR_demand_forecast!F63*#REF!,"-")</f>
        <v>-</v>
      </c>
      <c r="G178" s="78" t="str">
        <f>IFERROR(SR_demand_forecast!G63*#REF!,"-")</f>
        <v>-</v>
      </c>
      <c r="H178" s="78" t="str">
        <f>IFERROR(SR_demand_forecast!H63*#REF!,"-")</f>
        <v>-</v>
      </c>
      <c r="I178" s="78" t="str">
        <f>IFERROR(SR_demand_forecast!I63*#REF!,"-")</f>
        <v>-</v>
      </c>
      <c r="J178" s="78" t="str">
        <f>IFERROR(SR_demand_forecast!J63*#REF!,"-")</f>
        <v>-</v>
      </c>
      <c r="K178" s="78" t="str">
        <f>IFERROR(SR_demand_forecast!K63*#REF!,"-")</f>
        <v>-</v>
      </c>
      <c r="L178" s="78" t="str">
        <f>IFERROR(SR_demand_forecast!L63*#REF!,"-")</f>
        <v>-</v>
      </c>
      <c r="M178" s="78" t="str">
        <f>IFERROR(SR_demand_forecast!M63*#REF!,"-")</f>
        <v>-</v>
      </c>
      <c r="N178" s="78" t="str">
        <f>IFERROR(SR_demand_forecast!N63*#REF!,"-")</f>
        <v>-</v>
      </c>
      <c r="O178" s="78" t="str">
        <f>IFERROR(SR_demand_forecast!O63*#REF!,"-")</f>
        <v>-</v>
      </c>
      <c r="P178" s="78" t="str">
        <f>IFERROR(SR_demand_forecast!P63*#REF!,"-")</f>
        <v>-</v>
      </c>
      <c r="Q178" s="78" t="str">
        <f>IFERROR(SR_demand_forecast!Q63*#REF!,"-")</f>
        <v>-</v>
      </c>
      <c r="R178" s="78" t="str">
        <f>IFERROR(SR_demand_forecast!R63*#REF!,"-")</f>
        <v>-</v>
      </c>
      <c r="S178" s="78" t="str">
        <f>IFERROR(SR_demand_forecast!S63*#REF!,"-")</f>
        <v>-</v>
      </c>
      <c r="T178" s="78" t="str">
        <f>IFERROR(SR_demand_forecast!T63*#REF!,"-")</f>
        <v>-</v>
      </c>
      <c r="U178" s="78" t="str">
        <f>IFERROR(SR_demand_forecast!U63*#REF!,"-")</f>
        <v>-</v>
      </c>
      <c r="V178" s="78" t="str">
        <f>IFERROR(SR_demand_forecast!V63*#REF!,"-")</f>
        <v>-</v>
      </c>
    </row>
    <row r="179" spans="1:22" x14ac:dyDescent="0.3">
      <c r="A179" s="511"/>
      <c r="B179" s="31" t="s">
        <v>84</v>
      </c>
      <c r="C179" s="124">
        <f t="shared" ref="C179:V179" si="9">SUM(C171:C178)</f>
        <v>0</v>
      </c>
      <c r="D179" s="124">
        <f t="shared" si="9"/>
        <v>0</v>
      </c>
      <c r="E179" s="124">
        <f t="shared" si="9"/>
        <v>0</v>
      </c>
      <c r="F179" s="124">
        <f t="shared" si="9"/>
        <v>0</v>
      </c>
      <c r="G179" s="124">
        <f t="shared" si="9"/>
        <v>0</v>
      </c>
      <c r="H179" s="124">
        <f t="shared" si="9"/>
        <v>0</v>
      </c>
      <c r="I179" s="124">
        <f t="shared" si="9"/>
        <v>0</v>
      </c>
      <c r="J179" s="124">
        <f t="shared" si="9"/>
        <v>0</v>
      </c>
      <c r="K179" s="124">
        <f t="shared" si="9"/>
        <v>0</v>
      </c>
      <c r="L179" s="124">
        <f t="shared" si="9"/>
        <v>0</v>
      </c>
      <c r="M179" s="124">
        <f t="shared" si="9"/>
        <v>0</v>
      </c>
      <c r="N179" s="124">
        <f t="shared" si="9"/>
        <v>0</v>
      </c>
      <c r="O179" s="124">
        <f t="shared" si="9"/>
        <v>0</v>
      </c>
      <c r="P179" s="124">
        <f t="shared" si="9"/>
        <v>0</v>
      </c>
      <c r="Q179" s="124">
        <f t="shared" si="9"/>
        <v>0</v>
      </c>
      <c r="R179" s="124">
        <f t="shared" si="9"/>
        <v>0</v>
      </c>
      <c r="S179" s="124">
        <f t="shared" si="9"/>
        <v>0</v>
      </c>
      <c r="T179" s="124">
        <f t="shared" si="9"/>
        <v>0</v>
      </c>
      <c r="U179" s="124">
        <f t="shared" si="9"/>
        <v>0</v>
      </c>
      <c r="V179" s="124">
        <f t="shared" si="9"/>
        <v>0</v>
      </c>
    </row>
    <row r="180" spans="1:22" x14ac:dyDescent="0.3">
      <c r="A180" s="511"/>
      <c r="B180" s="125"/>
      <c r="C180" s="126"/>
      <c r="D180" s="126"/>
      <c r="E180" s="126"/>
      <c r="F180" s="126"/>
      <c r="G180" s="126"/>
      <c r="H180" s="126"/>
      <c r="I180" s="126"/>
      <c r="J180" s="126"/>
      <c r="K180" s="126"/>
      <c r="L180" s="126"/>
      <c r="M180" s="126"/>
      <c r="N180" s="126"/>
      <c r="O180" s="126"/>
      <c r="P180" s="126"/>
      <c r="Q180" s="126"/>
      <c r="R180" s="126"/>
      <c r="S180" s="126"/>
      <c r="T180" s="126"/>
      <c r="U180" s="126"/>
      <c r="V180" s="126"/>
    </row>
    <row r="181" spans="1:22" x14ac:dyDescent="0.3">
      <c r="A181" s="511"/>
      <c r="B181" s="125"/>
      <c r="C181" s="126"/>
      <c r="D181" s="126"/>
      <c r="E181" s="126"/>
      <c r="F181" s="126"/>
      <c r="G181" s="126"/>
      <c r="H181" s="126"/>
      <c r="I181" s="126"/>
      <c r="J181" s="126"/>
      <c r="K181" s="126"/>
      <c r="L181" s="126"/>
      <c r="M181" s="126"/>
      <c r="N181" s="126"/>
      <c r="O181" s="126"/>
      <c r="P181" s="126"/>
      <c r="Q181" s="126"/>
      <c r="R181" s="126"/>
      <c r="S181" s="126"/>
      <c r="T181" s="126"/>
      <c r="U181" s="126"/>
      <c r="V181" s="126"/>
    </row>
    <row r="182" spans="1:22" x14ac:dyDescent="0.3">
      <c r="A182" s="511"/>
      <c r="B182" s="125"/>
      <c r="C182" s="126"/>
      <c r="D182" s="126"/>
      <c r="E182" s="126"/>
      <c r="F182" s="126"/>
      <c r="G182" s="126"/>
      <c r="H182" s="126"/>
      <c r="I182" s="126"/>
      <c r="J182" s="126"/>
      <c r="K182" s="126"/>
      <c r="L182" s="126"/>
      <c r="M182" s="126"/>
      <c r="N182" s="126"/>
      <c r="O182" s="126"/>
      <c r="P182" s="126"/>
      <c r="Q182" s="126"/>
      <c r="R182" s="126"/>
      <c r="S182" s="126"/>
      <c r="T182" s="126"/>
      <c r="U182" s="126"/>
      <c r="V182" s="126"/>
    </row>
    <row r="183" spans="1:22" x14ac:dyDescent="0.3">
      <c r="A183" s="511"/>
      <c r="B183" s="125"/>
      <c r="C183" s="126"/>
      <c r="D183" s="126"/>
      <c r="E183" s="126"/>
      <c r="F183" s="126"/>
      <c r="G183" s="126"/>
      <c r="H183" s="126"/>
      <c r="I183" s="126"/>
      <c r="J183" s="126"/>
      <c r="K183" s="126"/>
      <c r="L183" s="126"/>
      <c r="M183" s="126"/>
      <c r="N183" s="126"/>
      <c r="O183" s="126"/>
      <c r="P183" s="126"/>
      <c r="Q183" s="126"/>
      <c r="R183" s="126"/>
      <c r="S183" s="126"/>
      <c r="T183" s="126"/>
      <c r="U183" s="126"/>
      <c r="V183" s="126"/>
    </row>
    <row r="184" spans="1:22" x14ac:dyDescent="0.3">
      <c r="A184" s="511"/>
      <c r="B184" s="125"/>
      <c r="C184" s="126"/>
      <c r="D184" s="126"/>
      <c r="E184" s="126"/>
      <c r="F184" s="126"/>
      <c r="G184" s="126"/>
      <c r="H184" s="126"/>
      <c r="I184" s="126"/>
      <c r="J184" s="126"/>
      <c r="K184" s="126"/>
      <c r="L184" s="126"/>
      <c r="M184" s="126"/>
      <c r="N184" s="126"/>
      <c r="O184" s="126"/>
      <c r="P184" s="126"/>
      <c r="Q184" s="126"/>
      <c r="R184" s="126"/>
      <c r="S184" s="126"/>
      <c r="T184" s="126"/>
      <c r="U184" s="126"/>
      <c r="V184" s="126"/>
    </row>
    <row r="185" spans="1:22" x14ac:dyDescent="0.3">
      <c r="A185" s="511"/>
    </row>
    <row r="186" spans="1:22" x14ac:dyDescent="0.3">
      <c r="A186" s="511"/>
    </row>
    <row r="187" spans="1:22" x14ac:dyDescent="0.3">
      <c r="A187" s="511"/>
      <c r="B187" s="32" t="s">
        <v>150</v>
      </c>
      <c r="L187" s="18"/>
      <c r="M187" s="18"/>
    </row>
    <row r="188" spans="1:22" x14ac:dyDescent="0.3">
      <c r="A188" s="511"/>
      <c r="B188" s="75" t="s">
        <v>82</v>
      </c>
      <c r="C188" s="75">
        <v>2021</v>
      </c>
      <c r="D188" s="76">
        <v>2022</v>
      </c>
      <c r="E188" s="75">
        <v>2023</v>
      </c>
      <c r="F188" s="76">
        <v>2024</v>
      </c>
      <c r="G188" s="75">
        <v>2025</v>
      </c>
      <c r="H188" s="76">
        <v>2026</v>
      </c>
      <c r="I188" s="75">
        <v>2027</v>
      </c>
      <c r="J188" s="76">
        <v>2028</v>
      </c>
      <c r="K188" s="75">
        <v>2029</v>
      </c>
      <c r="L188" s="76">
        <v>2030</v>
      </c>
      <c r="M188" s="75">
        <v>2031</v>
      </c>
      <c r="N188" s="76">
        <v>2032</v>
      </c>
      <c r="O188" s="75">
        <v>2033</v>
      </c>
      <c r="P188" s="76">
        <v>2034</v>
      </c>
      <c r="Q188" s="75">
        <v>2035</v>
      </c>
      <c r="R188" s="76">
        <v>2036</v>
      </c>
      <c r="S188" s="75">
        <v>2037</v>
      </c>
      <c r="T188" s="76">
        <v>2038</v>
      </c>
      <c r="U188" s="75">
        <v>2039</v>
      </c>
      <c r="V188" s="76">
        <v>2040</v>
      </c>
    </row>
    <row r="189" spans="1:22" x14ac:dyDescent="0.3">
      <c r="A189" s="511"/>
      <c r="B189" s="30" t="s">
        <v>43</v>
      </c>
      <c r="C189" s="78" t="str">
        <f>IFERROR(SR_demand_forecast!C129*#REF!,"-")</f>
        <v>-</v>
      </c>
      <c r="D189" s="78" t="str">
        <f>IFERROR(SR_demand_forecast!D129*#REF!,"-")</f>
        <v>-</v>
      </c>
      <c r="E189" s="78" t="str">
        <f>IFERROR(SR_demand_forecast!E129*#REF!,"-")</f>
        <v>-</v>
      </c>
      <c r="F189" s="78" t="str">
        <f>IFERROR(SR_demand_forecast!F129*#REF!,"-")</f>
        <v>-</v>
      </c>
      <c r="G189" s="78" t="str">
        <f>IFERROR(SR_demand_forecast!G129*#REF!,"-")</f>
        <v>-</v>
      </c>
      <c r="H189" s="78" t="str">
        <f>IFERROR(SR_demand_forecast!H129*#REF!,"-")</f>
        <v>-</v>
      </c>
      <c r="I189" s="78" t="str">
        <f>IFERROR(SR_demand_forecast!I129*#REF!,"-")</f>
        <v>-</v>
      </c>
      <c r="J189" s="78" t="str">
        <f>IFERROR(SR_demand_forecast!J129*#REF!,"-")</f>
        <v>-</v>
      </c>
      <c r="K189" s="78" t="str">
        <f>IFERROR(SR_demand_forecast!K129*#REF!,"-")</f>
        <v>-</v>
      </c>
      <c r="L189" s="78" t="str">
        <f>IFERROR(SR_demand_forecast!L129*#REF!,"-")</f>
        <v>-</v>
      </c>
      <c r="M189" s="78" t="str">
        <f>IFERROR(SR_demand_forecast!M129*#REF!,"-")</f>
        <v>-</v>
      </c>
      <c r="N189" s="78" t="str">
        <f>IFERROR(SR_demand_forecast!N129*#REF!,"-")</f>
        <v>-</v>
      </c>
      <c r="O189" s="78" t="str">
        <f>IFERROR(SR_demand_forecast!O129*#REF!,"-")</f>
        <v>-</v>
      </c>
      <c r="P189" s="78" t="str">
        <f>IFERROR(SR_demand_forecast!P129*#REF!,"-")</f>
        <v>-</v>
      </c>
      <c r="Q189" s="78" t="str">
        <f>IFERROR(SR_demand_forecast!Q129*#REF!,"-")</f>
        <v>-</v>
      </c>
      <c r="R189" s="78" t="str">
        <f>IFERROR(SR_demand_forecast!R129*#REF!,"-")</f>
        <v>-</v>
      </c>
      <c r="S189" s="78" t="str">
        <f>IFERROR(SR_demand_forecast!S129*#REF!,"-")</f>
        <v>-</v>
      </c>
      <c r="T189" s="78" t="str">
        <f>IFERROR(SR_demand_forecast!T129*#REF!,"-")</f>
        <v>-</v>
      </c>
      <c r="U189" s="78" t="str">
        <f>IFERROR(SR_demand_forecast!U129*#REF!,"-")</f>
        <v>-</v>
      </c>
      <c r="V189" s="78" t="str">
        <f>IFERROR(SR_demand_forecast!V129*#REF!,"-")</f>
        <v>-</v>
      </c>
    </row>
    <row r="190" spans="1:22" x14ac:dyDescent="0.3">
      <c r="A190" s="511"/>
      <c r="B190" s="30" t="s">
        <v>41</v>
      </c>
      <c r="C190" s="78" t="str">
        <f>IFERROR(SR_demand_forecast!C130*#REF!,"-")</f>
        <v>-</v>
      </c>
      <c r="D190" s="78" t="str">
        <f>IFERROR(SR_demand_forecast!D130*#REF!,"-")</f>
        <v>-</v>
      </c>
      <c r="E190" s="78" t="str">
        <f>IFERROR(SR_demand_forecast!E130*#REF!,"-")</f>
        <v>-</v>
      </c>
      <c r="F190" s="78" t="str">
        <f>IFERROR(SR_demand_forecast!F130*#REF!,"-")</f>
        <v>-</v>
      </c>
      <c r="G190" s="78" t="str">
        <f>IFERROR(SR_demand_forecast!G130*#REF!,"-")</f>
        <v>-</v>
      </c>
      <c r="H190" s="78" t="str">
        <f>IFERROR(SR_demand_forecast!H130*#REF!,"-")</f>
        <v>-</v>
      </c>
      <c r="I190" s="78" t="str">
        <f>IFERROR(SR_demand_forecast!I130*#REF!,"-")</f>
        <v>-</v>
      </c>
      <c r="J190" s="78" t="str">
        <f>IFERROR(SR_demand_forecast!J130*#REF!,"-")</f>
        <v>-</v>
      </c>
      <c r="K190" s="78" t="str">
        <f>IFERROR(SR_demand_forecast!K130*#REF!,"-")</f>
        <v>-</v>
      </c>
      <c r="L190" s="78" t="str">
        <f>IFERROR(SR_demand_forecast!L130*#REF!,"-")</f>
        <v>-</v>
      </c>
      <c r="M190" s="78" t="str">
        <f>IFERROR(SR_demand_forecast!M130*#REF!,"-")</f>
        <v>-</v>
      </c>
      <c r="N190" s="78" t="str">
        <f>IFERROR(SR_demand_forecast!N130*#REF!,"-")</f>
        <v>-</v>
      </c>
      <c r="O190" s="78" t="str">
        <f>IFERROR(SR_demand_forecast!O130*#REF!,"-")</f>
        <v>-</v>
      </c>
      <c r="P190" s="78" t="str">
        <f>IFERROR(SR_demand_forecast!P130*#REF!,"-")</f>
        <v>-</v>
      </c>
      <c r="Q190" s="78" t="str">
        <f>IFERROR(SR_demand_forecast!Q130*#REF!,"-")</f>
        <v>-</v>
      </c>
      <c r="R190" s="78" t="str">
        <f>IFERROR(SR_demand_forecast!R130*#REF!,"-")</f>
        <v>-</v>
      </c>
      <c r="S190" s="78" t="str">
        <f>IFERROR(SR_demand_forecast!S130*#REF!,"-")</f>
        <v>-</v>
      </c>
      <c r="T190" s="78" t="str">
        <f>IFERROR(SR_demand_forecast!T130*#REF!,"-")</f>
        <v>-</v>
      </c>
      <c r="U190" s="78" t="str">
        <f>IFERROR(SR_demand_forecast!U130*#REF!,"-")</f>
        <v>-</v>
      </c>
      <c r="V190" s="78" t="str">
        <f>IFERROR(SR_demand_forecast!V130*#REF!,"-")</f>
        <v>-</v>
      </c>
    </row>
    <row r="191" spans="1:22" x14ac:dyDescent="0.3">
      <c r="A191" s="511"/>
      <c r="B191" s="30" t="s">
        <v>40</v>
      </c>
      <c r="C191" s="78" t="str">
        <f>IFERROR(SR_demand_forecast!C131*#REF!,"-")</f>
        <v>-</v>
      </c>
      <c r="D191" s="78" t="str">
        <f>IFERROR(SR_demand_forecast!D131*#REF!,"-")</f>
        <v>-</v>
      </c>
      <c r="E191" s="78" t="str">
        <f>IFERROR(SR_demand_forecast!E131*#REF!,"-")</f>
        <v>-</v>
      </c>
      <c r="F191" s="78" t="str">
        <f>IFERROR(SR_demand_forecast!F131*#REF!,"-")</f>
        <v>-</v>
      </c>
      <c r="G191" s="78" t="str">
        <f>IFERROR(SR_demand_forecast!G131*#REF!,"-")</f>
        <v>-</v>
      </c>
      <c r="H191" s="78" t="str">
        <f>IFERROR(SR_demand_forecast!H131*#REF!,"-")</f>
        <v>-</v>
      </c>
      <c r="I191" s="78" t="str">
        <f>IFERROR(SR_demand_forecast!I131*#REF!,"-")</f>
        <v>-</v>
      </c>
      <c r="J191" s="78" t="str">
        <f>IFERROR(SR_demand_forecast!J131*#REF!,"-")</f>
        <v>-</v>
      </c>
      <c r="K191" s="78" t="str">
        <f>IFERROR(SR_demand_forecast!K131*#REF!,"-")</f>
        <v>-</v>
      </c>
      <c r="L191" s="78" t="str">
        <f>IFERROR(SR_demand_forecast!L131*#REF!,"-")</f>
        <v>-</v>
      </c>
      <c r="M191" s="78" t="str">
        <f>IFERROR(SR_demand_forecast!M131*#REF!,"-")</f>
        <v>-</v>
      </c>
      <c r="N191" s="78" t="str">
        <f>IFERROR(SR_demand_forecast!N131*#REF!,"-")</f>
        <v>-</v>
      </c>
      <c r="O191" s="78" t="str">
        <f>IFERROR(SR_demand_forecast!O131*#REF!,"-")</f>
        <v>-</v>
      </c>
      <c r="P191" s="78" t="str">
        <f>IFERROR(SR_demand_forecast!P131*#REF!,"-")</f>
        <v>-</v>
      </c>
      <c r="Q191" s="78" t="str">
        <f>IFERROR(SR_demand_forecast!Q131*#REF!,"-")</f>
        <v>-</v>
      </c>
      <c r="R191" s="78" t="str">
        <f>IFERROR(SR_demand_forecast!R131*#REF!,"-")</f>
        <v>-</v>
      </c>
      <c r="S191" s="78" t="str">
        <f>IFERROR(SR_demand_forecast!S131*#REF!,"-")</f>
        <v>-</v>
      </c>
      <c r="T191" s="78" t="str">
        <f>IFERROR(SR_demand_forecast!T131*#REF!,"-")</f>
        <v>-</v>
      </c>
      <c r="U191" s="78" t="str">
        <f>IFERROR(SR_demand_forecast!U131*#REF!,"-")</f>
        <v>-</v>
      </c>
      <c r="V191" s="78" t="str">
        <f>IFERROR(SR_demand_forecast!V131*#REF!,"-")</f>
        <v>-</v>
      </c>
    </row>
    <row r="192" spans="1:22" x14ac:dyDescent="0.3">
      <c r="A192" s="511"/>
      <c r="B192" s="30" t="s">
        <v>80</v>
      </c>
      <c r="C192" s="78" t="str">
        <f>IFERROR(SR_demand_forecast!C132*#REF!,"-")</f>
        <v>-</v>
      </c>
      <c r="D192" s="78" t="str">
        <f>IFERROR(SR_demand_forecast!D132*#REF!,"-")</f>
        <v>-</v>
      </c>
      <c r="E192" s="78" t="str">
        <f>IFERROR(SR_demand_forecast!E132*#REF!,"-")</f>
        <v>-</v>
      </c>
      <c r="F192" s="78" t="str">
        <f>IFERROR(SR_demand_forecast!F132*#REF!,"-")</f>
        <v>-</v>
      </c>
      <c r="G192" s="78" t="str">
        <f>IFERROR(SR_demand_forecast!G132*#REF!,"-")</f>
        <v>-</v>
      </c>
      <c r="H192" s="78" t="str">
        <f>IFERROR(SR_demand_forecast!H132*#REF!,"-")</f>
        <v>-</v>
      </c>
      <c r="I192" s="78" t="str">
        <f>IFERROR(SR_demand_forecast!I132*#REF!,"-")</f>
        <v>-</v>
      </c>
      <c r="J192" s="78" t="str">
        <f>IFERROR(SR_demand_forecast!J132*#REF!,"-")</f>
        <v>-</v>
      </c>
      <c r="K192" s="78" t="str">
        <f>IFERROR(SR_demand_forecast!K132*#REF!,"-")</f>
        <v>-</v>
      </c>
      <c r="L192" s="78" t="str">
        <f>IFERROR(SR_demand_forecast!L132*#REF!,"-")</f>
        <v>-</v>
      </c>
      <c r="M192" s="78" t="str">
        <f>IFERROR(SR_demand_forecast!M132*#REF!,"-")</f>
        <v>-</v>
      </c>
      <c r="N192" s="78" t="str">
        <f>IFERROR(SR_demand_forecast!N132*#REF!,"-")</f>
        <v>-</v>
      </c>
      <c r="O192" s="78" t="str">
        <f>IFERROR(SR_demand_forecast!O132*#REF!,"-")</f>
        <v>-</v>
      </c>
      <c r="P192" s="78" t="str">
        <f>IFERROR(SR_demand_forecast!P132*#REF!,"-")</f>
        <v>-</v>
      </c>
      <c r="Q192" s="78" t="str">
        <f>IFERROR(SR_demand_forecast!Q132*#REF!,"-")</f>
        <v>-</v>
      </c>
      <c r="R192" s="78" t="str">
        <f>IFERROR(SR_demand_forecast!R132*#REF!,"-")</f>
        <v>-</v>
      </c>
      <c r="S192" s="78" t="str">
        <f>IFERROR(SR_demand_forecast!S132*#REF!,"-")</f>
        <v>-</v>
      </c>
      <c r="T192" s="78" t="str">
        <f>IFERROR(SR_demand_forecast!T132*#REF!,"-")</f>
        <v>-</v>
      </c>
      <c r="U192" s="78" t="str">
        <f>IFERROR(SR_demand_forecast!U132*#REF!,"-")</f>
        <v>-</v>
      </c>
      <c r="V192" s="78" t="str">
        <f>IFERROR(SR_demand_forecast!V132*#REF!,"-")</f>
        <v>-</v>
      </c>
    </row>
    <row r="193" spans="1:22" x14ac:dyDescent="0.3">
      <c r="A193" s="511"/>
      <c r="B193" s="30" t="s">
        <v>44</v>
      </c>
      <c r="C193" s="78" t="str">
        <f>IFERROR(SR_demand_forecast!C133*#REF!,"-")</f>
        <v>-</v>
      </c>
      <c r="D193" s="78" t="str">
        <f>IFERROR(SR_demand_forecast!D133*#REF!,"-")</f>
        <v>-</v>
      </c>
      <c r="E193" s="78" t="str">
        <f>IFERROR(SR_demand_forecast!E133*#REF!,"-")</f>
        <v>-</v>
      </c>
      <c r="F193" s="78" t="str">
        <f>IFERROR(SR_demand_forecast!F133*#REF!,"-")</f>
        <v>-</v>
      </c>
      <c r="G193" s="78" t="str">
        <f>IFERROR(SR_demand_forecast!G133*#REF!,"-")</f>
        <v>-</v>
      </c>
      <c r="H193" s="78" t="str">
        <f>IFERROR(SR_demand_forecast!H133*#REF!,"-")</f>
        <v>-</v>
      </c>
      <c r="I193" s="78" t="str">
        <f>IFERROR(SR_demand_forecast!I133*#REF!,"-")</f>
        <v>-</v>
      </c>
      <c r="J193" s="78" t="str">
        <f>IFERROR(SR_demand_forecast!J133*#REF!,"-")</f>
        <v>-</v>
      </c>
      <c r="K193" s="78" t="str">
        <f>IFERROR(SR_demand_forecast!K133*#REF!,"-")</f>
        <v>-</v>
      </c>
      <c r="L193" s="78" t="str">
        <f>IFERROR(SR_demand_forecast!L133*#REF!,"-")</f>
        <v>-</v>
      </c>
      <c r="M193" s="78" t="str">
        <f>IFERROR(SR_demand_forecast!M133*#REF!,"-")</f>
        <v>-</v>
      </c>
      <c r="N193" s="78" t="str">
        <f>IFERROR(SR_demand_forecast!N133*#REF!,"-")</f>
        <v>-</v>
      </c>
      <c r="O193" s="78" t="str">
        <f>IFERROR(SR_demand_forecast!O133*#REF!,"-")</f>
        <v>-</v>
      </c>
      <c r="P193" s="78" t="str">
        <f>IFERROR(SR_demand_forecast!P133*#REF!,"-")</f>
        <v>-</v>
      </c>
      <c r="Q193" s="78" t="str">
        <f>IFERROR(SR_demand_forecast!Q133*#REF!,"-")</f>
        <v>-</v>
      </c>
      <c r="R193" s="78" t="str">
        <f>IFERROR(SR_demand_forecast!R133*#REF!,"-")</f>
        <v>-</v>
      </c>
      <c r="S193" s="78" t="str">
        <f>IFERROR(SR_demand_forecast!S133*#REF!,"-")</f>
        <v>-</v>
      </c>
      <c r="T193" s="78" t="str">
        <f>IFERROR(SR_demand_forecast!T133*#REF!,"-")</f>
        <v>-</v>
      </c>
      <c r="U193" s="78" t="str">
        <f>IFERROR(SR_demand_forecast!U133*#REF!,"-")</f>
        <v>-</v>
      </c>
      <c r="V193" s="78" t="str">
        <f>IFERROR(SR_demand_forecast!V133*#REF!,"-")</f>
        <v>-</v>
      </c>
    </row>
    <row r="194" spans="1:22" x14ac:dyDescent="0.3">
      <c r="A194" s="511"/>
      <c r="B194" s="30" t="s">
        <v>81</v>
      </c>
      <c r="C194" s="78" t="str">
        <f>IFERROR(SR_demand_forecast!C134*#REF!,"-")</f>
        <v>-</v>
      </c>
      <c r="D194" s="78" t="str">
        <f>IFERROR(SR_demand_forecast!D134*#REF!,"-")</f>
        <v>-</v>
      </c>
      <c r="E194" s="78" t="str">
        <f>IFERROR(SR_demand_forecast!E134*#REF!,"-")</f>
        <v>-</v>
      </c>
      <c r="F194" s="78" t="str">
        <f>IFERROR(SR_demand_forecast!F134*#REF!,"-")</f>
        <v>-</v>
      </c>
      <c r="G194" s="78" t="str">
        <f>IFERROR(SR_demand_forecast!G134*#REF!,"-")</f>
        <v>-</v>
      </c>
      <c r="H194" s="78" t="str">
        <f>IFERROR(SR_demand_forecast!H134*#REF!,"-")</f>
        <v>-</v>
      </c>
      <c r="I194" s="78" t="str">
        <f>IFERROR(SR_demand_forecast!I134*#REF!,"-")</f>
        <v>-</v>
      </c>
      <c r="J194" s="78" t="str">
        <f>IFERROR(SR_demand_forecast!J134*#REF!,"-")</f>
        <v>-</v>
      </c>
      <c r="K194" s="78" t="str">
        <f>IFERROR(SR_demand_forecast!K134*#REF!,"-")</f>
        <v>-</v>
      </c>
      <c r="L194" s="78" t="str">
        <f>IFERROR(SR_demand_forecast!L134*#REF!,"-")</f>
        <v>-</v>
      </c>
      <c r="M194" s="78" t="str">
        <f>IFERROR(SR_demand_forecast!M134*#REF!,"-")</f>
        <v>-</v>
      </c>
      <c r="N194" s="78" t="str">
        <f>IFERROR(SR_demand_forecast!N134*#REF!,"-")</f>
        <v>-</v>
      </c>
      <c r="O194" s="78" t="str">
        <f>IFERROR(SR_demand_forecast!O134*#REF!,"-")</f>
        <v>-</v>
      </c>
      <c r="P194" s="78" t="str">
        <f>IFERROR(SR_demand_forecast!P134*#REF!,"-")</f>
        <v>-</v>
      </c>
      <c r="Q194" s="78" t="str">
        <f>IFERROR(SR_demand_forecast!Q134*#REF!,"-")</f>
        <v>-</v>
      </c>
      <c r="R194" s="78" t="str">
        <f>IFERROR(SR_demand_forecast!R134*#REF!,"-")</f>
        <v>-</v>
      </c>
      <c r="S194" s="78" t="str">
        <f>IFERROR(SR_demand_forecast!S134*#REF!,"-")</f>
        <v>-</v>
      </c>
      <c r="T194" s="78" t="str">
        <f>IFERROR(SR_demand_forecast!T134*#REF!,"-")</f>
        <v>-</v>
      </c>
      <c r="U194" s="78" t="str">
        <f>IFERROR(SR_demand_forecast!U134*#REF!,"-")</f>
        <v>-</v>
      </c>
      <c r="V194" s="78" t="str">
        <f>IFERROR(SR_demand_forecast!V134*#REF!,"-")</f>
        <v>-</v>
      </c>
    </row>
    <row r="195" spans="1:22" x14ac:dyDescent="0.3">
      <c r="A195" s="511"/>
      <c r="B195" s="30" t="s">
        <v>42</v>
      </c>
      <c r="C195" s="78" t="str">
        <f>IFERROR(SR_demand_forecast!C135*#REF!,"-")</f>
        <v>-</v>
      </c>
      <c r="D195" s="78" t="str">
        <f>IFERROR(SR_demand_forecast!D135*#REF!,"-")</f>
        <v>-</v>
      </c>
      <c r="E195" s="78" t="str">
        <f>IFERROR(SR_demand_forecast!E135*#REF!,"-")</f>
        <v>-</v>
      </c>
      <c r="F195" s="78" t="str">
        <f>IFERROR(SR_demand_forecast!F135*#REF!,"-")</f>
        <v>-</v>
      </c>
      <c r="G195" s="78" t="str">
        <f>IFERROR(SR_demand_forecast!G135*#REF!,"-")</f>
        <v>-</v>
      </c>
      <c r="H195" s="78" t="str">
        <f>IFERROR(SR_demand_forecast!H135*#REF!,"-")</f>
        <v>-</v>
      </c>
      <c r="I195" s="78" t="str">
        <f>IFERROR(SR_demand_forecast!I135*#REF!,"-")</f>
        <v>-</v>
      </c>
      <c r="J195" s="78" t="str">
        <f>IFERROR(SR_demand_forecast!J135*#REF!,"-")</f>
        <v>-</v>
      </c>
      <c r="K195" s="78" t="str">
        <f>IFERROR(SR_demand_forecast!K135*#REF!,"-")</f>
        <v>-</v>
      </c>
      <c r="L195" s="78" t="str">
        <f>IFERROR(SR_demand_forecast!L135*#REF!,"-")</f>
        <v>-</v>
      </c>
      <c r="M195" s="78" t="str">
        <f>IFERROR(SR_demand_forecast!M135*#REF!,"-")</f>
        <v>-</v>
      </c>
      <c r="N195" s="78" t="str">
        <f>IFERROR(SR_demand_forecast!N135*#REF!,"-")</f>
        <v>-</v>
      </c>
      <c r="O195" s="78" t="str">
        <f>IFERROR(SR_demand_forecast!O135*#REF!,"-")</f>
        <v>-</v>
      </c>
      <c r="P195" s="78" t="str">
        <f>IFERROR(SR_demand_forecast!P135*#REF!,"-")</f>
        <v>-</v>
      </c>
      <c r="Q195" s="78" t="str">
        <f>IFERROR(SR_demand_forecast!Q135*#REF!,"-")</f>
        <v>-</v>
      </c>
      <c r="R195" s="78" t="str">
        <f>IFERROR(SR_demand_forecast!R135*#REF!,"-")</f>
        <v>-</v>
      </c>
      <c r="S195" s="78" t="str">
        <f>IFERROR(SR_demand_forecast!S135*#REF!,"-")</f>
        <v>-</v>
      </c>
      <c r="T195" s="78" t="str">
        <f>IFERROR(SR_demand_forecast!T135*#REF!,"-")</f>
        <v>-</v>
      </c>
      <c r="U195" s="78" t="str">
        <f>IFERROR(SR_demand_forecast!U135*#REF!,"-")</f>
        <v>-</v>
      </c>
      <c r="V195" s="78" t="str">
        <f>IFERROR(SR_demand_forecast!V135*#REF!,"-")</f>
        <v>-</v>
      </c>
    </row>
    <row r="196" spans="1:22" x14ac:dyDescent="0.3">
      <c r="A196" s="511"/>
      <c r="B196" s="30" t="s">
        <v>45</v>
      </c>
      <c r="C196" s="78" t="str">
        <f>IFERROR(SR_demand_forecast!C136*#REF!,"-")</f>
        <v>-</v>
      </c>
      <c r="D196" s="78" t="str">
        <f>IFERROR(SR_demand_forecast!D136*#REF!,"-")</f>
        <v>-</v>
      </c>
      <c r="E196" s="78" t="str">
        <f>IFERROR(SR_demand_forecast!E136*#REF!,"-")</f>
        <v>-</v>
      </c>
      <c r="F196" s="78" t="str">
        <f>IFERROR(SR_demand_forecast!F136*#REF!,"-")</f>
        <v>-</v>
      </c>
      <c r="G196" s="78" t="str">
        <f>IFERROR(SR_demand_forecast!G136*#REF!,"-")</f>
        <v>-</v>
      </c>
      <c r="H196" s="78" t="str">
        <f>IFERROR(SR_demand_forecast!H136*#REF!,"-")</f>
        <v>-</v>
      </c>
      <c r="I196" s="78" t="str">
        <f>IFERROR(SR_demand_forecast!I136*#REF!,"-")</f>
        <v>-</v>
      </c>
      <c r="J196" s="78" t="str">
        <f>IFERROR(SR_demand_forecast!J136*#REF!,"-")</f>
        <v>-</v>
      </c>
      <c r="K196" s="78" t="str">
        <f>IFERROR(SR_demand_forecast!K136*#REF!,"-")</f>
        <v>-</v>
      </c>
      <c r="L196" s="78" t="str">
        <f>IFERROR(SR_demand_forecast!L136*#REF!,"-")</f>
        <v>-</v>
      </c>
      <c r="M196" s="78" t="str">
        <f>IFERROR(SR_demand_forecast!M136*#REF!,"-")</f>
        <v>-</v>
      </c>
      <c r="N196" s="78" t="str">
        <f>IFERROR(SR_demand_forecast!N136*#REF!,"-")</f>
        <v>-</v>
      </c>
      <c r="O196" s="78" t="str">
        <f>IFERROR(SR_demand_forecast!O136*#REF!,"-")</f>
        <v>-</v>
      </c>
      <c r="P196" s="78" t="str">
        <f>IFERROR(SR_demand_forecast!P136*#REF!,"-")</f>
        <v>-</v>
      </c>
      <c r="Q196" s="78" t="str">
        <f>IFERROR(SR_demand_forecast!Q136*#REF!,"-")</f>
        <v>-</v>
      </c>
      <c r="R196" s="78" t="str">
        <f>IFERROR(SR_demand_forecast!R136*#REF!,"-")</f>
        <v>-</v>
      </c>
      <c r="S196" s="78" t="str">
        <f>IFERROR(SR_demand_forecast!S136*#REF!,"-")</f>
        <v>-</v>
      </c>
      <c r="T196" s="78" t="str">
        <f>IFERROR(SR_demand_forecast!T136*#REF!,"-")</f>
        <v>-</v>
      </c>
      <c r="U196" s="78" t="str">
        <f>IFERROR(SR_demand_forecast!U136*#REF!,"-")</f>
        <v>-</v>
      </c>
      <c r="V196" s="78" t="str">
        <f>IFERROR(SR_demand_forecast!V136*#REF!,"-")</f>
        <v>-</v>
      </c>
    </row>
    <row r="197" spans="1:22" x14ac:dyDescent="0.3">
      <c r="A197" s="511"/>
      <c r="B197" s="30" t="s">
        <v>84</v>
      </c>
      <c r="C197" s="124">
        <f t="shared" ref="C197:V197" si="10">SUM(C189:C196)</f>
        <v>0</v>
      </c>
      <c r="D197" s="124">
        <f t="shared" si="10"/>
        <v>0</v>
      </c>
      <c r="E197" s="124">
        <f t="shared" si="10"/>
        <v>0</v>
      </c>
      <c r="F197" s="124">
        <f t="shared" si="10"/>
        <v>0</v>
      </c>
      <c r="G197" s="124">
        <f t="shared" si="10"/>
        <v>0</v>
      </c>
      <c r="H197" s="124">
        <f t="shared" si="10"/>
        <v>0</v>
      </c>
      <c r="I197" s="124">
        <f t="shared" si="10"/>
        <v>0</v>
      </c>
      <c r="J197" s="124">
        <f t="shared" si="10"/>
        <v>0</v>
      </c>
      <c r="K197" s="124">
        <f t="shared" si="10"/>
        <v>0</v>
      </c>
      <c r="L197" s="124">
        <f t="shared" si="10"/>
        <v>0</v>
      </c>
      <c r="M197" s="124">
        <f t="shared" si="10"/>
        <v>0</v>
      </c>
      <c r="N197" s="124">
        <f t="shared" si="10"/>
        <v>0</v>
      </c>
      <c r="O197" s="124">
        <f t="shared" si="10"/>
        <v>0</v>
      </c>
      <c r="P197" s="124">
        <f t="shared" si="10"/>
        <v>0</v>
      </c>
      <c r="Q197" s="124">
        <f t="shared" si="10"/>
        <v>0</v>
      </c>
      <c r="R197" s="124">
        <f t="shared" si="10"/>
        <v>0</v>
      </c>
      <c r="S197" s="124">
        <f t="shared" si="10"/>
        <v>0</v>
      </c>
      <c r="T197" s="124">
        <f t="shared" si="10"/>
        <v>0</v>
      </c>
      <c r="U197" s="124">
        <f t="shared" si="10"/>
        <v>0</v>
      </c>
      <c r="V197" s="124">
        <f t="shared" si="10"/>
        <v>0</v>
      </c>
    </row>
    <row r="198" spans="1:22" x14ac:dyDescent="0.3">
      <c r="A198" s="511"/>
    </row>
    <row r="199" spans="1:22" x14ac:dyDescent="0.3">
      <c r="A199" s="511"/>
    </row>
    <row r="200" spans="1:22" x14ac:dyDescent="0.3">
      <c r="A200" s="511"/>
    </row>
    <row r="201" spans="1:22" x14ac:dyDescent="0.3">
      <c r="A201" s="511"/>
    </row>
    <row r="202" spans="1:22" x14ac:dyDescent="0.3">
      <c r="A202" s="511"/>
    </row>
    <row r="203" spans="1:22" x14ac:dyDescent="0.3">
      <c r="A203" s="511"/>
    </row>
    <row r="204" spans="1:22" x14ac:dyDescent="0.3">
      <c r="A204" s="511"/>
    </row>
    <row r="205" spans="1:22" x14ac:dyDescent="0.3">
      <c r="A205" s="511"/>
      <c r="B205" s="32" t="s">
        <v>151</v>
      </c>
      <c r="L205" s="18"/>
      <c r="M205" s="18"/>
    </row>
    <row r="206" spans="1:22" x14ac:dyDescent="0.3">
      <c r="A206" s="511"/>
      <c r="B206" s="75" t="s">
        <v>82</v>
      </c>
      <c r="C206" s="75">
        <v>2021</v>
      </c>
      <c r="D206" s="76">
        <v>2022</v>
      </c>
      <c r="E206" s="75">
        <v>2023</v>
      </c>
      <c r="F206" s="76">
        <v>2024</v>
      </c>
      <c r="G206" s="75">
        <v>2025</v>
      </c>
      <c r="H206" s="76">
        <v>2026</v>
      </c>
      <c r="I206" s="75">
        <v>2027</v>
      </c>
      <c r="J206" s="76">
        <v>2028</v>
      </c>
      <c r="K206" s="75">
        <v>2029</v>
      </c>
      <c r="L206" s="76">
        <v>2030</v>
      </c>
      <c r="M206" s="75">
        <v>2031</v>
      </c>
      <c r="N206" s="76">
        <v>2032</v>
      </c>
      <c r="O206" s="75">
        <v>2033</v>
      </c>
      <c r="P206" s="76">
        <v>2034</v>
      </c>
      <c r="Q206" s="75">
        <v>2035</v>
      </c>
      <c r="R206" s="76">
        <v>2036</v>
      </c>
      <c r="S206" s="75">
        <v>2037</v>
      </c>
      <c r="T206" s="76">
        <v>2038</v>
      </c>
      <c r="U206" s="75">
        <v>2039</v>
      </c>
      <c r="V206" s="76">
        <v>2040</v>
      </c>
    </row>
    <row r="207" spans="1:22" x14ac:dyDescent="0.3">
      <c r="A207" s="511"/>
      <c r="B207" s="30" t="s">
        <v>43</v>
      </c>
      <c r="C207" s="78" t="str">
        <f>IFERROR(SR_demand_forecast!C202*#REF!,"-")</f>
        <v>-</v>
      </c>
      <c r="D207" s="78" t="str">
        <f>IFERROR(SR_demand_forecast!D202*#REF!,"-")</f>
        <v>-</v>
      </c>
      <c r="E207" s="78" t="str">
        <f>IFERROR(SR_demand_forecast!E202*#REF!,"-")</f>
        <v>-</v>
      </c>
      <c r="F207" s="78" t="str">
        <f>IFERROR(SR_demand_forecast!F202*#REF!,"-")</f>
        <v>-</v>
      </c>
      <c r="G207" s="78" t="str">
        <f>IFERROR(SR_demand_forecast!G202*#REF!,"-")</f>
        <v>-</v>
      </c>
      <c r="H207" s="78" t="str">
        <f>IFERROR(SR_demand_forecast!H202*#REF!,"-")</f>
        <v>-</v>
      </c>
      <c r="I207" s="78" t="str">
        <f>IFERROR(SR_demand_forecast!I202*#REF!,"-")</f>
        <v>-</v>
      </c>
      <c r="J207" s="78" t="str">
        <f>IFERROR(SR_demand_forecast!J202*#REF!,"-")</f>
        <v>-</v>
      </c>
      <c r="K207" s="78" t="str">
        <f>IFERROR(SR_demand_forecast!K202*#REF!,"-")</f>
        <v>-</v>
      </c>
      <c r="L207" s="78" t="str">
        <f>IFERROR(SR_demand_forecast!L202*#REF!,"-")</f>
        <v>-</v>
      </c>
      <c r="M207" s="78" t="str">
        <f>IFERROR(SR_demand_forecast!M202*#REF!,"-")</f>
        <v>-</v>
      </c>
      <c r="N207" s="78" t="str">
        <f>IFERROR(SR_demand_forecast!N202*#REF!,"-")</f>
        <v>-</v>
      </c>
      <c r="O207" s="78" t="str">
        <f>IFERROR(SR_demand_forecast!O202*#REF!,"-")</f>
        <v>-</v>
      </c>
      <c r="P207" s="78" t="str">
        <f>IFERROR(SR_demand_forecast!P202*#REF!,"-")</f>
        <v>-</v>
      </c>
      <c r="Q207" s="78" t="str">
        <f>IFERROR(SR_demand_forecast!Q202*#REF!,"-")</f>
        <v>-</v>
      </c>
      <c r="R207" s="78" t="str">
        <f>IFERROR(SR_demand_forecast!R202*#REF!,"-")</f>
        <v>-</v>
      </c>
      <c r="S207" s="78" t="str">
        <f>IFERROR(SR_demand_forecast!S202*#REF!,"-")</f>
        <v>-</v>
      </c>
      <c r="T207" s="78" t="str">
        <f>IFERROR(SR_demand_forecast!T202*#REF!,"-")</f>
        <v>-</v>
      </c>
      <c r="U207" s="78" t="str">
        <f>IFERROR(SR_demand_forecast!U202*#REF!,"-")</f>
        <v>-</v>
      </c>
      <c r="V207" s="78" t="str">
        <f>IFERROR(SR_demand_forecast!V202*#REF!,"-")</f>
        <v>-</v>
      </c>
    </row>
    <row r="208" spans="1:22" x14ac:dyDescent="0.3">
      <c r="A208" s="511"/>
      <c r="B208" s="30" t="s">
        <v>41</v>
      </c>
      <c r="C208" s="78" t="str">
        <f>IFERROR(SR_demand_forecast!C203*#REF!,"-")</f>
        <v>-</v>
      </c>
      <c r="D208" s="78" t="str">
        <f>IFERROR(SR_demand_forecast!D203*#REF!,"-")</f>
        <v>-</v>
      </c>
      <c r="E208" s="78" t="str">
        <f>IFERROR(SR_demand_forecast!E203*#REF!,"-")</f>
        <v>-</v>
      </c>
      <c r="F208" s="78" t="str">
        <f>IFERROR(SR_demand_forecast!F203*#REF!,"-")</f>
        <v>-</v>
      </c>
      <c r="G208" s="78" t="str">
        <f>IFERROR(SR_demand_forecast!G203*#REF!,"-")</f>
        <v>-</v>
      </c>
      <c r="H208" s="78" t="str">
        <f>IFERROR(SR_demand_forecast!H203*#REF!,"-")</f>
        <v>-</v>
      </c>
      <c r="I208" s="78" t="str">
        <f>IFERROR(SR_demand_forecast!I203*#REF!,"-")</f>
        <v>-</v>
      </c>
      <c r="J208" s="78" t="str">
        <f>IFERROR(SR_demand_forecast!J203*#REF!,"-")</f>
        <v>-</v>
      </c>
      <c r="K208" s="78" t="str">
        <f>IFERROR(SR_demand_forecast!K203*#REF!,"-")</f>
        <v>-</v>
      </c>
      <c r="L208" s="78" t="str">
        <f>IFERROR(SR_demand_forecast!L203*#REF!,"-")</f>
        <v>-</v>
      </c>
      <c r="M208" s="78" t="str">
        <f>IFERROR(SR_demand_forecast!M203*#REF!,"-")</f>
        <v>-</v>
      </c>
      <c r="N208" s="78" t="str">
        <f>IFERROR(SR_demand_forecast!N203*#REF!,"-")</f>
        <v>-</v>
      </c>
      <c r="O208" s="78" t="str">
        <f>IFERROR(SR_demand_forecast!O203*#REF!,"-")</f>
        <v>-</v>
      </c>
      <c r="P208" s="78" t="str">
        <f>IFERROR(SR_demand_forecast!P203*#REF!,"-")</f>
        <v>-</v>
      </c>
      <c r="Q208" s="78" t="str">
        <f>IFERROR(SR_demand_forecast!Q203*#REF!,"-")</f>
        <v>-</v>
      </c>
      <c r="R208" s="78" t="str">
        <f>IFERROR(SR_demand_forecast!R203*#REF!,"-")</f>
        <v>-</v>
      </c>
      <c r="S208" s="78" t="str">
        <f>IFERROR(SR_demand_forecast!S203*#REF!,"-")</f>
        <v>-</v>
      </c>
      <c r="T208" s="78" t="str">
        <f>IFERROR(SR_demand_forecast!T203*#REF!,"-")</f>
        <v>-</v>
      </c>
      <c r="U208" s="78" t="str">
        <f>IFERROR(SR_demand_forecast!U203*#REF!,"-")</f>
        <v>-</v>
      </c>
      <c r="V208" s="78" t="str">
        <f>IFERROR(SR_demand_forecast!V203*#REF!,"-")</f>
        <v>-</v>
      </c>
    </row>
    <row r="209" spans="1:22" x14ac:dyDescent="0.3">
      <c r="A209" s="511"/>
      <c r="B209" s="30" t="s">
        <v>40</v>
      </c>
      <c r="C209" s="78" t="str">
        <f>IFERROR(SR_demand_forecast!C204*#REF!,"-")</f>
        <v>-</v>
      </c>
      <c r="D209" s="78" t="str">
        <f>IFERROR(SR_demand_forecast!D204*#REF!,"-")</f>
        <v>-</v>
      </c>
      <c r="E209" s="78" t="str">
        <f>IFERROR(SR_demand_forecast!E204*#REF!,"-")</f>
        <v>-</v>
      </c>
      <c r="F209" s="78" t="str">
        <f>IFERROR(SR_demand_forecast!F204*#REF!,"-")</f>
        <v>-</v>
      </c>
      <c r="G209" s="78" t="str">
        <f>IFERROR(SR_demand_forecast!G204*#REF!,"-")</f>
        <v>-</v>
      </c>
      <c r="H209" s="78" t="str">
        <f>IFERROR(SR_demand_forecast!H204*#REF!,"-")</f>
        <v>-</v>
      </c>
      <c r="I209" s="78" t="str">
        <f>IFERROR(SR_demand_forecast!I204*#REF!,"-")</f>
        <v>-</v>
      </c>
      <c r="J209" s="78" t="str">
        <f>IFERROR(SR_demand_forecast!J204*#REF!,"-")</f>
        <v>-</v>
      </c>
      <c r="K209" s="78" t="str">
        <f>IFERROR(SR_demand_forecast!K204*#REF!,"-")</f>
        <v>-</v>
      </c>
      <c r="L209" s="78" t="str">
        <f>IFERROR(SR_demand_forecast!L204*#REF!,"-")</f>
        <v>-</v>
      </c>
      <c r="M209" s="78" t="str">
        <f>IFERROR(SR_demand_forecast!M204*#REF!,"-")</f>
        <v>-</v>
      </c>
      <c r="N209" s="78" t="str">
        <f>IFERROR(SR_demand_forecast!N204*#REF!,"-")</f>
        <v>-</v>
      </c>
      <c r="O209" s="78" t="str">
        <f>IFERROR(SR_demand_forecast!O204*#REF!,"-")</f>
        <v>-</v>
      </c>
      <c r="P209" s="78" t="str">
        <f>IFERROR(SR_demand_forecast!P204*#REF!,"-")</f>
        <v>-</v>
      </c>
      <c r="Q209" s="78" t="str">
        <f>IFERROR(SR_demand_forecast!Q204*#REF!,"-")</f>
        <v>-</v>
      </c>
      <c r="R209" s="78" t="str">
        <f>IFERROR(SR_demand_forecast!R204*#REF!,"-")</f>
        <v>-</v>
      </c>
      <c r="S209" s="78" t="str">
        <f>IFERROR(SR_demand_forecast!S204*#REF!,"-")</f>
        <v>-</v>
      </c>
      <c r="T209" s="78" t="str">
        <f>IFERROR(SR_demand_forecast!T204*#REF!,"-")</f>
        <v>-</v>
      </c>
      <c r="U209" s="78" t="str">
        <f>IFERROR(SR_demand_forecast!U204*#REF!,"-")</f>
        <v>-</v>
      </c>
      <c r="V209" s="78" t="str">
        <f>IFERROR(SR_demand_forecast!V204*#REF!,"-")</f>
        <v>-</v>
      </c>
    </row>
    <row r="210" spans="1:22" x14ac:dyDescent="0.3">
      <c r="A210" s="511"/>
      <c r="B210" s="30" t="s">
        <v>80</v>
      </c>
      <c r="C210" s="78" t="str">
        <f>IFERROR(SR_demand_forecast!C205*#REF!,"-")</f>
        <v>-</v>
      </c>
      <c r="D210" s="78" t="str">
        <f>IFERROR(SR_demand_forecast!D205*#REF!,"-")</f>
        <v>-</v>
      </c>
      <c r="E210" s="78" t="str">
        <f>IFERROR(SR_demand_forecast!E205*#REF!,"-")</f>
        <v>-</v>
      </c>
      <c r="F210" s="78" t="str">
        <f>IFERROR(SR_demand_forecast!F205*#REF!,"-")</f>
        <v>-</v>
      </c>
      <c r="G210" s="78" t="str">
        <f>IFERROR(SR_demand_forecast!G205*#REF!,"-")</f>
        <v>-</v>
      </c>
      <c r="H210" s="78" t="str">
        <f>IFERROR(SR_demand_forecast!H205*#REF!,"-")</f>
        <v>-</v>
      </c>
      <c r="I210" s="78" t="str">
        <f>IFERROR(SR_demand_forecast!I205*#REF!,"-")</f>
        <v>-</v>
      </c>
      <c r="J210" s="78" t="str">
        <f>IFERROR(SR_demand_forecast!J205*#REF!,"-")</f>
        <v>-</v>
      </c>
      <c r="K210" s="78" t="str">
        <f>IFERROR(SR_demand_forecast!K205*#REF!,"-")</f>
        <v>-</v>
      </c>
      <c r="L210" s="78" t="str">
        <f>IFERROR(SR_demand_forecast!L205*#REF!,"-")</f>
        <v>-</v>
      </c>
      <c r="M210" s="78" t="str">
        <f>IFERROR(SR_demand_forecast!M205*#REF!,"-")</f>
        <v>-</v>
      </c>
      <c r="N210" s="78" t="str">
        <f>IFERROR(SR_demand_forecast!N205*#REF!,"-")</f>
        <v>-</v>
      </c>
      <c r="O210" s="78" t="str">
        <f>IFERROR(SR_demand_forecast!O205*#REF!,"-")</f>
        <v>-</v>
      </c>
      <c r="P210" s="78" t="str">
        <f>IFERROR(SR_demand_forecast!P205*#REF!,"-")</f>
        <v>-</v>
      </c>
      <c r="Q210" s="78" t="str">
        <f>IFERROR(SR_demand_forecast!Q205*#REF!,"-")</f>
        <v>-</v>
      </c>
      <c r="R210" s="78" t="str">
        <f>IFERROR(SR_demand_forecast!R205*#REF!,"-")</f>
        <v>-</v>
      </c>
      <c r="S210" s="78" t="str">
        <f>IFERROR(SR_demand_forecast!S205*#REF!,"-")</f>
        <v>-</v>
      </c>
      <c r="T210" s="78" t="str">
        <f>IFERROR(SR_demand_forecast!T205*#REF!,"-")</f>
        <v>-</v>
      </c>
      <c r="U210" s="78" t="str">
        <f>IFERROR(SR_demand_forecast!U205*#REF!,"-")</f>
        <v>-</v>
      </c>
      <c r="V210" s="78" t="str">
        <f>IFERROR(SR_demand_forecast!V205*#REF!,"-")</f>
        <v>-</v>
      </c>
    </row>
    <row r="211" spans="1:22" x14ac:dyDescent="0.3">
      <c r="A211" s="511"/>
      <c r="B211" s="30" t="s">
        <v>44</v>
      </c>
      <c r="C211" s="78" t="str">
        <f>IFERROR(SR_demand_forecast!C206*#REF!,"-")</f>
        <v>-</v>
      </c>
      <c r="D211" s="78" t="str">
        <f>IFERROR(SR_demand_forecast!D206*#REF!,"-")</f>
        <v>-</v>
      </c>
      <c r="E211" s="78" t="str">
        <f>IFERROR(SR_demand_forecast!E206*#REF!,"-")</f>
        <v>-</v>
      </c>
      <c r="F211" s="78" t="str">
        <f>IFERROR(SR_demand_forecast!F206*#REF!,"-")</f>
        <v>-</v>
      </c>
      <c r="G211" s="78" t="str">
        <f>IFERROR(SR_demand_forecast!G206*#REF!,"-")</f>
        <v>-</v>
      </c>
      <c r="H211" s="78" t="str">
        <f>IFERROR(SR_demand_forecast!H206*#REF!,"-")</f>
        <v>-</v>
      </c>
      <c r="I211" s="78" t="str">
        <f>IFERROR(SR_demand_forecast!I206*#REF!,"-")</f>
        <v>-</v>
      </c>
      <c r="J211" s="78" t="str">
        <f>IFERROR(SR_demand_forecast!J206*#REF!,"-")</f>
        <v>-</v>
      </c>
      <c r="K211" s="78" t="str">
        <f>IFERROR(SR_demand_forecast!K206*#REF!,"-")</f>
        <v>-</v>
      </c>
      <c r="L211" s="78" t="str">
        <f>IFERROR(SR_demand_forecast!L206*#REF!,"-")</f>
        <v>-</v>
      </c>
      <c r="M211" s="78" t="str">
        <f>IFERROR(SR_demand_forecast!M206*#REF!,"-")</f>
        <v>-</v>
      </c>
      <c r="N211" s="78" t="str">
        <f>IFERROR(SR_demand_forecast!N206*#REF!,"-")</f>
        <v>-</v>
      </c>
      <c r="O211" s="78" t="str">
        <f>IFERROR(SR_demand_forecast!O206*#REF!,"-")</f>
        <v>-</v>
      </c>
      <c r="P211" s="78" t="str">
        <f>IFERROR(SR_demand_forecast!P206*#REF!,"-")</f>
        <v>-</v>
      </c>
      <c r="Q211" s="78" t="str">
        <f>IFERROR(SR_demand_forecast!Q206*#REF!,"-")</f>
        <v>-</v>
      </c>
      <c r="R211" s="78" t="str">
        <f>IFERROR(SR_demand_forecast!R206*#REF!,"-")</f>
        <v>-</v>
      </c>
      <c r="S211" s="78" t="str">
        <f>IFERROR(SR_demand_forecast!S206*#REF!,"-")</f>
        <v>-</v>
      </c>
      <c r="T211" s="78" t="str">
        <f>IFERROR(SR_demand_forecast!T206*#REF!,"-")</f>
        <v>-</v>
      </c>
      <c r="U211" s="78" t="str">
        <f>IFERROR(SR_demand_forecast!U206*#REF!,"-")</f>
        <v>-</v>
      </c>
      <c r="V211" s="78" t="str">
        <f>IFERROR(SR_demand_forecast!V206*#REF!,"-")</f>
        <v>-</v>
      </c>
    </row>
    <row r="212" spans="1:22" x14ac:dyDescent="0.3">
      <c r="A212" s="511"/>
      <c r="B212" s="30" t="s">
        <v>81</v>
      </c>
      <c r="C212" s="78" t="str">
        <f>IFERROR(SR_demand_forecast!C207*#REF!,"-")</f>
        <v>-</v>
      </c>
      <c r="D212" s="78" t="str">
        <f>IFERROR(SR_demand_forecast!D207*#REF!,"-")</f>
        <v>-</v>
      </c>
      <c r="E212" s="78" t="str">
        <f>IFERROR(SR_demand_forecast!E207*#REF!,"-")</f>
        <v>-</v>
      </c>
      <c r="F212" s="78" t="str">
        <f>IFERROR(SR_demand_forecast!F207*#REF!,"-")</f>
        <v>-</v>
      </c>
      <c r="G212" s="78" t="str">
        <f>IFERROR(SR_demand_forecast!G207*#REF!,"-")</f>
        <v>-</v>
      </c>
      <c r="H212" s="78" t="str">
        <f>IFERROR(SR_demand_forecast!H207*#REF!,"-")</f>
        <v>-</v>
      </c>
      <c r="I212" s="78" t="str">
        <f>IFERROR(SR_demand_forecast!I207*#REF!,"-")</f>
        <v>-</v>
      </c>
      <c r="J212" s="78" t="str">
        <f>IFERROR(SR_demand_forecast!J207*#REF!,"-")</f>
        <v>-</v>
      </c>
      <c r="K212" s="78" t="str">
        <f>IFERROR(SR_demand_forecast!K207*#REF!,"-")</f>
        <v>-</v>
      </c>
      <c r="L212" s="78" t="str">
        <f>IFERROR(SR_demand_forecast!L207*#REF!,"-")</f>
        <v>-</v>
      </c>
      <c r="M212" s="78" t="str">
        <f>IFERROR(SR_demand_forecast!M207*#REF!,"-")</f>
        <v>-</v>
      </c>
      <c r="N212" s="78" t="str">
        <f>IFERROR(SR_demand_forecast!N207*#REF!,"-")</f>
        <v>-</v>
      </c>
      <c r="O212" s="78" t="str">
        <f>IFERROR(SR_demand_forecast!O207*#REF!,"-")</f>
        <v>-</v>
      </c>
      <c r="P212" s="78" t="str">
        <f>IFERROR(SR_demand_forecast!P207*#REF!,"-")</f>
        <v>-</v>
      </c>
      <c r="Q212" s="78" t="str">
        <f>IFERROR(SR_demand_forecast!Q207*#REF!,"-")</f>
        <v>-</v>
      </c>
      <c r="R212" s="78" t="str">
        <f>IFERROR(SR_demand_forecast!R207*#REF!,"-")</f>
        <v>-</v>
      </c>
      <c r="S212" s="78" t="str">
        <f>IFERROR(SR_demand_forecast!S207*#REF!,"-")</f>
        <v>-</v>
      </c>
      <c r="T212" s="78" t="str">
        <f>IFERROR(SR_demand_forecast!T207*#REF!,"-")</f>
        <v>-</v>
      </c>
      <c r="U212" s="78" t="str">
        <f>IFERROR(SR_demand_forecast!U207*#REF!,"-")</f>
        <v>-</v>
      </c>
      <c r="V212" s="78" t="str">
        <f>IFERROR(SR_demand_forecast!V207*#REF!,"-")</f>
        <v>-</v>
      </c>
    </row>
    <row r="213" spans="1:22" x14ac:dyDescent="0.3">
      <c r="A213" s="511"/>
      <c r="B213" s="30" t="s">
        <v>42</v>
      </c>
      <c r="C213" s="78" t="str">
        <f>IFERROR(SR_demand_forecast!C208*#REF!,"-")</f>
        <v>-</v>
      </c>
      <c r="D213" s="78" t="str">
        <f>IFERROR(SR_demand_forecast!D208*#REF!,"-")</f>
        <v>-</v>
      </c>
      <c r="E213" s="78" t="str">
        <f>IFERROR(SR_demand_forecast!E208*#REF!,"-")</f>
        <v>-</v>
      </c>
      <c r="F213" s="78" t="str">
        <f>IFERROR(SR_demand_forecast!F208*#REF!,"-")</f>
        <v>-</v>
      </c>
      <c r="G213" s="78" t="str">
        <f>IFERROR(SR_demand_forecast!G208*#REF!,"-")</f>
        <v>-</v>
      </c>
      <c r="H213" s="78" t="str">
        <f>IFERROR(SR_demand_forecast!H208*#REF!,"-")</f>
        <v>-</v>
      </c>
      <c r="I213" s="78" t="str">
        <f>IFERROR(SR_demand_forecast!I208*#REF!,"-")</f>
        <v>-</v>
      </c>
      <c r="J213" s="78" t="str">
        <f>IFERROR(SR_demand_forecast!J208*#REF!,"-")</f>
        <v>-</v>
      </c>
      <c r="K213" s="78" t="str">
        <f>IFERROR(SR_demand_forecast!K208*#REF!,"-")</f>
        <v>-</v>
      </c>
      <c r="L213" s="78" t="str">
        <f>IFERROR(SR_demand_forecast!L208*#REF!,"-")</f>
        <v>-</v>
      </c>
      <c r="M213" s="78" t="str">
        <f>IFERROR(SR_demand_forecast!M208*#REF!,"-")</f>
        <v>-</v>
      </c>
      <c r="N213" s="78" t="str">
        <f>IFERROR(SR_demand_forecast!N208*#REF!,"-")</f>
        <v>-</v>
      </c>
      <c r="O213" s="78" t="str">
        <f>IFERROR(SR_demand_forecast!O208*#REF!,"-")</f>
        <v>-</v>
      </c>
      <c r="P213" s="78" t="str">
        <f>IFERROR(SR_demand_forecast!P208*#REF!,"-")</f>
        <v>-</v>
      </c>
      <c r="Q213" s="78" t="str">
        <f>IFERROR(SR_demand_forecast!Q208*#REF!,"-")</f>
        <v>-</v>
      </c>
      <c r="R213" s="78" t="str">
        <f>IFERROR(SR_demand_forecast!R208*#REF!,"-")</f>
        <v>-</v>
      </c>
      <c r="S213" s="78" t="str">
        <f>IFERROR(SR_demand_forecast!S208*#REF!,"-")</f>
        <v>-</v>
      </c>
      <c r="T213" s="78" t="str">
        <f>IFERROR(SR_demand_forecast!T208*#REF!,"-")</f>
        <v>-</v>
      </c>
      <c r="U213" s="78" t="str">
        <f>IFERROR(SR_demand_forecast!U208*#REF!,"-")</f>
        <v>-</v>
      </c>
      <c r="V213" s="78" t="str">
        <f>IFERROR(SR_demand_forecast!V208*#REF!,"-")</f>
        <v>-</v>
      </c>
    </row>
    <row r="214" spans="1:22" x14ac:dyDescent="0.3">
      <c r="A214" s="511"/>
      <c r="B214" s="30" t="s">
        <v>45</v>
      </c>
      <c r="C214" s="78" t="str">
        <f>IFERROR(SR_demand_forecast!C209*#REF!,"-")</f>
        <v>-</v>
      </c>
      <c r="D214" s="78" t="str">
        <f>IFERROR(SR_demand_forecast!D209*#REF!,"-")</f>
        <v>-</v>
      </c>
      <c r="E214" s="78" t="str">
        <f>IFERROR(SR_demand_forecast!E209*#REF!,"-")</f>
        <v>-</v>
      </c>
      <c r="F214" s="78" t="str">
        <f>IFERROR(SR_demand_forecast!F209*#REF!,"-")</f>
        <v>-</v>
      </c>
      <c r="G214" s="78" t="str">
        <f>IFERROR(SR_demand_forecast!G209*#REF!,"-")</f>
        <v>-</v>
      </c>
      <c r="H214" s="78" t="str">
        <f>IFERROR(SR_demand_forecast!H209*#REF!,"-")</f>
        <v>-</v>
      </c>
      <c r="I214" s="78" t="str">
        <f>IFERROR(SR_demand_forecast!I209*#REF!,"-")</f>
        <v>-</v>
      </c>
      <c r="J214" s="78" t="str">
        <f>IFERROR(SR_demand_forecast!J209*#REF!,"-")</f>
        <v>-</v>
      </c>
      <c r="K214" s="78" t="str">
        <f>IFERROR(SR_demand_forecast!K209*#REF!,"-")</f>
        <v>-</v>
      </c>
      <c r="L214" s="78" t="str">
        <f>IFERROR(SR_demand_forecast!L209*#REF!,"-")</f>
        <v>-</v>
      </c>
      <c r="M214" s="78" t="str">
        <f>IFERROR(SR_demand_forecast!M209*#REF!,"-")</f>
        <v>-</v>
      </c>
      <c r="N214" s="78" t="str">
        <f>IFERROR(SR_demand_forecast!N209*#REF!,"-")</f>
        <v>-</v>
      </c>
      <c r="O214" s="78" t="str">
        <f>IFERROR(SR_demand_forecast!O209*#REF!,"-")</f>
        <v>-</v>
      </c>
      <c r="P214" s="78" t="str">
        <f>IFERROR(SR_demand_forecast!P209*#REF!,"-")</f>
        <v>-</v>
      </c>
      <c r="Q214" s="78" t="str">
        <f>IFERROR(SR_demand_forecast!Q209*#REF!,"-")</f>
        <v>-</v>
      </c>
      <c r="R214" s="78" t="str">
        <f>IFERROR(SR_demand_forecast!R209*#REF!,"-")</f>
        <v>-</v>
      </c>
      <c r="S214" s="78" t="str">
        <f>IFERROR(SR_demand_forecast!S209*#REF!,"-")</f>
        <v>-</v>
      </c>
      <c r="T214" s="78" t="str">
        <f>IFERROR(SR_demand_forecast!T209*#REF!,"-")</f>
        <v>-</v>
      </c>
      <c r="U214" s="78" t="str">
        <f>IFERROR(SR_demand_forecast!U209*#REF!,"-")</f>
        <v>-</v>
      </c>
      <c r="V214" s="78" t="str">
        <f>IFERROR(SR_demand_forecast!V209*#REF!,"-")</f>
        <v>-</v>
      </c>
    </row>
    <row r="215" spans="1:22" x14ac:dyDescent="0.3">
      <c r="A215" s="511"/>
      <c r="B215" s="30" t="s">
        <v>84</v>
      </c>
      <c r="C215" s="124">
        <f t="shared" ref="C215:V215" si="11">SUM(C207:C214)</f>
        <v>0</v>
      </c>
      <c r="D215" s="124">
        <f t="shared" si="11"/>
        <v>0</v>
      </c>
      <c r="E215" s="124">
        <f t="shared" si="11"/>
        <v>0</v>
      </c>
      <c r="F215" s="124">
        <f t="shared" si="11"/>
        <v>0</v>
      </c>
      <c r="G215" s="124">
        <f t="shared" si="11"/>
        <v>0</v>
      </c>
      <c r="H215" s="124">
        <f t="shared" si="11"/>
        <v>0</v>
      </c>
      <c r="I215" s="124">
        <f t="shared" si="11"/>
        <v>0</v>
      </c>
      <c r="J215" s="124">
        <f t="shared" si="11"/>
        <v>0</v>
      </c>
      <c r="K215" s="124">
        <f t="shared" si="11"/>
        <v>0</v>
      </c>
      <c r="L215" s="124">
        <f t="shared" si="11"/>
        <v>0</v>
      </c>
      <c r="M215" s="124">
        <f t="shared" si="11"/>
        <v>0</v>
      </c>
      <c r="N215" s="124">
        <f t="shared" si="11"/>
        <v>0</v>
      </c>
      <c r="O215" s="124">
        <f t="shared" si="11"/>
        <v>0</v>
      </c>
      <c r="P215" s="124">
        <f t="shared" si="11"/>
        <v>0</v>
      </c>
      <c r="Q215" s="124">
        <f t="shared" si="11"/>
        <v>0</v>
      </c>
      <c r="R215" s="124">
        <f t="shared" si="11"/>
        <v>0</v>
      </c>
      <c r="S215" s="124">
        <f t="shared" si="11"/>
        <v>0</v>
      </c>
      <c r="T215" s="124">
        <f t="shared" si="11"/>
        <v>0</v>
      </c>
      <c r="U215" s="124">
        <f t="shared" si="11"/>
        <v>0</v>
      </c>
      <c r="V215" s="124">
        <f t="shared" si="11"/>
        <v>0</v>
      </c>
    </row>
    <row r="216" spans="1:22" x14ac:dyDescent="0.3">
      <c r="A216" s="511"/>
    </row>
    <row r="217" spans="1:22" x14ac:dyDescent="0.3">
      <c r="A217" s="511"/>
    </row>
    <row r="218" spans="1:22" x14ac:dyDescent="0.3">
      <c r="A218" s="511"/>
    </row>
    <row r="219" spans="1:22" x14ac:dyDescent="0.3">
      <c r="A219" s="511"/>
    </row>
    <row r="220" spans="1:22" x14ac:dyDescent="0.3">
      <c r="A220" s="511"/>
    </row>
    <row r="221" spans="1:22" x14ac:dyDescent="0.3">
      <c r="A221" s="511"/>
    </row>
    <row r="222" spans="1:22" x14ac:dyDescent="0.3">
      <c r="A222" s="511"/>
    </row>
    <row r="223" spans="1:22" x14ac:dyDescent="0.3">
      <c r="A223" s="511"/>
    </row>
    <row r="224" spans="1:22" x14ac:dyDescent="0.3">
      <c r="A224" s="511"/>
    </row>
  </sheetData>
  <mergeCells count="4">
    <mergeCell ref="A1:A56"/>
    <mergeCell ref="A57:A112"/>
    <mergeCell ref="A113:A168"/>
    <mergeCell ref="A169:A224"/>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7BD12-77F9-4841-8B34-835DE85B165A}">
  <sheetPr>
    <tabColor rgb="FF105BD8"/>
  </sheetPr>
  <dimension ref="A1"/>
  <sheetViews>
    <sheetView zoomScaleNormal="100" workbookViewId="0">
      <selection activeCell="D24" sqref="D24"/>
    </sheetView>
  </sheetViews>
  <sheetFormatPr defaultRowHeight="14.4" x14ac:dyDescent="0.3"/>
  <cols>
    <col min="1" max="16384" width="8.88671875" style="12"/>
  </cols>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E5D62-ECFF-4D13-9E28-0520ACBBFDDD}">
  <sheetPr>
    <tabColor rgb="FF105BD8"/>
  </sheetPr>
  <dimension ref="B84"/>
  <sheetViews>
    <sheetView zoomScaleNormal="100" workbookViewId="0">
      <selection activeCell="D24" sqref="D24"/>
    </sheetView>
  </sheetViews>
  <sheetFormatPr defaultRowHeight="14.4" x14ac:dyDescent="0.3"/>
  <cols>
    <col min="1" max="16384" width="8.88671875" style="12"/>
  </cols>
  <sheetData>
    <row r="84" spans="2:2" x14ac:dyDescent="0.3">
      <c r="B84" s="26" t="s">
        <v>113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266AB-7AF2-4BB0-9DB1-A51154AD5216}">
  <sheetPr>
    <tabColor rgb="FF105BD8"/>
  </sheetPr>
  <dimension ref="B84"/>
  <sheetViews>
    <sheetView zoomScaleNormal="100" workbookViewId="0">
      <selection activeCell="D24" sqref="D24"/>
    </sheetView>
  </sheetViews>
  <sheetFormatPr defaultRowHeight="14.4" x14ac:dyDescent="0.3"/>
  <cols>
    <col min="1" max="16384" width="8.88671875" style="12"/>
  </cols>
  <sheetData>
    <row r="84" spans="2:2" x14ac:dyDescent="0.3">
      <c r="B84" s="26" t="s">
        <v>113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CBDC3-B6D7-4A53-8051-F94974E02BF0}">
  <sheetPr>
    <tabColor rgb="FF105BD8"/>
  </sheetPr>
  <dimension ref="A1"/>
  <sheetViews>
    <sheetView zoomScaleNormal="100" workbookViewId="0">
      <selection activeCell="D24" sqref="D24"/>
    </sheetView>
  </sheetViews>
  <sheetFormatPr defaultRowHeight="14.4" x14ac:dyDescent="0.3"/>
  <cols>
    <col min="1" max="16384" width="8.88671875" style="12"/>
  </cols>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DFFC6-1F62-4147-80C1-5D5D4BF7602C}">
  <sheetPr>
    <tabColor rgb="FF105BD8"/>
  </sheetPr>
  <dimension ref="A1"/>
  <sheetViews>
    <sheetView zoomScaleNormal="100" workbookViewId="0">
      <selection activeCell="D24" sqref="D24"/>
    </sheetView>
  </sheetViews>
  <sheetFormatPr defaultRowHeight="14.4" x14ac:dyDescent="0.3"/>
  <cols>
    <col min="1" max="16384" width="8.88671875" style="12"/>
  </cols>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2771-5D64-4B3B-B1A1-E6BE3E4AD752}">
  <sheetPr>
    <tabColor rgb="FF105BD8"/>
  </sheetPr>
  <dimension ref="A1"/>
  <sheetViews>
    <sheetView zoomScaleNormal="100" workbookViewId="0">
      <selection activeCell="D24" sqref="D24"/>
    </sheetView>
  </sheetViews>
  <sheetFormatPr defaultRowHeight="14.4" x14ac:dyDescent="0.3"/>
  <cols>
    <col min="1" max="16384" width="8.88671875" style="12"/>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Index</vt:lpstr>
      <vt:lpstr>Read_Me</vt:lpstr>
      <vt:lpstr>Current_Cost</vt:lpstr>
      <vt:lpstr>Future_Cost</vt:lpstr>
      <vt:lpstr>Current</vt:lpstr>
      <vt:lpstr>DTE_Lifespans_existing</vt:lpstr>
      <vt:lpstr>Use_case_lifespans</vt:lpstr>
      <vt:lpstr>New_missions</vt:lpstr>
      <vt:lpstr>lifespans_all</vt:lpstr>
      <vt:lpstr>Current_DTE</vt:lpstr>
      <vt:lpstr>DTE_mission_minutes</vt:lpstr>
      <vt:lpstr>DTE_demand_forecast</vt:lpstr>
      <vt:lpstr>Current_SR</vt:lpstr>
      <vt:lpstr>SR_mission_minutes</vt:lpstr>
      <vt:lpstr>SR_demand_forecast</vt:lpstr>
      <vt:lpstr>Minutes_by_use_case</vt:lpstr>
      <vt:lpstr>Costs - DTE</vt:lpstr>
      <vt:lpstr>Costs - SR - LEO</vt:lpstr>
      <vt:lpstr>Costs - SR - GEO</vt:lpstr>
      <vt:lpstr>Lookups</vt:lpstr>
      <vt:lpstr>Scenarios_Future</vt:lpstr>
      <vt:lpstr>List_Options</vt:lpstr>
      <vt:lpstr>DTE_cost_per_minute_forecast</vt:lpstr>
      <vt:lpstr>SR_cost_per_minute_forecast</vt:lpstr>
      <vt:lpstr>Lifespans</vt:lpstr>
      <vt:lpstr>Demand_forecast_by_use_case</vt:lpstr>
      <vt:lpstr>Demand_forecast_by_replacement</vt:lpstr>
      <vt:lpstr>DTE_cost_by_use_case</vt:lpstr>
      <vt:lpstr>SR_cost_by_use_case</vt:lpstr>
      <vt:lpstr>Aggregate_costs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Edward John Oughton</cp:lastModifiedBy>
  <dcterms:created xsi:type="dcterms:W3CDTF">2022-05-02T00:57:27Z</dcterms:created>
  <dcterms:modified xsi:type="dcterms:W3CDTF">2024-02-25T14:50:44Z</dcterms:modified>
</cp:coreProperties>
</file>