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wmf" ContentType="image/x-w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0" yWindow="260" windowWidth="20040" windowHeight="13700"/>
  </bookViews>
  <sheets>
    <sheet name="Example" sheetId="15" r:id="rId1"/>
    <sheet name="Blank" sheetId="17" r:id="rId2"/>
    <sheet name="Data" sheetId="1" r:id="rId3"/>
    <sheet name="Sheet1" sheetId="18" r:id="rId4"/>
  </sheets>
  <definedNames>
    <definedName name="_xlnm.Print_Area" localSheetId="1">Blank!$C$1:$K$55</definedName>
    <definedName name="_xlnm.Print_Area" localSheetId="2">Data!$C$1:$K$46</definedName>
    <definedName name="_xlnm.Print_Area" localSheetId="0">Example!$C$1:$K$55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0" i="17" l="1"/>
  <c r="E41" i="17"/>
  <c r="I41" i="17"/>
  <c r="D41" i="17"/>
  <c r="H41" i="17"/>
  <c r="E40" i="17"/>
  <c r="I40" i="17"/>
  <c r="D40" i="17"/>
  <c r="H40" i="17"/>
  <c r="H39" i="17"/>
  <c r="H42" i="17"/>
  <c r="F38" i="17"/>
  <c r="F39" i="17"/>
  <c r="D38" i="17"/>
  <c r="D39" i="17"/>
  <c r="D42" i="17"/>
  <c r="F37" i="17"/>
  <c r="D37" i="17"/>
  <c r="F32" i="17"/>
  <c r="D32" i="17"/>
  <c r="D30" i="17"/>
  <c r="D31" i="17"/>
  <c r="D35" i="17"/>
  <c r="F31" i="17"/>
  <c r="F30" i="17"/>
  <c r="F35" i="17"/>
  <c r="G35" i="17"/>
  <c r="D28" i="17"/>
  <c r="E35" i="17"/>
  <c r="I35" i="17"/>
  <c r="H35" i="17"/>
  <c r="E39" i="17"/>
  <c r="E42" i="17"/>
  <c r="G39" i="17"/>
  <c r="G42" i="17"/>
  <c r="G34" i="17"/>
  <c r="G36" i="17"/>
  <c r="G44" i="17"/>
  <c r="F42" i="17"/>
  <c r="D34" i="17"/>
  <c r="F34" i="17"/>
  <c r="F36" i="17"/>
  <c r="F44" i="17"/>
  <c r="I39" i="17"/>
  <c r="E34" i="17"/>
  <c r="H34" i="17"/>
  <c r="H36" i="17"/>
  <c r="E36" i="17"/>
  <c r="E44" i="17"/>
  <c r="I34" i="17"/>
  <c r="F37" i="15"/>
  <c r="F38" i="15"/>
  <c r="C50" i="15"/>
  <c r="D41" i="15"/>
  <c r="H41" i="15"/>
  <c r="D40" i="15"/>
  <c r="H40" i="15"/>
  <c r="D38" i="15"/>
  <c r="D37" i="15"/>
  <c r="D39" i="15"/>
  <c r="F32" i="15"/>
  <c r="F31" i="15"/>
  <c r="D32" i="15"/>
  <c r="D31" i="15"/>
  <c r="F30" i="15"/>
  <c r="D30" i="15"/>
  <c r="D35" i="15"/>
  <c r="D28" i="15"/>
  <c r="E40" i="15"/>
  <c r="I40" i="15"/>
  <c r="E41" i="15"/>
  <c r="I41" i="15"/>
  <c r="F39" i="15"/>
  <c r="G39" i="15"/>
  <c r="G42" i="15"/>
  <c r="D36" i="17"/>
  <c r="D44" i="17"/>
  <c r="I42" i="17"/>
  <c r="D42" i="15"/>
  <c r="E39" i="15"/>
  <c r="H39" i="15"/>
  <c r="H42" i="15"/>
  <c r="E35" i="15"/>
  <c r="F34" i="15"/>
  <c r="F35" i="15"/>
  <c r="G35" i="15"/>
  <c r="H44" i="17"/>
  <c r="F42" i="15"/>
  <c r="I36" i="17"/>
  <c r="I44" i="17"/>
  <c r="D34" i="15"/>
  <c r="G34" i="15"/>
  <c r="G36" i="15"/>
  <c r="G44" i="15"/>
  <c r="F36" i="15"/>
  <c r="F44" i="15"/>
  <c r="I39" i="15"/>
  <c r="E42" i="15"/>
  <c r="I42" i="15"/>
  <c r="I35" i="15"/>
  <c r="D36" i="15"/>
  <c r="D44" i="15"/>
  <c r="E34" i="15"/>
  <c r="H34" i="15"/>
  <c r="H35" i="15"/>
  <c r="H36" i="15"/>
  <c r="H44" i="15"/>
  <c r="E36" i="15"/>
  <c r="I34" i="15"/>
  <c r="I36" i="15"/>
  <c r="I44" i="15"/>
  <c r="E44" i="15"/>
</calcChain>
</file>

<file path=xl/comments1.xml><?xml version="1.0" encoding="utf-8"?>
<comments xmlns="http://schemas.openxmlformats.org/spreadsheetml/2006/main">
  <authors>
    <author>Economics Department</author>
    <author xml:space="preserve">Edwards, William M </author>
    <author>William Edwards</author>
    <author>edwards</author>
  </authors>
  <commentList>
    <comment ref="C5" authorId="0">
      <text>
        <r>
          <rPr>
            <sz val="8"/>
            <color indexed="81"/>
            <rFont val="Tahoma"/>
            <family val="2"/>
          </rPr>
          <t>Place the cursor over cells with red 
triangles to read comments.</t>
        </r>
      </text>
    </comment>
    <comment ref="C11" authorId="0">
      <text>
        <r>
          <rPr>
            <sz val="8"/>
            <color indexed="81"/>
            <rFont val="Tahoma"/>
            <family val="2"/>
          </rPr>
          <t>Click on machinery type in menu</t>
        </r>
      </text>
    </comment>
    <comment ref="D15" authorId="1">
      <text>
        <r>
          <rPr>
            <sz val="8"/>
            <color indexed="81"/>
            <rFont val="Tahoma"/>
            <family val="2"/>
          </rPr>
          <t>Enter zero for a new machine. 
Cannot be less than the age 
when purchased.</t>
        </r>
      </text>
    </comment>
    <comment ref="F15" authorId="1">
      <text>
        <r>
          <rPr>
            <sz val="8"/>
            <color indexed="81"/>
            <rFont val="Tahoma"/>
            <family val="2"/>
          </rPr>
          <t>Enter zero for a new machine.  
Cannot be less than the age
when purchased.</t>
        </r>
      </text>
    </comment>
    <comment ref="D22" authorId="2">
      <text>
        <r>
          <rPr>
            <sz val="8"/>
            <color indexed="81"/>
            <rFont val="Tahoma"/>
            <family val="2"/>
          </rPr>
          <t xml:space="preserve">Expected price delivered to the farm.
</t>
        </r>
      </text>
    </comment>
    <comment ref="D30" authorId="3">
      <text>
        <r>
          <rPr>
            <sz val="9"/>
            <color indexed="81"/>
            <rFont val="Tahoma"/>
            <family val="2"/>
          </rPr>
          <t>Original purchase cost or estimated current value</t>
        </r>
      </text>
    </comment>
    <comment ref="F30" authorId="3">
      <text>
        <r>
          <rPr>
            <sz val="8"/>
            <color indexed="81"/>
            <rFont val="Tahoma"/>
            <family val="2"/>
          </rPr>
          <t>Original purchase cost or 
estimated current value.</t>
        </r>
      </text>
    </comment>
    <comment ref="D31" authorId="2">
      <text>
        <r>
          <rPr>
            <sz val="8"/>
            <color indexed="81"/>
            <rFont val="Tahoma"/>
            <family val="2"/>
          </rPr>
          <t>Based on current list price, 
current value, age at end of 
ownership period, and 
annual hours of use.</t>
        </r>
      </text>
    </comment>
    <comment ref="F31" authorId="2">
      <text>
        <r>
          <rPr>
            <sz val="8"/>
            <color indexed="81"/>
            <rFont val="Tahoma"/>
            <family val="2"/>
          </rPr>
          <t>Based on current list price, 
current value, age at end of 
ownership period, and 
annual hours of use.</t>
        </r>
      </text>
    </comment>
    <comment ref="D34" authorId="2">
      <text>
        <r>
          <rPr>
            <sz val="8"/>
            <color indexed="81"/>
            <rFont val="Tahoma"/>
            <family val="2"/>
          </rPr>
          <t>Annual dollars needed to 
recover depreciation and 
interest on investment.</t>
        </r>
      </text>
    </comment>
    <comment ref="F34" authorId="2">
      <text>
        <r>
          <rPr>
            <sz val="8"/>
            <color indexed="81"/>
            <rFont val="Tahoma"/>
            <family val="2"/>
          </rPr>
          <t>Annual dollars needed to 
recover depreciation and
interest on investment.</t>
        </r>
      </text>
    </comment>
    <comment ref="H34" authorId="2">
      <text>
        <r>
          <rPr>
            <sz val="8"/>
            <color indexed="81"/>
            <rFont val="Tahoma"/>
            <family val="2"/>
          </rPr>
          <t>Includes power unit costs
only for the hours it is 
used with this implement 
or attachment.</t>
        </r>
      </text>
    </comment>
    <comment ref="D35" authorId="2">
      <text>
        <r>
          <rPr>
            <sz val="8"/>
            <color indexed="81"/>
            <rFont val="Tahoma"/>
            <family val="2"/>
          </rPr>
          <t>Estimated at 1% of current value.</t>
        </r>
      </text>
    </comment>
    <comment ref="F35" authorId="2">
      <text>
        <r>
          <rPr>
            <sz val="8"/>
            <color indexed="81"/>
            <rFont val="Tahoma"/>
            <family val="2"/>
          </rPr>
          <t>Estimated at 1% of current value.</t>
        </r>
      </text>
    </comment>
    <comment ref="H35" authorId="2">
      <text>
        <r>
          <rPr>
            <sz val="8"/>
            <color indexed="81"/>
            <rFont val="Tahoma"/>
            <family val="2"/>
          </rPr>
          <t>Includes power unit costs
only for the hours it is 
used with this implement 
or attachment.</t>
        </r>
      </text>
    </comment>
    <comment ref="D39" authorId="2">
      <text>
        <r>
          <rPr>
            <sz val="8"/>
            <color indexed="81"/>
            <rFont val="Tahoma"/>
            <family val="2"/>
          </rPr>
          <t>Based on current list 
price and hours of 
annual use, or user's input.</t>
        </r>
      </text>
    </comment>
    <comment ref="F39" authorId="2">
      <text>
        <r>
          <rPr>
            <sz val="8"/>
            <color indexed="81"/>
            <rFont val="Tahoma"/>
            <family val="2"/>
          </rPr>
          <t>Based on current list 
price and hours of 
annual use, or user's input.</t>
        </r>
      </text>
    </comment>
    <comment ref="H39" authorId="2">
      <text>
        <r>
          <rPr>
            <sz val="8"/>
            <color indexed="81"/>
            <rFont val="Tahoma"/>
            <family val="2"/>
          </rPr>
          <t>Includes power unit costs 
only for the hours it is used 
with this implement or attachment.</t>
        </r>
      </text>
    </comment>
    <comment ref="D40" authorId="2">
      <text>
        <r>
          <rPr>
            <sz val="8"/>
            <color indexed="81"/>
            <rFont val="Tahoma"/>
            <family val="2"/>
          </rPr>
          <t>Based on fuel 
consumption of .044 
gallons of diesel fuel per 
horsepower per hour, 
plus 15% for lubricants.</t>
        </r>
      </text>
    </comment>
    <comment ref="H40" authorId="2">
      <text>
        <r>
          <rPr>
            <sz val="8"/>
            <color indexed="81"/>
            <rFont val="Tahoma"/>
            <family val="2"/>
          </rPr>
          <t>Includes power unit costs 
only for the hours it is used 
with this implement or attachment.</t>
        </r>
      </text>
    </comment>
    <comment ref="D41" authorId="2">
      <text>
        <r>
          <rPr>
            <sz val="8"/>
            <color indexed="81"/>
            <rFont val="Tahoma"/>
            <family val="2"/>
          </rPr>
          <t>10% is added to the 
labor cost for transporting 
and adjusting machinery.</t>
        </r>
      </text>
    </comment>
    <comment ref="H41" authorId="2">
      <text>
        <r>
          <rPr>
            <sz val="8"/>
            <color indexed="81"/>
            <rFont val="Tahoma"/>
            <family val="2"/>
          </rPr>
          <t>Includes power unit costs 
only for the hours it is used 
with this implement or attachment.</t>
        </r>
      </text>
    </comment>
  </commentList>
</comments>
</file>

<file path=xl/comments2.xml><?xml version="1.0" encoding="utf-8"?>
<comments xmlns="http://schemas.openxmlformats.org/spreadsheetml/2006/main">
  <authors>
    <author>Economics Department</author>
    <author xml:space="preserve">Edwards, William M </author>
    <author>William Edwards</author>
    <author>edwards</author>
  </authors>
  <commentList>
    <comment ref="C5" authorId="0">
      <text>
        <r>
          <rPr>
            <sz val="8"/>
            <color indexed="81"/>
            <rFont val="Tahoma"/>
            <family val="2"/>
          </rPr>
          <t>Place the cursor over cells with red 
triangles to read comments.</t>
        </r>
      </text>
    </comment>
    <comment ref="C11" authorId="0">
      <text>
        <r>
          <rPr>
            <sz val="8"/>
            <color indexed="81"/>
            <rFont val="Tahoma"/>
            <family val="2"/>
          </rPr>
          <t>Click on machinery type in menu</t>
        </r>
      </text>
    </comment>
    <comment ref="D15" authorId="1">
      <text>
        <r>
          <rPr>
            <sz val="8"/>
            <color indexed="81"/>
            <rFont val="Tahoma"/>
            <family val="2"/>
          </rPr>
          <t>Enter zero for a new machine. 
Cannot be less than the age 
when purchased.</t>
        </r>
      </text>
    </comment>
    <comment ref="F15" authorId="1">
      <text>
        <r>
          <rPr>
            <sz val="8"/>
            <color indexed="81"/>
            <rFont val="Tahoma"/>
            <family val="2"/>
          </rPr>
          <t>Enter zero for a new machine.  
Cannot be less than the age
when purchased.</t>
        </r>
      </text>
    </comment>
    <comment ref="D22" authorId="2">
      <text>
        <r>
          <rPr>
            <sz val="8"/>
            <color indexed="81"/>
            <rFont val="Tahoma"/>
            <family val="2"/>
          </rPr>
          <t xml:space="preserve">Expected price delivered to the farm.
</t>
        </r>
      </text>
    </comment>
    <comment ref="D30" authorId="3">
      <text>
        <r>
          <rPr>
            <sz val="9"/>
            <color indexed="81"/>
            <rFont val="Tahoma"/>
            <family val="2"/>
          </rPr>
          <t>Original purchase cost or estimated current value</t>
        </r>
      </text>
    </comment>
    <comment ref="F30" authorId="3">
      <text>
        <r>
          <rPr>
            <sz val="8"/>
            <color indexed="81"/>
            <rFont val="Tahoma"/>
            <family val="2"/>
          </rPr>
          <t>Original purchase cost or 
estimated current value.</t>
        </r>
      </text>
    </comment>
    <comment ref="D31" authorId="2">
      <text>
        <r>
          <rPr>
            <sz val="8"/>
            <color indexed="81"/>
            <rFont val="Tahoma"/>
            <family val="2"/>
          </rPr>
          <t>Based on current list price, 
current value, age at end of 
ownership period, and 
annual hours of use.</t>
        </r>
      </text>
    </comment>
    <comment ref="F31" authorId="2">
      <text>
        <r>
          <rPr>
            <sz val="8"/>
            <color indexed="81"/>
            <rFont val="Tahoma"/>
            <family val="2"/>
          </rPr>
          <t>Based on current list price, 
current value, age at end of 
ownership period, and 
annual hours of use.</t>
        </r>
      </text>
    </comment>
    <comment ref="D34" authorId="2">
      <text>
        <r>
          <rPr>
            <sz val="8"/>
            <color indexed="81"/>
            <rFont val="Tahoma"/>
            <family val="2"/>
          </rPr>
          <t>Annual dollars needed to 
recover depreciation and 
interest on investment.</t>
        </r>
      </text>
    </comment>
    <comment ref="F34" authorId="2">
      <text>
        <r>
          <rPr>
            <sz val="8"/>
            <color indexed="81"/>
            <rFont val="Tahoma"/>
            <family val="2"/>
          </rPr>
          <t>Annual dollars needed to 
recover depreciation and
interest on investment.</t>
        </r>
      </text>
    </comment>
    <comment ref="H34" authorId="2">
      <text>
        <r>
          <rPr>
            <sz val="8"/>
            <color indexed="81"/>
            <rFont val="Tahoma"/>
            <family val="2"/>
          </rPr>
          <t>Includes power unit costs
only for the hours it is 
used with this implement 
or attachment.</t>
        </r>
      </text>
    </comment>
    <comment ref="D35" authorId="2">
      <text>
        <r>
          <rPr>
            <sz val="8"/>
            <color indexed="81"/>
            <rFont val="Tahoma"/>
            <family val="2"/>
          </rPr>
          <t>Estimated at 1% of current value.</t>
        </r>
      </text>
    </comment>
    <comment ref="F35" authorId="2">
      <text>
        <r>
          <rPr>
            <sz val="8"/>
            <color indexed="81"/>
            <rFont val="Tahoma"/>
            <family val="2"/>
          </rPr>
          <t>Estimated at 1% of current value.</t>
        </r>
      </text>
    </comment>
    <comment ref="H35" authorId="2">
      <text>
        <r>
          <rPr>
            <sz val="8"/>
            <color indexed="81"/>
            <rFont val="Tahoma"/>
            <family val="2"/>
          </rPr>
          <t>Includes power unit costs
only for the hours it is 
used with this implement 
or attachment.</t>
        </r>
      </text>
    </comment>
    <comment ref="D39" authorId="2">
      <text>
        <r>
          <rPr>
            <sz val="8"/>
            <color indexed="81"/>
            <rFont val="Tahoma"/>
            <family val="2"/>
          </rPr>
          <t>Based on current list 
price and hours of 
annual use, or user's input.</t>
        </r>
      </text>
    </comment>
    <comment ref="F39" authorId="2">
      <text>
        <r>
          <rPr>
            <sz val="8"/>
            <color indexed="81"/>
            <rFont val="Tahoma"/>
            <family val="2"/>
          </rPr>
          <t>Based on current list 
price and hours of 
annual use, or user's input.</t>
        </r>
      </text>
    </comment>
    <comment ref="H39" authorId="2">
      <text>
        <r>
          <rPr>
            <sz val="8"/>
            <color indexed="81"/>
            <rFont val="Tahoma"/>
            <family val="2"/>
          </rPr>
          <t>Includes power unit costs 
only for the hours it is used 
with this implement or attachment.</t>
        </r>
      </text>
    </comment>
    <comment ref="D40" authorId="2">
      <text>
        <r>
          <rPr>
            <sz val="8"/>
            <color indexed="81"/>
            <rFont val="Tahoma"/>
            <family val="2"/>
          </rPr>
          <t>Based on fuel 
consumption of .044 
gallons of diesel fuel per 
horsepower per hour, 
plus 15% for lubricants.</t>
        </r>
      </text>
    </comment>
    <comment ref="H40" authorId="2">
      <text>
        <r>
          <rPr>
            <sz val="8"/>
            <color indexed="81"/>
            <rFont val="Tahoma"/>
            <family val="2"/>
          </rPr>
          <t>Includes power unit costs 
only for the hours it is used 
with this implement or attachment.</t>
        </r>
      </text>
    </comment>
    <comment ref="D41" authorId="2">
      <text>
        <r>
          <rPr>
            <sz val="8"/>
            <color indexed="81"/>
            <rFont val="Tahoma"/>
            <family val="2"/>
          </rPr>
          <t>10% is added to the 
labor cost for transporting 
and adjusting machinery.</t>
        </r>
      </text>
    </comment>
    <comment ref="H41" authorId="2">
      <text>
        <r>
          <rPr>
            <sz val="8"/>
            <color indexed="81"/>
            <rFont val="Tahoma"/>
            <family val="2"/>
          </rPr>
          <t>Includes power unit costs 
only for the hours it is used 
with this implement or attachment.</t>
        </r>
      </text>
    </comment>
  </commentList>
</comments>
</file>

<file path=xl/sharedStrings.xml><?xml version="1.0" encoding="utf-8"?>
<sst xmlns="http://schemas.openxmlformats.org/spreadsheetml/2006/main" count="201" uniqueCount="121">
  <si>
    <t>Machinery Type Numbers and Constant Values</t>
  </si>
  <si>
    <t>Type no.</t>
  </si>
  <si>
    <t xml:space="preserve">     Description</t>
  </si>
  <si>
    <t>RC1</t>
  </si>
  <si>
    <t>RC2</t>
  </si>
  <si>
    <t>HWOL</t>
  </si>
  <si>
    <t>intercept</t>
  </si>
  <si>
    <t>agecoeff</t>
  </si>
  <si>
    <t>hrscoeff</t>
  </si>
  <si>
    <t>Moldboard plow</t>
  </si>
  <si>
    <t>Disk</t>
  </si>
  <si>
    <t>Cultivator</t>
  </si>
  <si>
    <t>Roller, mulcher</t>
  </si>
  <si>
    <t>Rotary tiller</t>
  </si>
  <si>
    <t>Corn picker</t>
  </si>
  <si>
    <t>Rake</t>
  </si>
  <si>
    <t>Fert. spreader</t>
  </si>
  <si>
    <t>Repair Cost Factors</t>
  </si>
  <si>
    <t>Remaining value factors</t>
  </si>
  <si>
    <t>Field cultivator</t>
  </si>
  <si>
    <t>Harrow</t>
  </si>
  <si>
    <t>Rotary hoe</t>
  </si>
  <si>
    <t>Planter,grain drill</t>
  </si>
  <si>
    <t>Combine head</t>
  </si>
  <si>
    <t>Combine SP unit</t>
  </si>
  <si>
    <t>Mower-conditioner</t>
  </si>
  <si>
    <t>Round baler</t>
  </si>
  <si>
    <t>Windrower</t>
  </si>
  <si>
    <t>Sprayer</t>
  </si>
  <si>
    <t>Forage wagon</t>
  </si>
  <si>
    <t>Grain wagon</t>
  </si>
  <si>
    <t>Skid-steer loader</t>
  </si>
  <si>
    <t>SP sprayer</t>
  </si>
  <si>
    <t>SP forage harvester</t>
  </si>
  <si>
    <t>SP windrower</t>
  </si>
  <si>
    <t>Forage harvester-pull</t>
  </si>
  <si>
    <t>Power Unit</t>
  </si>
  <si>
    <t>Years of ownership remaining</t>
  </si>
  <si>
    <t>Interest rate</t>
  </si>
  <si>
    <t>Field capacity in acres or tons per hour</t>
  </si>
  <si>
    <t>Engine horsepower</t>
  </si>
  <si>
    <t>Capital recovery (interest and depreciation)</t>
  </si>
  <si>
    <t>Total ownership cost</t>
  </si>
  <si>
    <t>Operating Costs</t>
  </si>
  <si>
    <t xml:space="preserve">Annual use </t>
  </si>
  <si>
    <t>hours</t>
  </si>
  <si>
    <t>years</t>
  </si>
  <si>
    <t>hp</t>
  </si>
  <si>
    <t>/gal.</t>
  </si>
  <si>
    <t>/hour</t>
  </si>
  <si>
    <t>Combination</t>
  </si>
  <si>
    <t>Fuel and lubrication cost</t>
  </si>
  <si>
    <t>$/acre</t>
  </si>
  <si>
    <t>$/year</t>
  </si>
  <si>
    <t>Implement or Attachment</t>
  </si>
  <si>
    <t xml:space="preserve">Total operating cost </t>
  </si>
  <si>
    <t>Taxes, insurance and housing</t>
  </si>
  <si>
    <t>Ownership Costs</t>
  </si>
  <si>
    <t>Total Ownership plus Operating Costs</t>
  </si>
  <si>
    <t xml:space="preserve">Repair cost </t>
  </si>
  <si>
    <t xml:space="preserve">Labor cost </t>
  </si>
  <si>
    <t>%</t>
  </si>
  <si>
    <t>Chisel plow, subsoiler</t>
  </si>
  <si>
    <t xml:space="preserve"> </t>
  </si>
  <si>
    <t>Machinery Cost Calculator</t>
  </si>
  <si>
    <t>Ag Decision Maker -- Iowa State University Extension</t>
  </si>
  <si>
    <t>Author: William Edwards</t>
  </si>
  <si>
    <t>. . . and justice for all</t>
  </si>
  <si>
    <t>The U.S. Department of Agriculture (USDA) prohibits discrimination in all its programs and activities on the basis of race, color, national origin, gender, religion, age, disability, political beliefs, sexual orientation, and marital or family status. (Not all prohibited bases apply to all programs.) Many materials can be made available in alternative formats for ADA clients. To file a complaint of discrimination, write USDA, Office of Civil Rights, Room 326-W, Whitten Building, 14th and Independence Avenue, SW, Washington, DC 20250-9410 or call 202-720-5964.</t>
  </si>
  <si>
    <t>Enter your input values in shaded cells.</t>
  </si>
  <si>
    <t>Date Printed:</t>
  </si>
  <si>
    <t>Input Data</t>
  </si>
  <si>
    <t>Place the cursor over cells with red triangles to read comments.</t>
  </si>
  <si>
    <r>
      <t xml:space="preserve">For more Information, see Information File A3-29 </t>
    </r>
    <r>
      <rPr>
        <u/>
        <sz val="10"/>
        <color indexed="45"/>
        <rFont val="Arial"/>
        <family val="2"/>
      </rPr>
      <t>Estimating Farm Machinery Costs.</t>
    </r>
  </si>
  <si>
    <t>Power Unit Alone</t>
  </si>
  <si>
    <t>Estimated value at end of the ownership period</t>
  </si>
  <si>
    <t>Price of diesel fuel</t>
  </si>
  <si>
    <t>(leave blank to use calculator estimate)</t>
  </si>
  <si>
    <t>acres or tons</t>
  </si>
  <si>
    <t>Wage or labor value for machine operator</t>
  </si>
  <si>
    <t>Hours</t>
  </si>
  <si>
    <t>Wearout</t>
  </si>
  <si>
    <t>SP cotton picker</t>
  </si>
  <si>
    <t>Mower (sickle bar)</t>
  </si>
  <si>
    <t>Mower (rotary)</t>
  </si>
  <si>
    <t>Small square baler</t>
  </si>
  <si>
    <t>Large square baler</t>
  </si>
  <si>
    <t>Sugar beet harvester</t>
  </si>
  <si>
    <t>Potato harvester</t>
  </si>
  <si>
    <t>Combine repair cost coefficients were adjusted based on recent survey data.</t>
  </si>
  <si>
    <t>Tractor, 4-wheel drive</t>
  </si>
  <si>
    <t>Tractor, under 80 hp, 2wd</t>
  </si>
  <si>
    <t>Tractor 80-150 hp, 2wd</t>
  </si>
  <si>
    <t>Tractor over 150 hp, 2wd</t>
  </si>
  <si>
    <t>Annual repair and maintenance costs</t>
  </si>
  <si>
    <t>Includes power unit costs only for the hours used with this implement or attachment.</t>
  </si>
  <si>
    <t>Manure handling equipment</t>
  </si>
  <si>
    <t>Feed grinders and mixers</t>
  </si>
  <si>
    <t>Accumulated hours of use to date</t>
  </si>
  <si>
    <t xml:space="preserve">Current list price of comparable new machine </t>
  </si>
  <si>
    <t>Period over which to estimate costs (pick one)</t>
  </si>
  <si>
    <t>Type of machine (pick one)</t>
  </si>
  <si>
    <t>Source: American Society of Agricultural and Biological Engineers Standards.</t>
  </si>
  <si>
    <t>Periods over which to estimate costs.</t>
  </si>
  <si>
    <t>ac. or t /hour</t>
  </si>
  <si>
    <t>Current age of machine</t>
  </si>
  <si>
    <t>Age of machine when purchased</t>
  </si>
  <si>
    <t>Beg. Hours</t>
  </si>
  <si>
    <t>End. Hours</t>
  </si>
  <si>
    <t>From current year to end of ownership period</t>
  </si>
  <si>
    <t>From year of purchase to end of ownership period</t>
  </si>
  <si>
    <t>For current year only</t>
  </si>
  <si>
    <t>Original purchase price of machine</t>
  </si>
  <si>
    <t>Estimated value at time of purchase</t>
  </si>
  <si>
    <t>Beginning value for cost period</t>
  </si>
  <si>
    <t>Ownership and Operating Costs</t>
  </si>
  <si>
    <t>from current year to end of ownership period</t>
  </si>
  <si>
    <t>for current year only</t>
  </si>
  <si>
    <t>from year of purchase to end of ownership period</t>
  </si>
  <si>
    <t>Version 1.4</t>
  </si>
  <si>
    <t xml:space="preserve">Issued in furtherance of Cooperative Extension work, Acts of May 8 and July 30, 1914, in cooperation with the U.S. Department of Agriculture. Cathann A. Kress, director, Cooperative Extension Service, Iowa State University of Science and Technology, Ames, Iowa.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</si>
</sst>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General_)"/>
    <numFmt numFmtId="165" formatCode="0.000_)"/>
    <numFmt numFmtId="166" formatCode="0.0_)"/>
    <numFmt numFmtId="167" formatCode="&quot;$&quot;#,##0"/>
    <numFmt numFmtId="168" formatCode="&quot;$&quot;#,##0.00"/>
    <numFmt numFmtId="169" formatCode="_(* #,##0_);_(* \(#,##0\);_(* &quot;-&quot;??_);_(@_)"/>
    <numFmt numFmtId="170" formatCode="0.0000"/>
  </numFmts>
  <fonts count="20" x14ac:knownFonts="1">
    <font>
      <sz val="10"/>
      <name val="Arial"/>
    </font>
    <font>
      <sz val="10"/>
      <name val="Arial"/>
      <family val="2"/>
    </font>
    <font>
      <b/>
      <sz val="10"/>
      <name val="Arial"/>
      <family val="2"/>
    </font>
    <font>
      <b/>
      <sz val="12"/>
      <name val="Arial"/>
      <family val="2"/>
    </font>
    <font>
      <sz val="10"/>
      <name val="Arial"/>
      <family val="2"/>
    </font>
    <font>
      <b/>
      <u/>
      <sz val="10"/>
      <name val="Arial"/>
      <family val="2"/>
    </font>
    <font>
      <u/>
      <sz val="10"/>
      <name val="Arial"/>
      <family val="2"/>
    </font>
    <font>
      <u/>
      <sz val="10"/>
      <color indexed="12"/>
      <name val="Arial"/>
      <family val="2"/>
    </font>
    <font>
      <sz val="9"/>
      <name val="Arial"/>
      <family val="2"/>
    </font>
    <font>
      <sz val="6"/>
      <color indexed="63"/>
      <name val="Univers"/>
      <family val="2"/>
    </font>
    <font>
      <sz val="6"/>
      <name val="Arial"/>
      <family val="2"/>
    </font>
    <font>
      <u/>
      <sz val="10"/>
      <color indexed="45"/>
      <name val="Arial"/>
      <family val="2"/>
    </font>
    <font>
      <b/>
      <sz val="14"/>
      <color indexed="9"/>
      <name val="Arial"/>
      <family val="2"/>
    </font>
    <font>
      <b/>
      <sz val="11"/>
      <color indexed="63"/>
      <name val="Arial"/>
      <family val="2"/>
    </font>
    <font>
      <sz val="8"/>
      <color indexed="81"/>
      <name val="Tahoma"/>
      <family val="2"/>
    </font>
    <font>
      <u/>
      <sz val="10"/>
      <name val="Arial"/>
      <family val="2"/>
    </font>
    <font>
      <sz val="10"/>
      <color indexed="9"/>
      <name val="Arial"/>
      <family val="2"/>
    </font>
    <font>
      <sz val="9"/>
      <color indexed="81"/>
      <name val="Tahoma"/>
      <family val="2"/>
    </font>
    <font>
      <i/>
      <sz val="10"/>
      <name val="Arial"/>
      <family val="2"/>
    </font>
    <font>
      <sz val="10"/>
      <color theme="0"/>
      <name val="Arial"/>
      <family val="2"/>
    </font>
  </fonts>
  <fills count="7">
    <fill>
      <patternFill patternType="none"/>
    </fill>
    <fill>
      <patternFill patternType="gray125"/>
    </fill>
    <fill>
      <patternFill patternType="solid">
        <fgColor indexed="43"/>
        <bgColor indexed="64"/>
      </patternFill>
    </fill>
    <fill>
      <patternFill patternType="solid">
        <fgColor indexed="26"/>
        <bgColor indexed="64"/>
      </patternFill>
    </fill>
    <fill>
      <patternFill patternType="solid">
        <fgColor theme="2"/>
        <bgColor indexed="54"/>
      </patternFill>
    </fill>
    <fill>
      <patternFill patternType="solid">
        <fgColor theme="2"/>
        <bgColor indexed="64"/>
      </patternFill>
    </fill>
    <fill>
      <patternFill patternType="solid">
        <fgColor rgb="FFC00000"/>
        <bgColor indexed="64"/>
      </patternFill>
    </fill>
  </fills>
  <borders count="22">
    <border>
      <left/>
      <right/>
      <top/>
      <bottom/>
      <diagonal/>
    </border>
    <border>
      <left/>
      <right style="thin">
        <color auto="1"/>
      </right>
      <top/>
      <bottom/>
      <diagonal/>
    </border>
    <border>
      <left style="thin">
        <color auto="1"/>
      </left>
      <right/>
      <top/>
      <bottom/>
      <diagonal/>
    </border>
    <border>
      <left/>
      <right style="medium">
        <color auto="1"/>
      </right>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
      <left style="medium">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thin">
        <color auto="1"/>
      </left>
      <right style="thin">
        <color auto="1"/>
      </right>
      <top style="medium">
        <color auto="1"/>
      </top>
      <bottom style="thin">
        <color auto="1"/>
      </bottom>
      <diagonal/>
    </border>
    <border>
      <left/>
      <right/>
      <top/>
      <bottom style="thick">
        <color theme="2"/>
      </bottom>
      <diagonal/>
    </border>
  </borders>
  <cellStyleXfs count="3">
    <xf numFmtId="0" fontId="0" fillId="0" borderId="0"/>
    <xf numFmtId="43" fontId="1" fillId="0" borderId="0" applyFont="0" applyFill="0" applyBorder="0" applyAlignment="0" applyProtection="0"/>
    <xf numFmtId="0" fontId="7" fillId="0" borderId="0" applyNumberFormat="0" applyFill="0" applyBorder="0" applyAlignment="0" applyProtection="0">
      <alignment vertical="top"/>
      <protection locked="0"/>
    </xf>
  </cellStyleXfs>
  <cellXfs count="136">
    <xf numFmtId="0" fontId="0" fillId="0" borderId="0" xfId="0"/>
    <xf numFmtId="164" fontId="0" fillId="0" borderId="0" xfId="0" applyNumberFormat="1" applyAlignment="1" applyProtection="1">
      <alignment horizontal="left"/>
    </xf>
    <xf numFmtId="164" fontId="0" fillId="0" borderId="0" xfId="0" applyNumberFormat="1" applyProtection="1"/>
    <xf numFmtId="165" fontId="0" fillId="0" borderId="0" xfId="0" applyNumberFormat="1" applyProtection="1"/>
    <xf numFmtId="166" fontId="0" fillId="0" borderId="0" xfId="0" applyNumberFormat="1" applyProtection="1"/>
    <xf numFmtId="164" fontId="0" fillId="0" borderId="0" xfId="0" applyNumberFormat="1" applyAlignment="1" applyProtection="1">
      <alignment horizontal="right"/>
    </xf>
    <xf numFmtId="168" fontId="0" fillId="0" borderId="0" xfId="0" applyNumberFormat="1"/>
    <xf numFmtId="0" fontId="2" fillId="0" borderId="0" xfId="0" applyFont="1"/>
    <xf numFmtId="0" fontId="4" fillId="0" borderId="0" xfId="0" applyFont="1"/>
    <xf numFmtId="0" fontId="5" fillId="0" borderId="1" xfId="0" applyFont="1" applyBorder="1" applyAlignment="1">
      <alignment horizontal="right"/>
    </xf>
    <xf numFmtId="0" fontId="5" fillId="0" borderId="2" xfId="0" applyFont="1" applyBorder="1" applyAlignment="1">
      <alignment horizontal="right"/>
    </xf>
    <xf numFmtId="0" fontId="5" fillId="0" borderId="3" xfId="0" applyFont="1" applyBorder="1" applyAlignment="1">
      <alignment horizontal="right"/>
    </xf>
    <xf numFmtId="3" fontId="6" fillId="0" borderId="2" xfId="0" applyNumberFormat="1" applyFont="1" applyBorder="1" applyAlignment="1">
      <alignment horizontal="right"/>
    </xf>
    <xf numFmtId="4" fontId="6" fillId="0" borderId="1" xfId="0" applyNumberFormat="1" applyFont="1" applyBorder="1"/>
    <xf numFmtId="4" fontId="6" fillId="0" borderId="3" xfId="0" applyNumberFormat="1" applyFont="1" applyBorder="1"/>
    <xf numFmtId="0" fontId="7" fillId="0" borderId="0" xfId="2" applyFont="1" applyAlignment="1" applyProtection="1">
      <alignment wrapText="1"/>
    </xf>
    <xf numFmtId="0" fontId="7" fillId="0" borderId="0" xfId="2" applyFont="1" applyAlignment="1" applyProtection="1">
      <alignment horizontal="left" wrapText="1"/>
    </xf>
    <xf numFmtId="0" fontId="4" fillId="0" borderId="0" xfId="0" applyFont="1" applyFill="1" applyBorder="1"/>
    <xf numFmtId="0" fontId="1" fillId="0" borderId="0" xfId="0" applyFont="1"/>
    <xf numFmtId="0" fontId="1" fillId="0" borderId="0" xfId="0" applyFont="1" applyBorder="1" applyAlignment="1"/>
    <xf numFmtId="0" fontId="1" fillId="0" borderId="0" xfId="0" applyFont="1" applyProtection="1"/>
    <xf numFmtId="0" fontId="4" fillId="0" borderId="0" xfId="0" applyFont="1" applyProtection="1"/>
    <xf numFmtId="0" fontId="9" fillId="0" borderId="0" xfId="0" applyFont="1" applyAlignment="1">
      <alignment horizontal="left"/>
    </xf>
    <xf numFmtId="0" fontId="10" fillId="0" borderId="0" xfId="0" applyFont="1"/>
    <xf numFmtId="0" fontId="9" fillId="0" borderId="0" xfId="0" applyFont="1" applyAlignment="1">
      <alignment wrapText="1"/>
    </xf>
    <xf numFmtId="0" fontId="11" fillId="0" borderId="0" xfId="2" applyFont="1" applyAlignment="1" applyProtection="1">
      <alignment horizontal="left"/>
    </xf>
    <xf numFmtId="0" fontId="4" fillId="0" borderId="0" xfId="0" applyFont="1" applyFill="1"/>
    <xf numFmtId="0" fontId="0" fillId="0" borderId="0" xfId="0" applyFill="1"/>
    <xf numFmtId="0" fontId="1" fillId="0" borderId="0" xfId="0" applyFont="1" applyFill="1"/>
    <xf numFmtId="0" fontId="13" fillId="0" borderId="0" xfId="0" applyFont="1"/>
    <xf numFmtId="0" fontId="1" fillId="0" borderId="0" xfId="2" applyFont="1" applyAlignment="1" applyProtection="1">
      <alignment horizontal="left"/>
    </xf>
    <xf numFmtId="14" fontId="1" fillId="0" borderId="0" xfId="0" applyNumberFormat="1" applyFont="1" applyAlignment="1" applyProtection="1">
      <alignment horizontal="left"/>
    </xf>
    <xf numFmtId="0" fontId="1" fillId="0" borderId="4" xfId="0" applyFont="1" applyBorder="1"/>
    <xf numFmtId="0" fontId="1" fillId="0" borderId="0" xfId="0" applyFont="1" applyAlignment="1"/>
    <xf numFmtId="0" fontId="1" fillId="0" borderId="2" xfId="0" applyFont="1" applyBorder="1"/>
    <xf numFmtId="0" fontId="1" fillId="0" borderId="1" xfId="0" applyFont="1" applyBorder="1" applyProtection="1">
      <protection locked="0"/>
    </xf>
    <xf numFmtId="0" fontId="1" fillId="0" borderId="0" xfId="0" applyFont="1" applyBorder="1"/>
    <xf numFmtId="0" fontId="1" fillId="0" borderId="3" xfId="0" applyFont="1" applyBorder="1"/>
    <xf numFmtId="0" fontId="1" fillId="0" borderId="5" xfId="0" applyFont="1" applyBorder="1" applyProtection="1">
      <protection hidden="1"/>
    </xf>
    <xf numFmtId="167" fontId="1" fillId="2" borderId="6" xfId="0" applyNumberFormat="1" applyFont="1" applyFill="1" applyBorder="1" applyProtection="1">
      <protection locked="0"/>
    </xf>
    <xf numFmtId="167" fontId="1" fillId="0" borderId="1" xfId="0" applyNumberFormat="1" applyFont="1" applyBorder="1"/>
    <xf numFmtId="0" fontId="1" fillId="2" borderId="6" xfId="0" applyFont="1" applyFill="1" applyBorder="1" applyProtection="1">
      <protection locked="0"/>
    </xf>
    <xf numFmtId="0" fontId="1" fillId="0" borderId="1" xfId="0" applyFont="1" applyBorder="1"/>
    <xf numFmtId="10" fontId="1" fillId="2" borderId="6" xfId="0" applyNumberFormat="1" applyFont="1" applyFill="1" applyBorder="1" applyProtection="1">
      <protection locked="0"/>
    </xf>
    <xf numFmtId="3" fontId="1" fillId="2" borderId="6" xfId="0" applyNumberFormat="1" applyFont="1" applyFill="1" applyBorder="1" applyProtection="1">
      <protection locked="0"/>
    </xf>
    <xf numFmtId="0" fontId="1" fillId="0" borderId="0" xfId="0" quotePrefix="1" applyFont="1" applyBorder="1"/>
    <xf numFmtId="0" fontId="1" fillId="0" borderId="7" xfId="0" applyFont="1" applyBorder="1"/>
    <xf numFmtId="0" fontId="1" fillId="0" borderId="8" xfId="0" applyFont="1" applyBorder="1"/>
    <xf numFmtId="0" fontId="1" fillId="0" borderId="9" xfId="0" applyFont="1" applyBorder="1"/>
    <xf numFmtId="0" fontId="1" fillId="0" borderId="5" xfId="0" applyFont="1" applyBorder="1"/>
    <xf numFmtId="167" fontId="1" fillId="0" borderId="2" xfId="0" applyNumberFormat="1" applyFont="1" applyBorder="1"/>
    <xf numFmtId="167" fontId="1" fillId="0" borderId="2" xfId="0" applyNumberFormat="1" applyFont="1" applyBorder="1" applyAlignment="1">
      <alignment horizontal="right"/>
    </xf>
    <xf numFmtId="168" fontId="1" fillId="0" borderId="1" xfId="0" applyNumberFormat="1" applyFont="1" applyBorder="1"/>
    <xf numFmtId="168" fontId="1" fillId="0" borderId="3" xfId="0" applyNumberFormat="1" applyFont="1" applyBorder="1"/>
    <xf numFmtId="0" fontId="1" fillId="0" borderId="2" xfId="0" applyFont="1" applyBorder="1" applyAlignment="1">
      <alignment horizontal="right"/>
    </xf>
    <xf numFmtId="3" fontId="1" fillId="0" borderId="2" xfId="0" applyNumberFormat="1" applyFont="1" applyBorder="1" applyAlignment="1">
      <alignment horizontal="right"/>
    </xf>
    <xf numFmtId="4" fontId="1" fillId="0" borderId="1" xfId="0" applyNumberFormat="1" applyFont="1" applyBorder="1"/>
    <xf numFmtId="4" fontId="1" fillId="0" borderId="3" xfId="0" applyNumberFormat="1" applyFont="1" applyBorder="1"/>
    <xf numFmtId="167" fontId="1" fillId="0" borderId="10" xfId="0" applyNumberFormat="1" applyFont="1" applyBorder="1" applyAlignment="1">
      <alignment horizontal="right"/>
    </xf>
    <xf numFmtId="168" fontId="1" fillId="0" borderId="11" xfId="0" applyNumberFormat="1" applyFont="1" applyBorder="1"/>
    <xf numFmtId="167" fontId="1" fillId="0" borderId="10" xfId="0" applyNumberFormat="1" applyFont="1" applyBorder="1"/>
    <xf numFmtId="168" fontId="1" fillId="0" borderId="8" xfId="0" applyNumberFormat="1" applyFont="1" applyBorder="1"/>
    <xf numFmtId="0" fontId="1" fillId="0" borderId="0" xfId="0" applyFont="1" applyAlignment="1" applyProtection="1"/>
    <xf numFmtId="0" fontId="1" fillId="0" borderId="2" xfId="0" applyFont="1" applyBorder="1" applyProtection="1">
      <protection locked="0"/>
    </xf>
    <xf numFmtId="0" fontId="8" fillId="2" borderId="6" xfId="0" applyFont="1" applyFill="1" applyBorder="1" applyAlignment="1" applyProtection="1">
      <alignment horizontal="left"/>
    </xf>
    <xf numFmtId="169" fontId="1" fillId="2" borderId="6" xfId="1" applyNumberFormat="1" applyFont="1" applyFill="1" applyBorder="1" applyProtection="1">
      <protection locked="0"/>
    </xf>
    <xf numFmtId="0" fontId="2" fillId="0" borderId="0" xfId="0" applyFont="1" applyAlignment="1">
      <alignment horizontal="center"/>
    </xf>
    <xf numFmtId="0" fontId="4" fillId="0" borderId="5" xfId="0" applyFont="1" applyFill="1" applyBorder="1" applyProtection="1">
      <protection hidden="1"/>
    </xf>
    <xf numFmtId="0" fontId="4" fillId="0" borderId="12" xfId="0" applyFont="1" applyFill="1" applyBorder="1" applyProtection="1">
      <protection hidden="1"/>
    </xf>
    <xf numFmtId="168" fontId="1" fillId="3" borderId="6" xfId="0" applyNumberFormat="1" applyFont="1" applyFill="1" applyBorder="1" applyProtection="1">
      <protection locked="0"/>
    </xf>
    <xf numFmtId="0" fontId="1" fillId="0" borderId="0" xfId="0" applyFont="1" applyFill="1" applyBorder="1" applyProtection="1">
      <protection locked="0"/>
    </xf>
    <xf numFmtId="0" fontId="4" fillId="0" borderId="3" xfId="0" applyFont="1" applyBorder="1"/>
    <xf numFmtId="0" fontId="4" fillId="0" borderId="0" xfId="0" applyFont="1" applyBorder="1" applyAlignment="1" applyProtection="1">
      <alignment horizontal="left"/>
    </xf>
    <xf numFmtId="0" fontId="2" fillId="0" borderId="0" xfId="2" applyFont="1" applyAlignment="1" applyProtection="1">
      <alignment horizontal="center" wrapText="1"/>
    </xf>
    <xf numFmtId="164" fontId="15" fillId="0" borderId="0" xfId="0" applyNumberFormat="1" applyFont="1" applyAlignment="1" applyProtection="1">
      <alignment horizontal="right"/>
    </xf>
    <xf numFmtId="167" fontId="1" fillId="3" borderId="6" xfId="0" applyNumberFormat="1" applyFont="1" applyFill="1" applyBorder="1" applyProtection="1">
      <protection locked="0"/>
    </xf>
    <xf numFmtId="0" fontId="8" fillId="0" borderId="0" xfId="0" applyFont="1" applyFill="1" applyBorder="1"/>
    <xf numFmtId="0" fontId="2" fillId="0" borderId="7" xfId="0" applyFont="1" applyBorder="1"/>
    <xf numFmtId="0" fontId="2" fillId="0" borderId="5" xfId="0" applyFont="1" applyBorder="1"/>
    <xf numFmtId="0" fontId="2" fillId="0" borderId="12" xfId="0" applyFont="1" applyBorder="1"/>
    <xf numFmtId="0" fontId="1" fillId="0" borderId="0" xfId="0" applyFont="1" applyBorder="1" applyProtection="1"/>
    <xf numFmtId="3" fontId="6" fillId="0" borderId="2" xfId="0" applyNumberFormat="1" applyFont="1" applyBorder="1"/>
    <xf numFmtId="3" fontId="1" fillId="0" borderId="2" xfId="0" applyNumberFormat="1" applyFont="1" applyBorder="1"/>
    <xf numFmtId="0" fontId="4" fillId="0" borderId="5" xfId="0" applyFont="1" applyBorder="1"/>
    <xf numFmtId="0" fontId="4" fillId="0" borderId="5" xfId="0" applyFont="1" applyBorder="1" applyProtection="1">
      <protection hidden="1"/>
    </xf>
    <xf numFmtId="0" fontId="4" fillId="0" borderId="13" xfId="0" applyFont="1" applyBorder="1" applyProtection="1">
      <protection hidden="1"/>
    </xf>
    <xf numFmtId="164" fontId="4" fillId="0" borderId="0" xfId="0" applyNumberFormat="1" applyFont="1" applyAlignment="1" applyProtection="1">
      <alignment horizontal="left"/>
    </xf>
    <xf numFmtId="164" fontId="0" fillId="0" borderId="0" xfId="0" applyNumberFormat="1" applyFont="1" applyAlignment="1" applyProtection="1">
      <alignment horizontal="left"/>
    </xf>
    <xf numFmtId="0" fontId="4" fillId="0" borderId="0" xfId="0" applyFont="1" applyBorder="1"/>
    <xf numFmtId="0" fontId="3" fillId="0" borderId="0" xfId="0" applyFont="1" applyBorder="1" applyAlignment="1"/>
    <xf numFmtId="0" fontId="4" fillId="0" borderId="0" xfId="0" applyFont="1" applyBorder="1" applyProtection="1">
      <protection hidden="1"/>
    </xf>
    <xf numFmtId="0" fontId="1" fillId="0" borderId="14" xfId="0" applyFont="1" applyBorder="1" applyProtection="1">
      <protection locked="0"/>
    </xf>
    <xf numFmtId="0" fontId="4" fillId="0" borderId="3" xfId="0" quotePrefix="1" applyFont="1" applyBorder="1"/>
    <xf numFmtId="0" fontId="1" fillId="0" borderId="15" xfId="0" applyFont="1" applyBorder="1" applyProtection="1">
      <protection locked="0"/>
    </xf>
    <xf numFmtId="167" fontId="4" fillId="0" borderId="2" xfId="0" applyNumberFormat="1" applyFont="1" applyBorder="1" applyAlignment="1">
      <alignment horizontal="right"/>
    </xf>
    <xf numFmtId="169" fontId="1" fillId="0" borderId="2" xfId="1" applyNumberFormat="1" applyFont="1" applyBorder="1" applyAlignment="1">
      <alignment horizontal="right"/>
    </xf>
    <xf numFmtId="0" fontId="4" fillId="0" borderId="0" xfId="0" applyFont="1" applyFill="1" applyBorder="1" applyAlignment="1" applyProtection="1"/>
    <xf numFmtId="169" fontId="1" fillId="0" borderId="2" xfId="1" applyNumberFormat="1" applyFont="1" applyBorder="1"/>
    <xf numFmtId="43" fontId="0" fillId="0" borderId="0" xfId="0" applyNumberFormat="1"/>
    <xf numFmtId="169" fontId="4" fillId="0" borderId="0" xfId="1" quotePrefix="1" applyNumberFormat="1" applyFont="1" applyBorder="1" applyAlignment="1" applyProtection="1"/>
    <xf numFmtId="170" fontId="10" fillId="0" borderId="0" xfId="0" applyNumberFormat="1" applyFont="1"/>
    <xf numFmtId="170" fontId="4" fillId="0" borderId="0" xfId="0" applyNumberFormat="1" applyFont="1"/>
    <xf numFmtId="0" fontId="16" fillId="0" borderId="5" xfId="0" applyFont="1" applyBorder="1"/>
    <xf numFmtId="169" fontId="16" fillId="0" borderId="2" xfId="1" applyNumberFormat="1" applyFont="1" applyBorder="1" applyAlignment="1">
      <alignment horizontal="right"/>
    </xf>
    <xf numFmtId="0" fontId="16" fillId="0" borderId="0" xfId="0" applyFont="1" applyBorder="1"/>
    <xf numFmtId="0" fontId="4" fillId="0" borderId="1" xfId="0" applyFont="1" applyBorder="1"/>
    <xf numFmtId="1" fontId="1" fillId="0" borderId="0" xfId="0" applyNumberFormat="1" applyFont="1"/>
    <xf numFmtId="0" fontId="16" fillId="0" borderId="0" xfId="0" applyFont="1"/>
    <xf numFmtId="0" fontId="2" fillId="0" borderId="0" xfId="0" applyFont="1" applyBorder="1" applyProtection="1">
      <protection hidden="1"/>
    </xf>
    <xf numFmtId="0" fontId="2" fillId="0" borderId="0" xfId="0" applyFont="1" applyBorder="1"/>
    <xf numFmtId="0" fontId="18" fillId="0" borderId="0" xfId="0" applyFont="1" applyBorder="1"/>
    <xf numFmtId="0" fontId="18" fillId="0" borderId="0" xfId="0" applyFont="1"/>
    <xf numFmtId="0" fontId="4" fillId="0" borderId="16" xfId="0" applyFont="1" applyFill="1" applyBorder="1" applyProtection="1">
      <protection hidden="1"/>
    </xf>
    <xf numFmtId="0" fontId="2" fillId="0" borderId="7" xfId="0" applyFont="1" applyFill="1" applyBorder="1" applyProtection="1">
      <protection hidden="1"/>
    </xf>
    <xf numFmtId="0" fontId="2" fillId="0" borderId="17" xfId="0" applyFont="1" applyBorder="1" applyAlignment="1"/>
    <xf numFmtId="0" fontId="1" fillId="0" borderId="18" xfId="0" applyFont="1" applyBorder="1"/>
    <xf numFmtId="169" fontId="19" fillId="0" borderId="2" xfId="1" applyNumberFormat="1" applyFont="1" applyBorder="1"/>
    <xf numFmtId="169" fontId="19" fillId="0" borderId="2" xfId="0" applyNumberFormat="1" applyFont="1" applyBorder="1"/>
    <xf numFmtId="0" fontId="4" fillId="4" borderId="0" xfId="0" applyFont="1" applyFill="1"/>
    <xf numFmtId="0" fontId="0" fillId="4" borderId="0" xfId="0" applyFill="1"/>
    <xf numFmtId="0" fontId="1" fillId="4" borderId="0" xfId="0" applyFont="1" applyFill="1"/>
    <xf numFmtId="0" fontId="0" fillId="5" borderId="0" xfId="0" applyFill="1"/>
    <xf numFmtId="0" fontId="12" fillId="6" borderId="21" xfId="0" applyFont="1" applyFill="1" applyBorder="1" applyAlignment="1"/>
    <xf numFmtId="0" fontId="8" fillId="0" borderId="2" xfId="0" applyFont="1" applyBorder="1" applyAlignment="1">
      <alignment horizontal="center" wrapText="1"/>
    </xf>
    <xf numFmtId="0" fontId="8" fillId="0" borderId="3" xfId="0" applyFont="1" applyBorder="1" applyAlignment="1">
      <alignment horizontal="center" wrapText="1"/>
    </xf>
    <xf numFmtId="0" fontId="9" fillId="0" borderId="0" xfId="0" applyFont="1" applyAlignment="1">
      <alignment horizontal="left" wrapText="1"/>
    </xf>
    <xf numFmtId="0" fontId="4" fillId="0" borderId="0" xfId="2" applyFont="1" applyAlignment="1" applyProtection="1">
      <alignment horizontal="left" wrapText="1"/>
    </xf>
    <xf numFmtId="0" fontId="1" fillId="0" borderId="19" xfId="0" applyFont="1" applyBorder="1" applyAlignment="1" applyProtection="1">
      <alignment horizontal="left"/>
    </xf>
    <xf numFmtId="0" fontId="1" fillId="0" borderId="0" xfId="0" applyFont="1" applyBorder="1" applyAlignment="1" applyProtection="1">
      <alignment horizontal="left"/>
    </xf>
    <xf numFmtId="0" fontId="2" fillId="0" borderId="20" xfId="0" applyFont="1" applyBorder="1" applyAlignment="1">
      <alignment horizontal="center"/>
    </xf>
    <xf numFmtId="0" fontId="1" fillId="0" borderId="20" xfId="0" applyFont="1" applyBorder="1" applyAlignment="1"/>
    <xf numFmtId="0" fontId="5" fillId="0" borderId="14" xfId="0" applyFont="1" applyBorder="1" applyAlignment="1">
      <alignment horizontal="center"/>
    </xf>
    <xf numFmtId="0" fontId="6" fillId="0" borderId="15" xfId="0" applyFont="1" applyBorder="1" applyAlignment="1"/>
    <xf numFmtId="0" fontId="6" fillId="0" borderId="15" xfId="0" applyFont="1" applyBorder="1" applyAlignment="1">
      <alignment horizontal="center"/>
    </xf>
    <xf numFmtId="0" fontId="1" fillId="0" borderId="4" xfId="0" applyFont="1" applyBorder="1"/>
    <xf numFmtId="0" fontId="2" fillId="0" borderId="0" xfId="0" applyFont="1" applyAlignment="1">
      <alignment horizontal="center"/>
    </xf>
  </cellXfs>
  <cellStyles count="3">
    <cellStyle name="Comma" xfId="1" builtinId="3"/>
    <cellStyle name="Hyperlink" xfId="2"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CCCC99"/>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9900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20" fmlaLink="$D$11" fmlaRange="Data!$D$5:$D$14" noThreeD="1" sel="3" val="2"/>
</file>

<file path=xl/ctrlProps/ctrlProp2.xml><?xml version="1.0" encoding="utf-8"?>
<formControlPr xmlns="http://schemas.microsoft.com/office/spreadsheetml/2009/9/main" objectType="Drop" dropLines="15" dropStyle="combo" dx="20" fmlaLink="$F$11" fmlaRange="Data!$D$16:$D$44" noThreeD="1" sel="2" val="0"/>
</file>

<file path=xl/ctrlProps/ctrlProp3.xml><?xml version="1.0" encoding="utf-8"?>
<formControlPr xmlns="http://schemas.microsoft.com/office/spreadsheetml/2009/9/main" objectType="Drop" dropLines="61" dropStyle="combo" dx="20" fmlaLink="$D$9" fmlaRange="Data!$D$49:$D$51" noThreeD="1" sel="2" val="0"/>
</file>

<file path=xl/ctrlProps/ctrlProp4.xml><?xml version="1.0" encoding="utf-8"?>
<formControlPr xmlns="http://schemas.microsoft.com/office/spreadsheetml/2009/9/main" objectType="Drop" dropStyle="combo" dx="20" fmlaLink="$D$11" fmlaRange="Data!$D$5:$D$14" noThreeD="1" sel="3" val="2"/>
</file>

<file path=xl/ctrlProps/ctrlProp5.xml><?xml version="1.0" encoding="utf-8"?>
<formControlPr xmlns="http://schemas.microsoft.com/office/spreadsheetml/2009/9/main" objectType="Drop" dropLines="15" dropStyle="combo" dx="20" fmlaLink="$F$11" fmlaRange="Data!$D$16:$D$44" noThreeD="1" sel="2" val="0"/>
</file>

<file path=xl/ctrlProps/ctrlProp6.xml><?xml version="1.0" encoding="utf-8"?>
<formControlPr xmlns="http://schemas.microsoft.com/office/spreadsheetml/2009/9/main" objectType="Drop" dropLines="3" dropStyle="combo" dx="20" fmlaLink="$D$9" fmlaRange="Data!$D$49:$D$51" noThreeD="1" sel="2" val="0"/>
</file>

<file path=xl/drawings/_rels/drawing1.xml.rels><?xml version="1.0" encoding="UTF-8" standalone="yes"?>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624840</xdr:colOff>
      <xdr:row>1</xdr:row>
      <xdr:rowOff>15240</xdr:rowOff>
    </xdr:from>
    <xdr:to>
      <xdr:col>6</xdr:col>
      <xdr:colOff>723900</xdr:colOff>
      <xdr:row>5</xdr:row>
      <xdr:rowOff>137160</xdr:rowOff>
    </xdr:to>
    <xdr:pic>
      <xdr:nvPicPr>
        <xdr:cNvPr id="15388" name="Picture 1" descr="in00443_"/>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48300" y="243840"/>
          <a:ext cx="96774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685800</xdr:colOff>
      <xdr:row>46</xdr:row>
      <xdr:rowOff>91440</xdr:rowOff>
    </xdr:from>
    <xdr:to>
      <xdr:col>8</xdr:col>
      <xdr:colOff>769620</xdr:colOff>
      <xdr:row>49</xdr:row>
      <xdr:rowOff>76200</xdr:rowOff>
    </xdr:to>
    <xdr:pic>
      <xdr:nvPicPr>
        <xdr:cNvPr id="15389"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09260" y="8061960"/>
          <a:ext cx="265176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12700</xdr:rowOff>
        </xdr:from>
        <xdr:to>
          <xdr:col>4</xdr:col>
          <xdr:colOff>850900</xdr:colOff>
          <xdr:row>10</xdr:row>
          <xdr:rowOff>215900</xdr:rowOff>
        </xdr:to>
        <xdr:sp macro="" textlink="">
          <xdr:nvSpPr>
            <xdr:cNvPr id="15361" name="Drop Down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10</xdr:row>
          <xdr:rowOff>12700</xdr:rowOff>
        </xdr:from>
        <xdr:to>
          <xdr:col>6</xdr:col>
          <xdr:colOff>812800</xdr:colOff>
          <xdr:row>10</xdr:row>
          <xdr:rowOff>215900</xdr:rowOff>
        </xdr:to>
        <xdr:sp macro="" textlink="">
          <xdr:nvSpPr>
            <xdr:cNvPr id="15362" name="Drop Down 2" hidden="1">
              <a:extLst>
                <a:ext uri="{63B3BB69-23CF-44E3-9099-C40C66FF867C}">
                  <a14:compatExt spid="_x0000_s153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7</xdr:row>
          <xdr:rowOff>152400</xdr:rowOff>
        </xdr:from>
        <xdr:to>
          <xdr:col>6</xdr:col>
          <xdr:colOff>825500</xdr:colOff>
          <xdr:row>8</xdr:row>
          <xdr:rowOff>177800</xdr:rowOff>
        </xdr:to>
        <xdr:sp macro="" textlink="">
          <xdr:nvSpPr>
            <xdr:cNvPr id="15363" name="Drop Down 3" hidden="1">
              <a:extLst>
                <a:ext uri="{63B3BB69-23CF-44E3-9099-C40C66FF867C}">
                  <a14:compatExt spid="_x0000_s1536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624840</xdr:colOff>
      <xdr:row>1</xdr:row>
      <xdr:rowOff>15240</xdr:rowOff>
    </xdr:from>
    <xdr:to>
      <xdr:col>6</xdr:col>
      <xdr:colOff>723900</xdr:colOff>
      <xdr:row>5</xdr:row>
      <xdr:rowOff>137160</xdr:rowOff>
    </xdr:to>
    <xdr:pic>
      <xdr:nvPicPr>
        <xdr:cNvPr id="17436" name="Picture 1" descr="in00443_"/>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243840"/>
          <a:ext cx="96774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685800</xdr:colOff>
      <xdr:row>46</xdr:row>
      <xdr:rowOff>91440</xdr:rowOff>
    </xdr:from>
    <xdr:to>
      <xdr:col>8</xdr:col>
      <xdr:colOff>769620</xdr:colOff>
      <xdr:row>49</xdr:row>
      <xdr:rowOff>76200</xdr:rowOff>
    </xdr:to>
    <xdr:pic>
      <xdr:nvPicPr>
        <xdr:cNvPr id="17437"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09260" y="8061960"/>
          <a:ext cx="265176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12700</xdr:rowOff>
        </xdr:from>
        <xdr:to>
          <xdr:col>4</xdr:col>
          <xdr:colOff>850900</xdr:colOff>
          <xdr:row>10</xdr:row>
          <xdr:rowOff>215900</xdr:rowOff>
        </xdr:to>
        <xdr:sp macro="" textlink="">
          <xdr:nvSpPr>
            <xdr:cNvPr id="17409" name="Drop Down 1" hidden="1">
              <a:extLst>
                <a:ext uri="{63B3BB69-23CF-44E3-9099-C40C66FF867C}">
                  <a14:compatExt spid="_x0000_s174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10</xdr:row>
          <xdr:rowOff>12700</xdr:rowOff>
        </xdr:from>
        <xdr:to>
          <xdr:col>6</xdr:col>
          <xdr:colOff>812800</xdr:colOff>
          <xdr:row>10</xdr:row>
          <xdr:rowOff>215900</xdr:rowOff>
        </xdr:to>
        <xdr:sp macro="" textlink="">
          <xdr:nvSpPr>
            <xdr:cNvPr id="17410" name="Drop Down 2" hidden="1">
              <a:extLst>
                <a:ext uri="{63B3BB69-23CF-44E3-9099-C40C66FF867C}">
                  <a14:compatExt spid="_x0000_s174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7</xdr:row>
          <xdr:rowOff>152400</xdr:rowOff>
        </xdr:from>
        <xdr:to>
          <xdr:col>6</xdr:col>
          <xdr:colOff>825500</xdr:colOff>
          <xdr:row>8</xdr:row>
          <xdr:rowOff>177800</xdr:rowOff>
        </xdr:to>
        <xdr:sp macro="" textlink="">
          <xdr:nvSpPr>
            <xdr:cNvPr id="17411" name="Drop Down 3" hidden="1">
              <a:extLst>
                <a:ext uri="{63B3BB69-23CF-44E3-9099-C40C66FF867C}">
                  <a14:compatExt spid="_x0000_s17411"/>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trlProp" Target="../ctrlProps/ctrlProp1.xml"/><Relationship Id="rId6" Type="http://schemas.openxmlformats.org/officeDocument/2006/relationships/ctrlProp" Target="../ctrlProps/ctrlProp2.xml"/><Relationship Id="rId7" Type="http://schemas.openxmlformats.org/officeDocument/2006/relationships/ctrlProp" Target="../ctrlProps/ctrlProp3.xml"/><Relationship Id="rId8" Type="http://schemas.openxmlformats.org/officeDocument/2006/relationships/comments" Target="../comments1.xml"/><Relationship Id="rId1" Type="http://schemas.openxmlformats.org/officeDocument/2006/relationships/hyperlink" Target="mailto:wedwards@iastate.edu?subject=AgDM%20Spreadsheet" TargetMode="External"/><Relationship Id="rId2" Type="http://schemas.openxmlformats.org/officeDocument/2006/relationships/hyperlink" Target="http://www.extension.iastate.edu/agdm/crops/pdf/a3-29.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vmlDrawing" Target="../drawings/vmlDrawing2.vml"/><Relationship Id="rId5" Type="http://schemas.openxmlformats.org/officeDocument/2006/relationships/ctrlProp" Target="../ctrlProps/ctrlProp4.xml"/><Relationship Id="rId6" Type="http://schemas.openxmlformats.org/officeDocument/2006/relationships/ctrlProp" Target="../ctrlProps/ctrlProp5.xml"/><Relationship Id="rId7" Type="http://schemas.openxmlformats.org/officeDocument/2006/relationships/ctrlProp" Target="../ctrlProps/ctrlProp6.xml"/><Relationship Id="rId8" Type="http://schemas.openxmlformats.org/officeDocument/2006/relationships/comments" Target="../comments2.xml"/><Relationship Id="rId1" Type="http://schemas.openxmlformats.org/officeDocument/2006/relationships/hyperlink" Target="mailto:wedwards@iastate.edu?subject=AgDM%20Spreadsheet" TargetMode="External"/><Relationship Id="rId2" Type="http://schemas.openxmlformats.org/officeDocument/2006/relationships/hyperlink" Target="http://www.extension.iastate.edu/agdm/crops/pdf/a3-29.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55"/>
  <sheetViews>
    <sheetView showGridLines="0" tabSelected="1" topLeftCell="A9" workbookViewId="0">
      <selection activeCell="J25" sqref="J25"/>
    </sheetView>
  </sheetViews>
  <sheetFormatPr baseColWidth="10" defaultColWidth="8.83203125" defaultRowHeight="12" x14ac:dyDescent="0"/>
  <cols>
    <col min="1" max="1" width="1.6640625" style="121" customWidth="1"/>
    <col min="2" max="2" width="1.6640625" customWidth="1"/>
    <col min="3" max="3" width="40.6640625" customWidth="1"/>
    <col min="4" max="4" width="13.6640625" customWidth="1"/>
    <col min="5" max="6" width="12.6640625" customWidth="1"/>
    <col min="7" max="7" width="12.1640625" customWidth="1"/>
    <col min="8" max="8" width="12.6640625" customWidth="1"/>
    <col min="9" max="9" width="12.5" customWidth="1"/>
  </cols>
  <sheetData>
    <row r="1" spans="1:11" s="122" customFormat="1" ht="18" thickBot="1">
      <c r="C1" s="122" t="s">
        <v>64</v>
      </c>
    </row>
    <row r="2" spans="1:11" s="8" customFormat="1" ht="14" thickTop="1">
      <c r="A2" s="118"/>
      <c r="B2" s="26"/>
      <c r="C2" s="29" t="s">
        <v>65</v>
      </c>
      <c r="D2" s="7"/>
    </row>
    <row r="3" spans="1:11" s="8" customFormat="1" ht="12.75" customHeight="1">
      <c r="A3" s="118"/>
      <c r="B3" s="26"/>
      <c r="C3" s="126" t="s">
        <v>73</v>
      </c>
      <c r="D3" s="126"/>
      <c r="E3" s="126"/>
      <c r="F3" s="126"/>
      <c r="G3" s="126"/>
      <c r="H3" s="15"/>
      <c r="I3" s="15"/>
      <c r="J3" s="15"/>
      <c r="K3" s="15"/>
    </row>
    <row r="4" spans="1:11" s="8" customFormat="1">
      <c r="A4" s="118"/>
      <c r="B4" s="26"/>
      <c r="E4" s="16"/>
      <c r="F4" s="16"/>
      <c r="G4" s="16"/>
      <c r="H4" s="16"/>
      <c r="I4" s="16"/>
      <c r="J4" s="15"/>
      <c r="K4" s="15"/>
    </row>
    <row r="5" spans="1:11" s="8" customFormat="1">
      <c r="A5" s="118"/>
      <c r="B5" s="26"/>
      <c r="C5" s="127" t="s">
        <v>72</v>
      </c>
      <c r="D5" s="128"/>
      <c r="E5" s="62"/>
      <c r="F5" s="62"/>
      <c r="G5" s="62"/>
      <c r="H5" s="16"/>
      <c r="I5" s="16"/>
      <c r="J5" s="15"/>
      <c r="K5" s="15"/>
    </row>
    <row r="6" spans="1:11" s="8" customFormat="1">
      <c r="A6" s="119"/>
      <c r="B6" s="27"/>
      <c r="C6" s="64" t="s">
        <v>69</v>
      </c>
      <c r="D6" s="76"/>
      <c r="E6" s="17"/>
    </row>
    <row r="7" spans="1:11" ht="15">
      <c r="A7" s="119"/>
      <c r="B7" s="27"/>
      <c r="C7" s="89"/>
      <c r="D7" s="89"/>
      <c r="E7" s="89"/>
      <c r="F7" s="89"/>
      <c r="G7" s="89"/>
    </row>
    <row r="8" spans="1:11" s="18" customFormat="1" ht="13" thickBot="1">
      <c r="A8" s="119"/>
      <c r="B8" s="27"/>
      <c r="C8" s="108" t="s">
        <v>71</v>
      </c>
      <c r="D8" s="36"/>
      <c r="E8" s="36"/>
      <c r="F8" s="36"/>
      <c r="G8" s="36"/>
      <c r="H8" s="33"/>
    </row>
    <row r="9" spans="1:11" s="18" customFormat="1" ht="15" customHeight="1" thickBot="1">
      <c r="A9" s="119"/>
      <c r="B9" s="27"/>
      <c r="C9" s="90" t="s">
        <v>100</v>
      </c>
      <c r="D9" s="93">
        <v>2</v>
      </c>
      <c r="E9" s="110"/>
      <c r="F9" s="91"/>
      <c r="G9" s="32"/>
    </row>
    <row r="10" spans="1:11" s="18" customFormat="1" ht="15" customHeight="1">
      <c r="A10" s="119"/>
      <c r="B10" s="27"/>
      <c r="C10" s="48"/>
      <c r="D10" s="129" t="s">
        <v>36</v>
      </c>
      <c r="E10" s="130">
        <v>1</v>
      </c>
      <c r="F10" s="114" t="s">
        <v>54</v>
      </c>
      <c r="G10" s="115"/>
    </row>
    <row r="11" spans="1:11" s="18" customFormat="1" ht="18" customHeight="1">
      <c r="A11" s="119"/>
      <c r="B11" s="27"/>
      <c r="C11" s="85" t="s">
        <v>101</v>
      </c>
      <c r="D11" s="35">
        <v>3</v>
      </c>
      <c r="E11" s="42"/>
      <c r="F11" s="63">
        <v>2</v>
      </c>
      <c r="G11" s="37"/>
    </row>
    <row r="12" spans="1:11" s="18" customFormat="1" ht="15" customHeight="1">
      <c r="A12" s="119"/>
      <c r="B12" s="27"/>
      <c r="C12" s="84" t="s">
        <v>112</v>
      </c>
      <c r="D12" s="39">
        <v>160000</v>
      </c>
      <c r="E12" s="40"/>
      <c r="F12" s="39">
        <v>32000</v>
      </c>
      <c r="G12" s="37"/>
    </row>
    <row r="13" spans="1:11" s="18" customFormat="1">
      <c r="A13" s="119"/>
      <c r="B13" s="27"/>
      <c r="C13" s="84" t="s">
        <v>99</v>
      </c>
      <c r="D13" s="39">
        <v>175000</v>
      </c>
      <c r="E13" s="40"/>
      <c r="F13" s="39">
        <v>40000</v>
      </c>
      <c r="G13" s="37"/>
      <c r="J13" s="33"/>
    </row>
    <row r="14" spans="1:11" s="18" customFormat="1">
      <c r="A14" s="119"/>
      <c r="B14" s="27"/>
      <c r="C14" s="84" t="s">
        <v>106</v>
      </c>
      <c r="D14" s="41">
        <v>0</v>
      </c>
      <c r="E14" s="42" t="s">
        <v>46</v>
      </c>
      <c r="F14" s="41">
        <v>0</v>
      </c>
      <c r="G14" s="37" t="s">
        <v>46</v>
      </c>
      <c r="K14" s="70"/>
    </row>
    <row r="15" spans="1:11" s="18" customFormat="1">
      <c r="A15" s="119"/>
      <c r="B15" s="27"/>
      <c r="C15" s="84" t="s">
        <v>105</v>
      </c>
      <c r="D15" s="41">
        <v>2</v>
      </c>
      <c r="E15" s="42"/>
      <c r="F15" s="41">
        <v>5</v>
      </c>
      <c r="G15" s="37"/>
    </row>
    <row r="16" spans="1:11" s="18" customFormat="1">
      <c r="A16" s="119"/>
      <c r="B16" s="27"/>
      <c r="C16" s="38" t="s">
        <v>37</v>
      </c>
      <c r="D16" s="41">
        <v>8</v>
      </c>
      <c r="E16" s="42" t="s">
        <v>46</v>
      </c>
      <c r="F16" s="41">
        <v>5</v>
      </c>
      <c r="G16" s="37" t="s">
        <v>46</v>
      </c>
    </row>
    <row r="17" spans="1:10" s="18" customFormat="1">
      <c r="A17" s="119"/>
      <c r="B17" s="27"/>
      <c r="C17" s="49"/>
      <c r="D17" s="36"/>
      <c r="E17" s="36"/>
      <c r="F17" s="36"/>
      <c r="G17" s="37"/>
    </row>
    <row r="18" spans="1:10" s="18" customFormat="1">
      <c r="A18" s="119"/>
      <c r="B18" s="27"/>
      <c r="C18" s="84" t="s">
        <v>98</v>
      </c>
      <c r="D18" s="65">
        <v>700</v>
      </c>
      <c r="E18" s="88" t="s">
        <v>45</v>
      </c>
      <c r="F18" s="36"/>
      <c r="G18" s="37"/>
    </row>
    <row r="19" spans="1:10" s="18" customFormat="1">
      <c r="A19" s="119"/>
      <c r="B19" s="27"/>
      <c r="C19" s="38" t="s">
        <v>44</v>
      </c>
      <c r="D19" s="65">
        <v>350</v>
      </c>
      <c r="E19" s="42" t="s">
        <v>45</v>
      </c>
      <c r="F19" s="44">
        <v>1000</v>
      </c>
      <c r="G19" s="71" t="s">
        <v>78</v>
      </c>
    </row>
    <row r="20" spans="1:10" s="18" customFormat="1">
      <c r="A20" s="119"/>
      <c r="B20" s="27"/>
      <c r="C20" s="38" t="s">
        <v>39</v>
      </c>
      <c r="D20" s="80"/>
      <c r="E20" s="42"/>
      <c r="F20" s="41">
        <v>14</v>
      </c>
      <c r="G20" s="92" t="s">
        <v>104</v>
      </c>
    </row>
    <row r="21" spans="1:10" s="18" customFormat="1">
      <c r="A21" s="119"/>
      <c r="B21" s="27"/>
      <c r="C21" s="38" t="s">
        <v>40</v>
      </c>
      <c r="D21" s="41">
        <v>180</v>
      </c>
      <c r="E21" s="36" t="s">
        <v>47</v>
      </c>
      <c r="F21" s="36"/>
      <c r="G21" s="37"/>
    </row>
    <row r="22" spans="1:10" s="18" customFormat="1">
      <c r="A22" s="119"/>
      <c r="B22" s="27"/>
      <c r="C22" s="38" t="s">
        <v>76</v>
      </c>
      <c r="D22" s="69">
        <v>3.25</v>
      </c>
      <c r="E22" s="45" t="s">
        <v>48</v>
      </c>
      <c r="F22" s="36"/>
      <c r="G22" s="37"/>
    </row>
    <row r="23" spans="1:10" s="18" customFormat="1">
      <c r="A23" s="120"/>
      <c r="B23" s="28"/>
      <c r="C23" s="38" t="s">
        <v>79</v>
      </c>
      <c r="D23" s="69">
        <v>13</v>
      </c>
      <c r="E23" s="45" t="s">
        <v>49</v>
      </c>
      <c r="F23" s="36"/>
      <c r="G23" s="37"/>
    </row>
    <row r="24" spans="1:10" s="18" customFormat="1">
      <c r="A24" s="120"/>
      <c r="B24" s="28"/>
      <c r="C24" s="38" t="s">
        <v>38</v>
      </c>
      <c r="D24" s="43">
        <v>5.5E-2</v>
      </c>
      <c r="E24" s="42" t="s">
        <v>61</v>
      </c>
      <c r="F24" s="43">
        <v>5.5E-2</v>
      </c>
      <c r="G24" s="37" t="s">
        <v>61</v>
      </c>
    </row>
    <row r="25" spans="1:10" s="18" customFormat="1">
      <c r="A25" s="120"/>
      <c r="B25" s="28"/>
      <c r="C25" s="67" t="s">
        <v>94</v>
      </c>
      <c r="D25" s="75"/>
      <c r="E25" s="45"/>
      <c r="F25" s="75"/>
      <c r="G25" s="37"/>
    </row>
    <row r="26" spans="1:10" s="18" customFormat="1" ht="13" thickBot="1">
      <c r="A26" s="118"/>
      <c r="B26" s="26"/>
      <c r="C26" s="68" t="s">
        <v>77</v>
      </c>
      <c r="D26" s="46"/>
      <c r="E26" s="46"/>
      <c r="F26" s="77"/>
      <c r="G26" s="47"/>
    </row>
    <row r="27" spans="1:10" s="18" customFormat="1">
      <c r="A27" s="118"/>
      <c r="B27" s="26"/>
      <c r="C27" s="112"/>
      <c r="D27" s="36"/>
      <c r="E27" s="36"/>
      <c r="F27" s="109"/>
      <c r="G27" s="36"/>
    </row>
    <row r="28" spans="1:10" s="18" customFormat="1" ht="13" thickBot="1">
      <c r="A28" s="118"/>
      <c r="B28" s="26"/>
      <c r="C28" s="113" t="s">
        <v>115</v>
      </c>
      <c r="D28" s="111" t="str">
        <f>CONCATENATE("Calculated ",VLOOKUP(D9,Data!C49:E51,3))</f>
        <v>Calculated from current year to end of ownership period</v>
      </c>
      <c r="E28" s="36"/>
      <c r="F28" s="109"/>
      <c r="G28" s="36"/>
    </row>
    <row r="29" spans="1:10" s="18" customFormat="1">
      <c r="A29" s="119"/>
      <c r="B29" s="27"/>
      <c r="C29" s="48"/>
      <c r="D29" s="131" t="s">
        <v>74</v>
      </c>
      <c r="E29" s="132"/>
      <c r="F29" s="131" t="s">
        <v>54</v>
      </c>
      <c r="G29" s="133"/>
      <c r="H29" s="131" t="s">
        <v>50</v>
      </c>
      <c r="I29" s="134"/>
    </row>
    <row r="30" spans="1:10" s="18" customFormat="1">
      <c r="A30" s="119"/>
      <c r="B30" s="27"/>
      <c r="C30" s="83" t="s">
        <v>114</v>
      </c>
      <c r="D30" s="94">
        <f>IF(D9=1,D12,D13*((VLOOKUP(D11,Data!$C5:$J14,6)-VLOOKUP(D11,Data!$C5:$J14,7)*((D15)^0.5)-VLOOKUP(D11,Data!$C5:$J14,8)*(IF(D14&gt;0,D18/D14,D19))^0.5)^2)*IF(D32&gt;0,D12/D32,1))</f>
        <v>104347.76188987127</v>
      </c>
      <c r="E30" s="9"/>
      <c r="F30" s="94">
        <f>IF(D9=1,F12,F13*((VLOOKUP(F11,Data!$C16:$J44,6)-VLOOKUP(F11,Data!$C16:$J44,7)*((F15)^0.5)-VLOOKUP(F11,Data!$C16:$J44,8)*(IF(F20&gt;0,F19/F20,1))^0.5)^2)*IF(F32&gt;0,F12/F32,1))</f>
        <v>16679.751246930897</v>
      </c>
      <c r="G30" s="9"/>
      <c r="H30" s="123" t="s">
        <v>95</v>
      </c>
      <c r="I30" s="124"/>
      <c r="J30" s="33"/>
    </row>
    <row r="31" spans="1:10" s="18" customFormat="1">
      <c r="A31" s="119"/>
      <c r="B31" s="27"/>
      <c r="C31" s="49" t="s">
        <v>75</v>
      </c>
      <c r="D31" s="95">
        <f>IF(D16&gt;0,D13*((VLOOKUP(D11,Data!$C5:$J14,6)-VLOOKUP(D11,Data!$C5:$J14,7)*((D15+IF($D$9=3,1,D16))^0.5)-VLOOKUP(D11,Data!$C5:$J14,8)*(((D18+D19*(IF($D$9=3,1,D16)+D15-D14))/(D15+IF($D$9=3,1,D16)))^0.5))^2)*IF(D32&gt;0,D12/D32,1),0)</f>
        <v>55134.944249384425</v>
      </c>
      <c r="E31" s="40"/>
      <c r="F31" s="95">
        <f>IF(F16&gt;0,F13*((VLOOKUP(F11,Data!$C5:$J14,6)-VLOOKUP(F11,Data!$C5:$J14,7)*((F15+IF($D$9=3,1,F16))^0.5)-VLOOKUP(F11,Data!$C5:$J14,8)*((IF(F20&gt;0,F19/F20,1))^0.5))^2)*IF(F32&gt;0,F12/F32,1),0)</f>
        <v>15378.960431355456</v>
      </c>
      <c r="G31" s="42"/>
      <c r="H31" s="123"/>
      <c r="I31" s="124"/>
      <c r="J31" s="33"/>
    </row>
    <row r="32" spans="1:10" s="18" customFormat="1">
      <c r="A32" s="119"/>
      <c r="B32" s="27"/>
      <c r="C32" s="102" t="s">
        <v>113</v>
      </c>
      <c r="D32" s="103">
        <f>IF(D14=0,D12,D13*((VLOOKUP(D11,Data!$C5:$J14,6)-VLOOKUP(D11,Data!$C5:$J14,7)*(D14^0.5)-VLOOKUP(D11,Data!$C5:$J14,8)*(D18/D15)^0.5)^2))</f>
        <v>160000</v>
      </c>
      <c r="E32" s="104"/>
      <c r="F32" s="103">
        <f>IF(F14=0,F12,F13*((VLOOKUP(F11,Data!$C16:$J44,6)-VLOOKUP(F11,Data!$C16:$J44,7)*(F14^0.5)-VLOOKUP(F11,Data!$C16:$J44,8)*(IF(F20&gt;0,F19/F20,1))^0.5)^2))</f>
        <v>32000</v>
      </c>
      <c r="G32" s="36"/>
      <c r="H32" s="123"/>
      <c r="I32" s="124"/>
    </row>
    <row r="33" spans="1:11" s="18" customFormat="1">
      <c r="A33" s="119"/>
      <c r="B33" s="27"/>
      <c r="C33" s="78" t="s">
        <v>57</v>
      </c>
      <c r="D33" s="10" t="s">
        <v>53</v>
      </c>
      <c r="E33" s="9" t="s">
        <v>52</v>
      </c>
      <c r="F33" s="10" t="s">
        <v>53</v>
      </c>
      <c r="G33" s="9" t="s">
        <v>52</v>
      </c>
      <c r="H33" s="10" t="s">
        <v>53</v>
      </c>
      <c r="I33" s="11" t="s">
        <v>52</v>
      </c>
    </row>
    <row r="34" spans="1:11" s="18" customFormat="1">
      <c r="A34" s="119"/>
      <c r="B34" s="27"/>
      <c r="C34" s="49" t="s">
        <v>41</v>
      </c>
      <c r="D34" s="51">
        <f>IF(D16&gt;0,PMT(D24,D16,-(D30-D31))+D24*D31,0)</f>
        <v>10801.354759542101</v>
      </c>
      <c r="E34" s="52">
        <f>IF(D19*F20&gt;0,D34/D$19/F$20,0)</f>
        <v>2.2043581141922655</v>
      </c>
      <c r="F34" s="50">
        <f>IF(F16,PMT(F24,F16,-(F30-F31))+F24*F30,0)</f>
        <v>1222.0008759958673</v>
      </c>
      <c r="G34" s="52">
        <f>IF(F$19&gt;0,F34/F19,0)</f>
        <v>1.2220008759958674</v>
      </c>
      <c r="H34" s="50">
        <f>IF(F$20*D$19&gt;0,D34*(F$19/F$20)/D$19+F34,0)</f>
        <v>3426.3589901881328</v>
      </c>
      <c r="I34" s="53">
        <f>E34+G34</f>
        <v>3.4263589901881328</v>
      </c>
    </row>
    <row r="35" spans="1:11" s="18" customFormat="1">
      <c r="A35" s="119"/>
      <c r="B35" s="27"/>
      <c r="C35" s="49" t="s">
        <v>56</v>
      </c>
      <c r="D35" s="12">
        <f>0.01*(D30+D31)/2</f>
        <v>797.41353069627849</v>
      </c>
      <c r="E35" s="13">
        <f>IF(D19*F20&gt;0,D35/D$19/F$20,0)</f>
        <v>0.16273745524413846</v>
      </c>
      <c r="F35" s="12">
        <f>0.01*(F30+F31)/2</f>
        <v>160.29355839143176</v>
      </c>
      <c r="G35" s="13">
        <f>IF(F$19&gt;0,F35/F19,0)</f>
        <v>0.16029355839143175</v>
      </c>
      <c r="H35" s="81">
        <f>IF(F$20*D$19&gt;0,D35*(F$19/F$20)/D$19+F35,0)</f>
        <v>323.03101363557022</v>
      </c>
      <c r="I35" s="14">
        <f>E35+G35</f>
        <v>0.32303101363557019</v>
      </c>
    </row>
    <row r="36" spans="1:11" s="18" customFormat="1">
      <c r="A36" s="119"/>
      <c r="B36"/>
      <c r="C36" s="49" t="s">
        <v>42</v>
      </c>
      <c r="D36" s="51">
        <f>SUM(D34:D35)</f>
        <v>11598.768290238379</v>
      </c>
      <c r="E36" s="52">
        <f>SUM(E34:E35)</f>
        <v>2.3670955694364038</v>
      </c>
      <c r="F36" s="50">
        <f>SUM(F34:F35)</f>
        <v>1382.2944343872991</v>
      </c>
      <c r="G36" s="52">
        <f>SUM(G34:G35)</f>
        <v>1.3822944343872992</v>
      </c>
      <c r="H36" s="50">
        <f>SUM(H34:H35)</f>
        <v>3749.390003823703</v>
      </c>
      <c r="I36" s="53">
        <f>E36+G36</f>
        <v>3.7493900038237031</v>
      </c>
    </row>
    <row r="37" spans="1:11" s="18" customFormat="1">
      <c r="A37" s="119"/>
      <c r="B37"/>
      <c r="C37" s="49"/>
      <c r="D37" s="116">
        <f>MIN(MAX(IF(D9=1,D18-D19*(D15-D14),D18),0),VLOOKUP($D11,Data!$C5:$J14,5)-0.5*D19)</f>
        <v>700</v>
      </c>
      <c r="E37" s="107" t="s">
        <v>107</v>
      </c>
      <c r="F37" s="116">
        <f>MIN(IF(F20,IF(D9=1,F14,F15)*F19/F20,1),VLOOKUP($F11,Data!$C16:$J44,5)-IF(F20,0.5*F19/F20,0))</f>
        <v>357.14285714285717</v>
      </c>
      <c r="G37" s="105"/>
      <c r="H37" s="34"/>
      <c r="I37" s="37"/>
    </row>
    <row r="38" spans="1:11" s="18" customFormat="1">
      <c r="A38" s="119"/>
      <c r="B38"/>
      <c r="C38" s="78" t="s">
        <v>43</v>
      </c>
      <c r="D38" s="117">
        <f>MIN(D18+D19*IF(D9=3,1,D16),VLOOKUP($D11,Data!$C5:$J14,5)+0.5*D19)</f>
        <v>3500</v>
      </c>
      <c r="E38" s="107" t="s">
        <v>108</v>
      </c>
      <c r="F38" s="116">
        <f>MIN(IF(F20,IF(D9=3,(F15+1),(F15+F16))*F19/F20,1),VLOOKUP($F11,Data!$C16:$J44,5)+IF(F20,0.5*F19/F20,0))</f>
        <v>714.28571428571433</v>
      </c>
      <c r="G38" s="105"/>
      <c r="H38" s="34"/>
      <c r="I38" s="37"/>
    </row>
    <row r="39" spans="1:11" s="18" customFormat="1">
      <c r="A39" s="119"/>
      <c r="B39"/>
      <c r="C39" s="49" t="s">
        <v>59</v>
      </c>
      <c r="D39" s="97">
        <f>IF(D25&gt;0,D25,IF(D16&gt;0,D13*VLOOKUP($D11,Data!$C5:$J14,3)*(((D38*0.001)^VLOOKUP($D11,Data!$C5:$J14,4))-((D37*0.001)^VLOOKUP($D11,Data!$C4:$J14,4)))/CHOOSE($D$9,D16+D15-D14,D16,1),0))</f>
        <v>1800.75</v>
      </c>
      <c r="E39" s="52">
        <f>IF(D$19*F$20&gt;0,D39/D$19/F$20,0)</f>
        <v>0.36749999999999999</v>
      </c>
      <c r="F39" s="97">
        <f>IF(F25&gt;0,F25,IF(F16&gt;0,F13*VLOOKUP($F11,Data!$C16:$J44,3)*(((F38*0.001)^VLOOKUP($F11,Data!$C16:$J44,4))-((F37*0.001)^VLOOKUP($F11,Data!$C16:$J44,4)))/CHOOSE($D$9,F16+F15-F14,F16,1),0))</f>
        <v>562.58110953550181</v>
      </c>
      <c r="G39" s="52">
        <f>IF(F$19&gt;0,F39/F19,0)</f>
        <v>0.56258110953550178</v>
      </c>
      <c r="H39" s="50">
        <f>IF(F$20*D$19&gt;0,D39*(F$19/F$20)/D$19+F39,0)</f>
        <v>930.08110953550181</v>
      </c>
      <c r="I39" s="53">
        <f>E39+G39</f>
        <v>0.93008110953550172</v>
      </c>
      <c r="J39" s="50"/>
      <c r="K39" s="106"/>
    </row>
    <row r="40" spans="1:11" s="18" customFormat="1">
      <c r="A40" s="119"/>
      <c r="B40"/>
      <c r="C40" s="49" t="s">
        <v>51</v>
      </c>
      <c r="D40" s="55">
        <f>0.044*D21*D22*1.15*D19</f>
        <v>10360.349999999999</v>
      </c>
      <c r="E40" s="56">
        <f>IF(D$19*F$20&gt;0,D40/D$19/F$20,0)</f>
        <v>2.1143571428571426</v>
      </c>
      <c r="F40" s="50"/>
      <c r="G40" s="42"/>
      <c r="H40" s="82">
        <f>IF(F$20*D$19&gt;0,D40*(F$19/F$20)/D$19+F40,0)</f>
        <v>2114.3571428571427</v>
      </c>
      <c r="I40" s="57">
        <f>E40+G40</f>
        <v>2.1143571428571426</v>
      </c>
    </row>
    <row r="41" spans="1:11" s="18" customFormat="1">
      <c r="A41" s="119"/>
      <c r="B41"/>
      <c r="C41" s="49" t="s">
        <v>60</v>
      </c>
      <c r="D41" s="12">
        <f>1.1*D23*D19</f>
        <v>5005</v>
      </c>
      <c r="E41" s="13">
        <f>IF(D$19*F$20&gt;0,D41/D$19/F$20,0)</f>
        <v>1.0214285714285716</v>
      </c>
      <c r="F41" s="50"/>
      <c r="G41" s="42"/>
      <c r="H41" s="81">
        <f>IF(F$20*D$19&gt;0,D41*(F$19/F$20)/D$19+F41,0)</f>
        <v>1021.4285714285714</v>
      </c>
      <c r="I41" s="14">
        <f>E41+G41</f>
        <v>1.0214285714285716</v>
      </c>
    </row>
    <row r="42" spans="1:11" s="18" customFormat="1">
      <c r="A42" s="119"/>
      <c r="B42"/>
      <c r="C42" s="49" t="s">
        <v>55</v>
      </c>
      <c r="D42" s="51">
        <f>SUM(D39:D41)</f>
        <v>17166.099999999999</v>
      </c>
      <c r="E42" s="52">
        <f>SUM(E39:E41)</f>
        <v>3.5032857142857141</v>
      </c>
      <c r="F42" s="50">
        <f>SUM(F39:F41)</f>
        <v>562.58110953550181</v>
      </c>
      <c r="G42" s="52">
        <f>SUM(G39:G41)</f>
        <v>0.56258110953550178</v>
      </c>
      <c r="H42" s="50">
        <f>SUM(H39:H41)</f>
        <v>4065.8668238212158</v>
      </c>
      <c r="I42" s="53">
        <f>E42+G42</f>
        <v>4.0658668238212154</v>
      </c>
    </row>
    <row r="43" spans="1:11" s="18" customFormat="1">
      <c r="A43" s="119"/>
      <c r="B43"/>
      <c r="C43" s="49"/>
      <c r="D43" s="54"/>
      <c r="E43" s="52"/>
      <c r="F43" s="50"/>
      <c r="G43" s="52"/>
      <c r="H43" s="50"/>
      <c r="I43" s="53"/>
    </row>
    <row r="44" spans="1:11" s="18" customFormat="1" ht="13" thickBot="1">
      <c r="A44" s="119"/>
      <c r="B44"/>
      <c r="C44" s="79" t="s">
        <v>58</v>
      </c>
      <c r="D44" s="58">
        <f t="shared" ref="D44:I44" si="0">D36+D42</f>
        <v>28764.868290238377</v>
      </c>
      <c r="E44" s="59">
        <f t="shared" si="0"/>
        <v>5.8703812837221179</v>
      </c>
      <c r="F44" s="60">
        <f t="shared" si="0"/>
        <v>1944.8755439228009</v>
      </c>
      <c r="G44" s="59">
        <f t="shared" si="0"/>
        <v>1.9448755439228009</v>
      </c>
      <c r="H44" s="60">
        <f t="shared" si="0"/>
        <v>7815.2568276449183</v>
      </c>
      <c r="I44" s="61">
        <f t="shared" si="0"/>
        <v>7.8152568276449186</v>
      </c>
    </row>
    <row r="45" spans="1:11">
      <c r="A45" s="119"/>
      <c r="D45" s="31"/>
      <c r="H45" s="6"/>
    </row>
    <row r="46" spans="1:11">
      <c r="A46" s="119"/>
    </row>
    <row r="47" spans="1:11" s="18" customFormat="1">
      <c r="A47" s="119"/>
      <c r="B47"/>
      <c r="C47" s="72" t="s">
        <v>119</v>
      </c>
      <c r="D47" s="99"/>
      <c r="E47" s="96"/>
      <c r="F47" s="19"/>
      <c r="G47" s="19"/>
      <c r="H47" s="19"/>
      <c r="I47" s="19"/>
    </row>
    <row r="48" spans="1:11" s="18" customFormat="1">
      <c r="A48" s="119"/>
      <c r="B48"/>
      <c r="C48" s="25" t="s">
        <v>66</v>
      </c>
      <c r="D48" s="20"/>
      <c r="E48" s="96"/>
      <c r="F48" s="20"/>
      <c r="G48" s="20"/>
      <c r="H48" s="20"/>
      <c r="I48" s="20"/>
    </row>
    <row r="49" spans="1:11" s="8" customFormat="1">
      <c r="A49" s="119"/>
      <c r="B49"/>
      <c r="C49" s="30" t="s">
        <v>70</v>
      </c>
      <c r="E49" s="21"/>
      <c r="F49" s="21"/>
      <c r="G49" s="21"/>
      <c r="H49" s="21"/>
      <c r="I49" s="21"/>
    </row>
    <row r="50" spans="1:11" s="8" customFormat="1">
      <c r="A50" s="119"/>
      <c r="B50"/>
      <c r="C50" s="31">
        <f ca="1">TODAY()</f>
        <v>40983</v>
      </c>
      <c r="D50" s="31"/>
      <c r="E50" s="21"/>
      <c r="F50" s="21"/>
      <c r="G50" s="21"/>
      <c r="H50" s="21"/>
      <c r="I50" s="21"/>
    </row>
    <row r="51" spans="1:11">
      <c r="A51" s="119"/>
      <c r="C51" t="s">
        <v>63</v>
      </c>
      <c r="D51" s="98"/>
      <c r="E51" s="101"/>
    </row>
    <row r="52" spans="1:11">
      <c r="A52" s="119"/>
      <c r="C52" s="22" t="s">
        <v>67</v>
      </c>
      <c r="D52" s="23"/>
      <c r="E52" s="101"/>
      <c r="F52" s="100"/>
      <c r="G52" s="23"/>
      <c r="H52" s="23"/>
      <c r="I52" s="23"/>
      <c r="J52" s="23"/>
      <c r="K52" s="23"/>
    </row>
    <row r="53" spans="1:11" ht="13.5" customHeight="1">
      <c r="A53" s="119"/>
      <c r="C53" s="125" t="s">
        <v>68</v>
      </c>
      <c r="D53" s="125"/>
      <c r="E53" s="125"/>
      <c r="F53" s="125"/>
      <c r="G53" s="125"/>
      <c r="H53" s="125"/>
      <c r="I53" s="125"/>
      <c r="J53" s="24"/>
      <c r="K53" s="24"/>
    </row>
    <row r="54" spans="1:11" ht="16.5" customHeight="1">
      <c r="A54" s="119"/>
      <c r="C54" s="125"/>
      <c r="D54" s="125"/>
      <c r="E54" s="125"/>
      <c r="F54" s="125"/>
      <c r="G54" s="125"/>
      <c r="H54" s="125"/>
      <c r="I54" s="125"/>
      <c r="J54" s="24"/>
      <c r="K54" s="24"/>
    </row>
    <row r="55" spans="1:11" ht="18" customHeight="1">
      <c r="A55" s="119"/>
      <c r="C55" s="125" t="s">
        <v>120</v>
      </c>
      <c r="D55" s="125"/>
      <c r="E55" s="125"/>
      <c r="F55" s="125"/>
      <c r="G55" s="125"/>
      <c r="H55" s="125"/>
      <c r="I55" s="125"/>
      <c r="J55" s="24"/>
      <c r="K55" s="24"/>
    </row>
  </sheetData>
  <mergeCells count="9">
    <mergeCell ref="H30:I32"/>
    <mergeCell ref="C53:I54"/>
    <mergeCell ref="C55:I55"/>
    <mergeCell ref="C3:G3"/>
    <mergeCell ref="C5:D5"/>
    <mergeCell ref="D10:E10"/>
    <mergeCell ref="D29:E29"/>
    <mergeCell ref="F29:G29"/>
    <mergeCell ref="H29:I29"/>
  </mergeCells>
  <dataValidations count="15">
    <dataValidation allowBlank="1" showInputMessage="1" showErrorMessage="1" prompt="For analyzing costs from the year of purchase, enter the original purchase price, including cash paid and the value of any trade-in item.  For analyzing costs from the current year, enter the estimated current value of the machine." sqref="D12 F12"/>
    <dataValidation allowBlank="1" showInputMessage="1" showErrorMessage="1" prompt="The number of remaining years you expect to own this machine.  Must be greater than zero." sqref="D16"/>
    <dataValidation allowBlank="1" showInputMessage="1" showErrorMessage="1" prompt="Enter expected annual costs for repairs and maintainance, including the owner's time.  Leave the cell blank if you wish to use the estimated costs based on engineering coefficients, shown below." sqref="D25"/>
    <dataValidation allowBlank="1" showInputMessage="1" showErrorMessage="1" prompt="Enter the number of acres covered each year with the implement or attachment, or the number of tons or other units produced or processed." sqref="F19"/>
    <dataValidation allowBlank="1" showInputMessage="1" showErrorMessage="1" prompt="Enter expected annual costs for repairs and maintainance, including the owner's time.  Leave the cell blank if you wish to use the estimated costs based on engineering coefficients." sqref="F25"/>
    <dataValidation allowBlank="1" showInputMessage="1" showErrorMessage="1" prompt="Enter the number of acres, tons or other units accomplished per hour.  Units should be the same as entered for annual use._x000a_Field capacity can be estimated by: width (inches) x speed (mph) x field efficiency (%) / 825." sqref="F20"/>
    <dataValidation allowBlank="1" showInputMessage="1" showErrorMessage="1" prompt="Approximate number of hours the power unit is used each year.  Use engine hours for combines." sqref="D19"/>
    <dataValidation allowBlank="1" showInputMessage="1" showErrorMessage="1" prompt="Estimated list price of a new similar implement or attachment.  Used to estimate the salvage value and annual repair costs." sqref="F13"/>
    <dataValidation allowBlank="1" showInputMessage="1" showErrorMessage="1" prompt="Current list price of a similar new machine.  Used to estimate the value at the end of the ownership period (salvage value) and annual repair costs." sqref="D13"/>
    <dataValidation allowBlank="1" showInputMessage="1" showErrorMessage="1" prompt="The number of remaining years you expect to own this machine." sqref="F16"/>
    <dataValidation allowBlank="1" showInputMessage="1" showErrorMessage="1" prompt="Use the current interest rate for financing the machine, or the interest rate you could earn by investing the funds elsewhere, or an average of the two." sqref="F24 D24"/>
    <dataValidation allowBlank="1" showInputMessage="1" showErrorMessage="1" prompt="Enter zero for a new machine." sqref="D18 F14 D14"/>
    <dataValidation type="whole" operator="greaterThanOrEqual" allowBlank="1" showInputMessage="1" showErrorMessage="1" error="Current age must be equal to or greater than age when purchased." prompt="Enter zero for a new machine. Cannot be less than the age when purchased." sqref="F15">
      <formula1>F14</formula1>
    </dataValidation>
    <dataValidation type="whole" errorStyle="warning" operator="greaterThanOrEqual" allowBlank="1" showInputMessage="1" showErrorMessage="1" errorTitle="Error" error="Current age must be equal to or greater than age when purchased." prompt="Enter zero for a new machine. Cannot be less than the age when purchased." sqref="D15">
      <formula1>D14</formula1>
    </dataValidation>
    <dataValidation type="custom" allowBlank="1" showInputMessage="1" showErrorMessage="1" sqref="N13">
      <formula1>"&gt;=d14"</formula1>
    </dataValidation>
  </dataValidations>
  <hyperlinks>
    <hyperlink ref="C48" r:id="rId1"/>
    <hyperlink ref="C3" r:id="rId2" display="Estimating Farm Machinery Costs"/>
  </hyperlinks>
  <pageMargins left="0.75" right="0.75" top="0.75" bottom="0.75" header="0.5" footer="0.5"/>
  <pageSetup scale="67" orientation="portrait"/>
  <headerFooter alignWithMargins="0"/>
  <ignoredErrors>
    <ignoredError sqref="E35"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15361" r:id="rId5" name="Drop Down 1">
              <controlPr defaultSize="0" autoLine="0" autoPict="0">
                <anchor moveWithCells="1">
                  <from>
                    <xdr:col>3</xdr:col>
                    <xdr:colOff>0</xdr:colOff>
                    <xdr:row>10</xdr:row>
                    <xdr:rowOff>12700</xdr:rowOff>
                  </from>
                  <to>
                    <xdr:col>4</xdr:col>
                    <xdr:colOff>850900</xdr:colOff>
                    <xdr:row>10</xdr:row>
                    <xdr:rowOff>215900</xdr:rowOff>
                  </to>
                </anchor>
              </controlPr>
            </control>
          </mc:Choice>
          <mc:Fallback/>
        </mc:AlternateContent>
        <mc:AlternateContent xmlns:mc="http://schemas.openxmlformats.org/markup-compatibility/2006">
          <mc:Choice Requires="x14">
            <control shapeId="15362" r:id="rId6" name="Drop Down 2">
              <controlPr defaultSize="0" autoLine="0" autoPict="0">
                <anchor moveWithCells="1">
                  <from>
                    <xdr:col>5</xdr:col>
                    <xdr:colOff>12700</xdr:colOff>
                    <xdr:row>10</xdr:row>
                    <xdr:rowOff>12700</xdr:rowOff>
                  </from>
                  <to>
                    <xdr:col>6</xdr:col>
                    <xdr:colOff>812800</xdr:colOff>
                    <xdr:row>10</xdr:row>
                    <xdr:rowOff>215900</xdr:rowOff>
                  </to>
                </anchor>
              </controlPr>
            </control>
          </mc:Choice>
          <mc:Fallback/>
        </mc:AlternateContent>
        <mc:AlternateContent xmlns:mc="http://schemas.openxmlformats.org/markup-compatibility/2006">
          <mc:Choice Requires="x14">
            <control shapeId="15363" r:id="rId7" name="Drop Down 3">
              <controlPr defaultSize="0" autoLine="0" autoPict="0">
                <anchor moveWithCells="1">
                  <from>
                    <xdr:col>3</xdr:col>
                    <xdr:colOff>12700</xdr:colOff>
                    <xdr:row>7</xdr:row>
                    <xdr:rowOff>152400</xdr:rowOff>
                  </from>
                  <to>
                    <xdr:col>6</xdr:col>
                    <xdr:colOff>825500</xdr:colOff>
                    <xdr:row>8</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55"/>
  <sheetViews>
    <sheetView showGridLines="0" workbookViewId="0">
      <selection activeCell="D15" sqref="D15"/>
    </sheetView>
  </sheetViews>
  <sheetFormatPr baseColWidth="10" defaultColWidth="8.83203125" defaultRowHeight="12" x14ac:dyDescent="0"/>
  <cols>
    <col min="1" max="1" width="1.6640625" style="121" customWidth="1"/>
    <col min="2" max="2" width="1.6640625" customWidth="1"/>
    <col min="3" max="3" width="40.6640625" customWidth="1"/>
    <col min="4" max="4" width="13.6640625" customWidth="1"/>
    <col min="5" max="6" width="12.6640625" customWidth="1"/>
    <col min="7" max="7" width="12.1640625" customWidth="1"/>
    <col min="8" max="8" width="12.6640625" customWidth="1"/>
    <col min="9" max="9" width="12.5" customWidth="1"/>
  </cols>
  <sheetData>
    <row r="1" spans="1:11" s="122" customFormat="1" ht="18" thickBot="1">
      <c r="C1" s="122" t="s">
        <v>64</v>
      </c>
    </row>
    <row r="2" spans="1:11" s="8" customFormat="1" ht="14" thickTop="1">
      <c r="A2" s="118"/>
      <c r="B2" s="26"/>
      <c r="C2" s="29" t="s">
        <v>65</v>
      </c>
      <c r="D2" s="7"/>
    </row>
    <row r="3" spans="1:11" s="8" customFormat="1" ht="12.75" customHeight="1">
      <c r="A3" s="118"/>
      <c r="B3" s="26"/>
      <c r="C3" s="126" t="s">
        <v>73</v>
      </c>
      <c r="D3" s="126"/>
      <c r="E3" s="126"/>
      <c r="F3" s="126"/>
      <c r="G3" s="126"/>
      <c r="H3" s="15"/>
      <c r="I3" s="15"/>
      <c r="J3" s="15"/>
      <c r="K3" s="15"/>
    </row>
    <row r="4" spans="1:11" s="8" customFormat="1">
      <c r="A4" s="118"/>
      <c r="B4" s="26"/>
      <c r="E4" s="16"/>
      <c r="F4" s="16"/>
      <c r="G4" s="16"/>
      <c r="H4" s="16"/>
      <c r="I4" s="16"/>
      <c r="J4" s="15"/>
      <c r="K4" s="15"/>
    </row>
    <row r="5" spans="1:11" s="8" customFormat="1">
      <c r="A5" s="118"/>
      <c r="B5" s="26"/>
      <c r="C5" s="127" t="s">
        <v>72</v>
      </c>
      <c r="D5" s="128"/>
      <c r="E5" s="62"/>
      <c r="F5" s="62"/>
      <c r="G5" s="62"/>
      <c r="H5" s="16"/>
      <c r="I5" s="16"/>
      <c r="J5" s="15"/>
      <c r="K5" s="15"/>
    </row>
    <row r="6" spans="1:11" s="8" customFormat="1">
      <c r="A6" s="119"/>
      <c r="B6" s="27"/>
      <c r="C6" s="64" t="s">
        <v>69</v>
      </c>
      <c r="D6" s="76"/>
      <c r="E6" s="17"/>
    </row>
    <row r="7" spans="1:11" ht="15">
      <c r="A7" s="119"/>
      <c r="B7" s="27"/>
      <c r="C7" s="89"/>
      <c r="D7" s="89"/>
      <c r="E7" s="89"/>
      <c r="F7" s="89"/>
      <c r="G7" s="89"/>
    </row>
    <row r="8" spans="1:11" s="18" customFormat="1" ht="13" thickBot="1">
      <c r="A8" s="119"/>
      <c r="B8" s="27"/>
      <c r="C8" s="108" t="s">
        <v>71</v>
      </c>
      <c r="D8" s="36"/>
      <c r="E8" s="36"/>
      <c r="F8" s="36"/>
      <c r="G8" s="36"/>
      <c r="H8" s="33"/>
    </row>
    <row r="9" spans="1:11" s="18" customFormat="1" ht="15" customHeight="1" thickBot="1">
      <c r="A9" s="119"/>
      <c r="B9" s="27"/>
      <c r="C9" s="90" t="s">
        <v>100</v>
      </c>
      <c r="D9" s="93">
        <v>2</v>
      </c>
      <c r="E9" s="110"/>
      <c r="F9" s="91"/>
      <c r="G9" s="32"/>
    </row>
    <row r="10" spans="1:11" s="18" customFormat="1" ht="15" customHeight="1">
      <c r="A10" s="119"/>
      <c r="B10" s="27"/>
      <c r="C10" s="48"/>
      <c r="D10" s="129" t="s">
        <v>36</v>
      </c>
      <c r="E10" s="130">
        <v>1</v>
      </c>
      <c r="F10" s="114" t="s">
        <v>54</v>
      </c>
      <c r="G10" s="115"/>
    </row>
    <row r="11" spans="1:11" s="18" customFormat="1" ht="18" customHeight="1">
      <c r="A11" s="119"/>
      <c r="B11" s="27"/>
      <c r="C11" s="85" t="s">
        <v>101</v>
      </c>
      <c r="D11" s="35">
        <v>3</v>
      </c>
      <c r="E11" s="42"/>
      <c r="F11" s="63">
        <v>2</v>
      </c>
      <c r="G11" s="37"/>
    </row>
    <row r="12" spans="1:11" s="18" customFormat="1" ht="15" customHeight="1">
      <c r="A12" s="119"/>
      <c r="B12" s="27"/>
      <c r="C12" s="84" t="s">
        <v>112</v>
      </c>
      <c r="D12" s="39"/>
      <c r="E12" s="40"/>
      <c r="F12" s="39"/>
      <c r="G12" s="37"/>
    </row>
    <row r="13" spans="1:11" s="18" customFormat="1">
      <c r="A13" s="119"/>
      <c r="B13" s="27"/>
      <c r="C13" s="84" t="s">
        <v>99</v>
      </c>
      <c r="D13" s="39"/>
      <c r="E13" s="40"/>
      <c r="F13" s="39"/>
      <c r="G13" s="37"/>
      <c r="J13" s="33"/>
    </row>
    <row r="14" spans="1:11" s="18" customFormat="1">
      <c r="A14" s="119"/>
      <c r="B14" s="27"/>
      <c r="C14" s="84" t="s">
        <v>106</v>
      </c>
      <c r="D14" s="41"/>
      <c r="E14" s="42" t="s">
        <v>46</v>
      </c>
      <c r="F14" s="41"/>
      <c r="G14" s="37" t="s">
        <v>46</v>
      </c>
      <c r="K14" s="70"/>
    </row>
    <row r="15" spans="1:11" s="18" customFormat="1">
      <c r="A15" s="119"/>
      <c r="B15" s="27"/>
      <c r="C15" s="84" t="s">
        <v>105</v>
      </c>
      <c r="D15" s="41"/>
      <c r="E15" s="42"/>
      <c r="F15" s="41"/>
      <c r="G15" s="37"/>
    </row>
    <row r="16" spans="1:11" s="18" customFormat="1">
      <c r="A16" s="119"/>
      <c r="B16" s="27"/>
      <c r="C16" s="38" t="s">
        <v>37</v>
      </c>
      <c r="D16" s="41"/>
      <c r="E16" s="42" t="s">
        <v>46</v>
      </c>
      <c r="F16" s="41"/>
      <c r="G16" s="37" t="s">
        <v>46</v>
      </c>
    </row>
    <row r="17" spans="1:10" s="18" customFormat="1">
      <c r="A17" s="119"/>
      <c r="B17" s="27"/>
      <c r="C17" s="49"/>
      <c r="D17" s="36"/>
      <c r="E17" s="36"/>
      <c r="F17" s="36"/>
      <c r="G17" s="37"/>
    </row>
    <row r="18" spans="1:10" s="18" customFormat="1">
      <c r="A18" s="119"/>
      <c r="B18" s="27"/>
      <c r="C18" s="84" t="s">
        <v>98</v>
      </c>
      <c r="D18" s="65"/>
      <c r="E18" s="88" t="s">
        <v>45</v>
      </c>
      <c r="F18" s="36"/>
      <c r="G18" s="37"/>
    </row>
    <row r="19" spans="1:10" s="18" customFormat="1">
      <c r="A19" s="119"/>
      <c r="B19" s="27"/>
      <c r="C19" s="38" t="s">
        <v>44</v>
      </c>
      <c r="D19" s="65"/>
      <c r="E19" s="42" t="s">
        <v>45</v>
      </c>
      <c r="F19" s="44"/>
      <c r="G19" s="71" t="s">
        <v>78</v>
      </c>
    </row>
    <row r="20" spans="1:10" s="18" customFormat="1">
      <c r="A20" s="119"/>
      <c r="B20" s="27"/>
      <c r="C20" s="38" t="s">
        <v>39</v>
      </c>
      <c r="D20" s="80"/>
      <c r="E20" s="42"/>
      <c r="F20" s="41"/>
      <c r="G20" s="92" t="s">
        <v>104</v>
      </c>
    </row>
    <row r="21" spans="1:10" s="18" customFormat="1">
      <c r="A21" s="119"/>
      <c r="B21" s="27"/>
      <c r="C21" s="38" t="s">
        <v>40</v>
      </c>
      <c r="D21" s="41"/>
      <c r="E21" s="36" t="s">
        <v>47</v>
      </c>
      <c r="F21" s="36"/>
      <c r="G21" s="37"/>
    </row>
    <row r="22" spans="1:10" s="18" customFormat="1">
      <c r="A22" s="119"/>
      <c r="B22" s="27"/>
      <c r="C22" s="38" t="s">
        <v>76</v>
      </c>
      <c r="D22" s="69"/>
      <c r="E22" s="45" t="s">
        <v>48</v>
      </c>
      <c r="F22" s="36"/>
      <c r="G22" s="37"/>
    </row>
    <row r="23" spans="1:10" s="18" customFormat="1">
      <c r="A23" s="120"/>
      <c r="B23" s="28"/>
      <c r="C23" s="38" t="s">
        <v>79</v>
      </c>
      <c r="D23" s="69"/>
      <c r="E23" s="45" t="s">
        <v>49</v>
      </c>
      <c r="F23" s="36"/>
      <c r="G23" s="37"/>
    </row>
    <row r="24" spans="1:10" s="18" customFormat="1">
      <c r="A24" s="120"/>
      <c r="B24" s="28"/>
      <c r="C24" s="38" t="s">
        <v>38</v>
      </c>
      <c r="D24" s="43"/>
      <c r="E24" s="42" t="s">
        <v>61</v>
      </c>
      <c r="F24" s="43"/>
      <c r="G24" s="37" t="s">
        <v>61</v>
      </c>
    </row>
    <row r="25" spans="1:10" s="18" customFormat="1">
      <c r="A25" s="120"/>
      <c r="B25" s="28"/>
      <c r="C25" s="67" t="s">
        <v>94</v>
      </c>
      <c r="D25" s="75"/>
      <c r="E25" s="45"/>
      <c r="F25" s="75"/>
      <c r="G25" s="37"/>
    </row>
    <row r="26" spans="1:10" s="18" customFormat="1" ht="13" thickBot="1">
      <c r="A26" s="118"/>
      <c r="B26" s="26"/>
      <c r="C26" s="68" t="s">
        <v>77</v>
      </c>
      <c r="D26" s="46"/>
      <c r="E26" s="46"/>
      <c r="F26" s="77"/>
      <c r="G26" s="47"/>
    </row>
    <row r="27" spans="1:10" s="18" customFormat="1">
      <c r="A27" s="118"/>
      <c r="B27" s="26"/>
      <c r="C27" s="112"/>
      <c r="D27" s="36"/>
      <c r="E27" s="36"/>
      <c r="F27" s="109"/>
      <c r="G27" s="36"/>
    </row>
    <row r="28" spans="1:10" s="18" customFormat="1" ht="13" thickBot="1">
      <c r="A28" s="118"/>
      <c r="B28" s="26"/>
      <c r="C28" s="113" t="s">
        <v>115</v>
      </c>
      <c r="D28" s="111" t="str">
        <f>CONCATENATE("Calculated ",VLOOKUP(D9,Data!C49:E51,3))</f>
        <v>Calculated from current year to end of ownership period</v>
      </c>
      <c r="E28" s="36"/>
      <c r="F28" s="109"/>
      <c r="G28" s="36"/>
    </row>
    <row r="29" spans="1:10" s="18" customFormat="1">
      <c r="A29" s="119"/>
      <c r="B29" s="27"/>
      <c r="C29" s="48"/>
      <c r="D29" s="131" t="s">
        <v>74</v>
      </c>
      <c r="E29" s="132"/>
      <c r="F29" s="131" t="s">
        <v>54</v>
      </c>
      <c r="G29" s="133"/>
      <c r="H29" s="131" t="s">
        <v>50</v>
      </c>
      <c r="I29" s="134"/>
    </row>
    <row r="30" spans="1:10" s="18" customFormat="1">
      <c r="A30" s="119"/>
      <c r="B30" s="27"/>
      <c r="C30" s="83" t="s">
        <v>114</v>
      </c>
      <c r="D30" s="94">
        <f>IF(D9=1,D12,D13*((VLOOKUP(D11,Data!$C5:$J14,6)-VLOOKUP(D11,Data!$C5:$J14,7)*((D15)^0.5)-VLOOKUP(D11,Data!$C5:$J14,8)*(IF(D14&gt;0,D18/D14,D19))^0.5)^2)*IF(D32&gt;0,D12/D32,1))</f>
        <v>0</v>
      </c>
      <c r="E30" s="9"/>
      <c r="F30" s="94">
        <f>IF(D9=1,F12,F13*((VLOOKUP(F11,Data!$C16:$J44,6)-VLOOKUP(F11,Data!$C16:$J44,7)*((F15)^0.5)-VLOOKUP(F11,Data!$C16:$J44,8)*(IF(F20&gt;0,F19/F20,1))^0.5)^2)*IF(F32&gt;0,F12/F32,1))</f>
        <v>0</v>
      </c>
      <c r="G30" s="9"/>
      <c r="H30" s="123" t="s">
        <v>95</v>
      </c>
      <c r="I30" s="124"/>
      <c r="J30" s="33"/>
    </row>
    <row r="31" spans="1:10" s="18" customFormat="1">
      <c r="A31" s="119"/>
      <c r="B31" s="27"/>
      <c r="C31" s="49" t="s">
        <v>75</v>
      </c>
      <c r="D31" s="95">
        <f>IF(D16&gt;0,D13*((VLOOKUP(D11,Data!$C5:$J14,6)-VLOOKUP(D11,Data!$C5:$J14,7)*((D15+IF($D$9=3,1,D16))^0.5)-VLOOKUP(D11,Data!$C5:$J14,8)*(((D18+D19*(IF($D$9=3,1,D16)+D15-D14))/(D15+IF($D$9=3,1,D16)))^0.5))^2)*IF(D32&gt;0,D12/D32,1),0)</f>
        <v>0</v>
      </c>
      <c r="E31" s="40"/>
      <c r="F31" s="95">
        <f>IF(F16&gt;0,F13*((VLOOKUP(F11,Data!$C5:$J14,6)-VLOOKUP(F11,Data!$C5:$J14,7)*((F15+IF($D$9=3,1,F16))^0.5)-VLOOKUP(F11,Data!$C5:$J14,8)*((IF(F20&gt;0,F19/F20,1))^0.5))^2)*IF(F32&gt;0,F12/F32,1),0)</f>
        <v>0</v>
      </c>
      <c r="G31" s="42"/>
      <c r="H31" s="123"/>
      <c r="I31" s="124"/>
      <c r="J31" s="33"/>
    </row>
    <row r="32" spans="1:10" s="18" customFormat="1">
      <c r="A32" s="119"/>
      <c r="B32" s="27"/>
      <c r="C32" s="102" t="s">
        <v>113</v>
      </c>
      <c r="D32" s="103">
        <f>IF(D14=0,D12,D13*((VLOOKUP(D11,Data!$C5:$J14,6)-VLOOKUP(D11,Data!$C5:$J14,7)*(D14^0.5)-VLOOKUP(D11,Data!$C5:$J14,8)*(D18/D15)^0.5)^2))</f>
        <v>0</v>
      </c>
      <c r="E32" s="104"/>
      <c r="F32" s="103">
        <f>IF(F14=0,F12,F13*((VLOOKUP(F11,Data!$C16:$J44,6)-VLOOKUP(F11,Data!$C16:$J44,7)*(F14^0.5)-VLOOKUP(F11,Data!$C16:$J44,8)*(IF(F20&gt;0,F19/F20,1))^0.5)^2))</f>
        <v>0</v>
      </c>
      <c r="G32" s="36"/>
      <c r="H32" s="123"/>
      <c r="I32" s="124"/>
    </row>
    <row r="33" spans="1:11" s="18" customFormat="1">
      <c r="A33" s="119"/>
      <c r="B33" s="27"/>
      <c r="C33" s="78" t="s">
        <v>57</v>
      </c>
      <c r="D33" s="10" t="s">
        <v>53</v>
      </c>
      <c r="E33" s="9" t="s">
        <v>52</v>
      </c>
      <c r="F33" s="10" t="s">
        <v>53</v>
      </c>
      <c r="G33" s="9" t="s">
        <v>52</v>
      </c>
      <c r="H33" s="10" t="s">
        <v>53</v>
      </c>
      <c r="I33" s="11" t="s">
        <v>52</v>
      </c>
    </row>
    <row r="34" spans="1:11" s="18" customFormat="1">
      <c r="A34" s="119"/>
      <c r="B34" s="27"/>
      <c r="C34" s="49" t="s">
        <v>41</v>
      </c>
      <c r="D34" s="51">
        <f>IF(D16&gt;0,PMT(D24,D16,-(D30-D31))+D24*D31,0)</f>
        <v>0</v>
      </c>
      <c r="E34" s="52">
        <f>IF(D19*F20&gt;0,D34/D$19/F$20,0)</f>
        <v>0</v>
      </c>
      <c r="F34" s="50">
        <f>IF(F16,PMT(F24,F16,-(F30-F31))+F24*F30,0)</f>
        <v>0</v>
      </c>
      <c r="G34" s="52">
        <f>IF(F$19&gt;0,F34/F19,0)</f>
        <v>0</v>
      </c>
      <c r="H34" s="50">
        <f>IF(F$20*D$19&gt;0,D34*(F$19/F$20)/D$19+F34,0)</f>
        <v>0</v>
      </c>
      <c r="I34" s="53">
        <f>E34+G34</f>
        <v>0</v>
      </c>
    </row>
    <row r="35" spans="1:11" s="18" customFormat="1">
      <c r="A35" s="119"/>
      <c r="B35" s="27"/>
      <c r="C35" s="49" t="s">
        <v>56</v>
      </c>
      <c r="D35" s="12">
        <f>0.01*(D30+D31)/2</f>
        <v>0</v>
      </c>
      <c r="E35" s="13">
        <f>IF(D19*F20&gt;0,D35/D$19/F$20,0)</f>
        <v>0</v>
      </c>
      <c r="F35" s="12">
        <f>0.01*(F30+F31)/2</f>
        <v>0</v>
      </c>
      <c r="G35" s="13">
        <f>IF(F$19&gt;0,F35/F19,0)</f>
        <v>0</v>
      </c>
      <c r="H35" s="81">
        <f>IF(F$20*D$19&gt;0,D35*(F$19/F$20)/D$19+F35,0)</f>
        <v>0</v>
      </c>
      <c r="I35" s="14">
        <f>E35+G35</f>
        <v>0</v>
      </c>
    </row>
    <row r="36" spans="1:11" s="18" customFormat="1">
      <c r="A36" s="119"/>
      <c r="B36"/>
      <c r="C36" s="49" t="s">
        <v>42</v>
      </c>
      <c r="D36" s="51">
        <f>SUM(D34:D35)</f>
        <v>0</v>
      </c>
      <c r="E36" s="52">
        <f>SUM(E34:E35)</f>
        <v>0</v>
      </c>
      <c r="F36" s="50">
        <f>SUM(F34:F35)</f>
        <v>0</v>
      </c>
      <c r="G36" s="52">
        <f>SUM(G34:G35)</f>
        <v>0</v>
      </c>
      <c r="H36" s="50">
        <f>SUM(H34:H35)</f>
        <v>0</v>
      </c>
      <c r="I36" s="53">
        <f>E36+G36</f>
        <v>0</v>
      </c>
    </row>
    <row r="37" spans="1:11" s="18" customFormat="1">
      <c r="A37" s="119"/>
      <c r="B37"/>
      <c r="C37" s="49"/>
      <c r="D37" s="116">
        <f>MIN(MAX(IF(D9=1,D18-D19*(D15-D14),D18),0),VLOOKUP($D11,Data!$C5:$J14,5)-0.5*D19)</f>
        <v>0</v>
      </c>
      <c r="E37" s="107" t="s">
        <v>107</v>
      </c>
      <c r="F37" s="116">
        <f>MIN(IF(F20,IF(D9=1,F14,F15)*F19/F20,1),VLOOKUP($F11,Data!$C16:$J44,5)-IF(F20,0.5*F19/F20,0))</f>
        <v>1</v>
      </c>
      <c r="G37" s="105"/>
      <c r="H37" s="34"/>
      <c r="I37" s="37"/>
    </row>
    <row r="38" spans="1:11" s="18" customFormat="1">
      <c r="A38" s="119"/>
      <c r="B38"/>
      <c r="C38" s="78" t="s">
        <v>43</v>
      </c>
      <c r="D38" s="117">
        <f>MIN(D18+D19*IF(D9=3,1,D16),VLOOKUP($D11,Data!$C5:$J14,5)+0.5*D19)</f>
        <v>0</v>
      </c>
      <c r="E38" s="107" t="s">
        <v>108</v>
      </c>
      <c r="F38" s="116">
        <f>MIN(IF(F20,IF(D9=3,(F15+1),(F15+F16))*F19/F20,1),VLOOKUP($F11,Data!$C16:$J44,5)+IF(F20,0.5*F19/F20,0))</f>
        <v>1</v>
      </c>
      <c r="G38" s="105"/>
      <c r="H38" s="34"/>
      <c r="I38" s="37"/>
    </row>
    <row r="39" spans="1:11" s="18" customFormat="1">
      <c r="A39" s="119"/>
      <c r="B39"/>
      <c r="C39" s="49" t="s">
        <v>59</v>
      </c>
      <c r="D39" s="97">
        <f>IF(D25&gt;0,D25,IF(D16&gt;0,D13*VLOOKUP($D11,Data!$C5:$J14,3)*(((D38*0.001)^VLOOKUP($D11,Data!$C5:$J14,4))-((D37*0.001)^VLOOKUP($D11,Data!$C4:$J14,4)))/CHOOSE($D$9,D16+D15-D14,D16,1),0))</f>
        <v>0</v>
      </c>
      <c r="E39" s="52">
        <f>IF(D$19*F$20&gt;0,D39/D$19/F$20,0)</f>
        <v>0</v>
      </c>
      <c r="F39" s="97">
        <f>IF(F25&gt;0,F25,IF(F16&gt;0,F13*VLOOKUP($F11,Data!$C16:$J44,3)*(((F38*0.001)^VLOOKUP($F11,Data!$C16:$J44,4))-((F37*0.001)^VLOOKUP($F11,Data!$C16:$J44,4)))/CHOOSE($D$9,F16+F15-F14,F16,1),0))</f>
        <v>0</v>
      </c>
      <c r="G39" s="52">
        <f>IF(F$19&gt;0,F39/F19,0)</f>
        <v>0</v>
      </c>
      <c r="H39" s="50">
        <f>IF(F$20*D$19&gt;0,D39*(F$19/F$20)/D$19+F39,0)</f>
        <v>0</v>
      </c>
      <c r="I39" s="53">
        <f>E39+G39</f>
        <v>0</v>
      </c>
      <c r="J39" s="50"/>
      <c r="K39" s="106"/>
    </row>
    <row r="40" spans="1:11" s="18" customFormat="1">
      <c r="A40" s="119"/>
      <c r="B40"/>
      <c r="C40" s="49" t="s">
        <v>51</v>
      </c>
      <c r="D40" s="55">
        <f>0.044*D21*D22*1.15*D19</f>
        <v>0</v>
      </c>
      <c r="E40" s="56">
        <f>IF(D$19*F$20&gt;0,D40/D$19/F$20,0)</f>
        <v>0</v>
      </c>
      <c r="F40" s="50"/>
      <c r="G40" s="42"/>
      <c r="H40" s="82">
        <f>IF(F$20*D$19&gt;0,D40*(F$19/F$20)/D$19+F40,0)</f>
        <v>0</v>
      </c>
      <c r="I40" s="57">
        <f>E40+G40</f>
        <v>0</v>
      </c>
    </row>
    <row r="41" spans="1:11" s="18" customFormat="1">
      <c r="A41" s="119"/>
      <c r="B41"/>
      <c r="C41" s="49" t="s">
        <v>60</v>
      </c>
      <c r="D41" s="12">
        <f>1.1*D23*D19</f>
        <v>0</v>
      </c>
      <c r="E41" s="13">
        <f>IF(D$19*F$20&gt;0,D41/D$19/F$20,0)</f>
        <v>0</v>
      </c>
      <c r="F41" s="50"/>
      <c r="G41" s="42"/>
      <c r="H41" s="81">
        <f>IF(F$20*D$19&gt;0,D41*(F$19/F$20)/D$19+F41,0)</f>
        <v>0</v>
      </c>
      <c r="I41" s="14">
        <f>E41+G41</f>
        <v>0</v>
      </c>
    </row>
    <row r="42" spans="1:11" s="18" customFormat="1">
      <c r="A42" s="119"/>
      <c r="B42"/>
      <c r="C42" s="49" t="s">
        <v>55</v>
      </c>
      <c r="D42" s="51">
        <f>SUM(D39:D41)</f>
        <v>0</v>
      </c>
      <c r="E42" s="52">
        <f>SUM(E39:E41)</f>
        <v>0</v>
      </c>
      <c r="F42" s="50">
        <f>SUM(F39:F41)</f>
        <v>0</v>
      </c>
      <c r="G42" s="52">
        <f>SUM(G39:G41)</f>
        <v>0</v>
      </c>
      <c r="H42" s="50">
        <f>SUM(H39:H41)</f>
        <v>0</v>
      </c>
      <c r="I42" s="53">
        <f>E42+G42</f>
        <v>0</v>
      </c>
    </row>
    <row r="43" spans="1:11" s="18" customFormat="1">
      <c r="A43" s="119"/>
      <c r="B43"/>
      <c r="C43" s="49"/>
      <c r="D43" s="54"/>
      <c r="E43" s="52"/>
      <c r="F43" s="50"/>
      <c r="G43" s="52"/>
      <c r="H43" s="50"/>
      <c r="I43" s="53"/>
    </row>
    <row r="44" spans="1:11" s="18" customFormat="1" ht="13" thickBot="1">
      <c r="A44" s="119"/>
      <c r="B44"/>
      <c r="C44" s="79" t="s">
        <v>58</v>
      </c>
      <c r="D44" s="58">
        <f t="shared" ref="D44:I44" si="0">D36+D42</f>
        <v>0</v>
      </c>
      <c r="E44" s="59">
        <f t="shared" si="0"/>
        <v>0</v>
      </c>
      <c r="F44" s="60">
        <f t="shared" si="0"/>
        <v>0</v>
      </c>
      <c r="G44" s="59">
        <f t="shared" si="0"/>
        <v>0</v>
      </c>
      <c r="H44" s="60">
        <f t="shared" si="0"/>
        <v>0</v>
      </c>
      <c r="I44" s="61">
        <f t="shared" si="0"/>
        <v>0</v>
      </c>
    </row>
    <row r="45" spans="1:11">
      <c r="A45" s="119"/>
      <c r="D45" s="31"/>
      <c r="H45" s="6"/>
    </row>
    <row r="46" spans="1:11">
      <c r="A46" s="119"/>
    </row>
    <row r="47" spans="1:11" s="18" customFormat="1">
      <c r="A47" s="119"/>
      <c r="B47"/>
      <c r="C47" s="72" t="s">
        <v>119</v>
      </c>
      <c r="D47" s="99"/>
      <c r="E47" s="96"/>
      <c r="F47" s="19"/>
      <c r="G47" s="19"/>
      <c r="H47" s="19"/>
      <c r="I47" s="19"/>
    </row>
    <row r="48" spans="1:11" s="18" customFormat="1">
      <c r="A48" s="119"/>
      <c r="B48"/>
      <c r="C48" s="25" t="s">
        <v>66</v>
      </c>
      <c r="D48" s="20"/>
      <c r="E48" s="96"/>
      <c r="F48" s="20"/>
      <c r="G48" s="20"/>
      <c r="H48" s="20"/>
      <c r="I48" s="20"/>
    </row>
    <row r="49" spans="1:11" s="8" customFormat="1">
      <c r="A49" s="119"/>
      <c r="B49"/>
      <c r="C49" s="30" t="s">
        <v>70</v>
      </c>
      <c r="E49" s="21"/>
      <c r="F49" s="21"/>
      <c r="G49" s="21"/>
      <c r="H49" s="21"/>
      <c r="I49" s="21"/>
    </row>
    <row r="50" spans="1:11" s="8" customFormat="1">
      <c r="A50" s="119"/>
      <c r="B50"/>
      <c r="C50" s="31">
        <f ca="1">TODAY()</f>
        <v>40983</v>
      </c>
      <c r="D50" s="31"/>
      <c r="E50" s="21"/>
      <c r="F50" s="21"/>
      <c r="G50" s="21"/>
      <c r="H50" s="21"/>
      <c r="I50" s="21"/>
    </row>
    <row r="51" spans="1:11">
      <c r="A51" s="119"/>
      <c r="C51" t="s">
        <v>63</v>
      </c>
      <c r="D51" s="98"/>
      <c r="E51" s="101"/>
    </row>
    <row r="52" spans="1:11">
      <c r="A52" s="119"/>
      <c r="C52" s="22" t="s">
        <v>67</v>
      </c>
      <c r="D52" s="23"/>
      <c r="E52" s="101"/>
      <c r="F52" s="100"/>
      <c r="G52" s="23"/>
      <c r="H52" s="23"/>
      <c r="I52" s="23"/>
      <c r="J52" s="23"/>
      <c r="K52" s="23"/>
    </row>
    <row r="53" spans="1:11" ht="13.5" customHeight="1">
      <c r="A53" s="119"/>
      <c r="C53" s="125" t="s">
        <v>68</v>
      </c>
      <c r="D53" s="125"/>
      <c r="E53" s="125"/>
      <c r="F53" s="125"/>
      <c r="G53" s="125"/>
      <c r="H53" s="125"/>
      <c r="I53" s="125"/>
      <c r="J53" s="24"/>
      <c r="K53" s="24"/>
    </row>
    <row r="54" spans="1:11" ht="16.5" customHeight="1">
      <c r="A54" s="119"/>
      <c r="C54" s="125"/>
      <c r="D54" s="125"/>
      <c r="E54" s="125"/>
      <c r="F54" s="125"/>
      <c r="G54" s="125"/>
      <c r="H54" s="125"/>
      <c r="I54" s="125"/>
      <c r="J54" s="24"/>
      <c r="K54" s="24"/>
    </row>
    <row r="55" spans="1:11" ht="18" customHeight="1">
      <c r="A55" s="119"/>
      <c r="C55" s="125" t="s">
        <v>120</v>
      </c>
      <c r="D55" s="125"/>
      <c r="E55" s="125"/>
      <c r="F55" s="125"/>
      <c r="G55" s="125"/>
      <c r="H55" s="125"/>
      <c r="I55" s="125"/>
      <c r="J55" s="24"/>
      <c r="K55" s="24"/>
    </row>
  </sheetData>
  <sheetProtection sheet="1" objects="1" scenarios="1"/>
  <mergeCells count="9">
    <mergeCell ref="H30:I32"/>
    <mergeCell ref="C53:I54"/>
    <mergeCell ref="C55:I55"/>
    <mergeCell ref="C3:G3"/>
    <mergeCell ref="C5:D5"/>
    <mergeCell ref="D10:E10"/>
    <mergeCell ref="D29:E29"/>
    <mergeCell ref="F29:G29"/>
    <mergeCell ref="H29:I29"/>
  </mergeCells>
  <dataValidations count="15">
    <dataValidation type="custom" allowBlank="1" showInputMessage="1" showErrorMessage="1" sqref="N13">
      <formula1>"&gt;=d14"</formula1>
    </dataValidation>
    <dataValidation type="whole" errorStyle="warning" operator="greaterThanOrEqual" allowBlank="1" showInputMessage="1" showErrorMessage="1" errorTitle="Error" error="Current age must be equal to or greater than age when purchased." prompt="Enter zero for a new machine. Cannot be less than the age when purchased." sqref="D15">
      <formula1>D14</formula1>
    </dataValidation>
    <dataValidation type="whole" operator="greaterThanOrEqual" allowBlank="1" showInputMessage="1" showErrorMessage="1" error="Current age must be equal to or greater than age when purchased." prompt="Enter zero for a new machine. Cannot be less than the age when purchased." sqref="F15">
      <formula1>F14</formula1>
    </dataValidation>
    <dataValidation allowBlank="1" showInputMessage="1" showErrorMessage="1" prompt="Enter zero for a new machine." sqref="D18 F14 D14"/>
    <dataValidation allowBlank="1" showInputMessage="1" showErrorMessage="1" prompt="Use the current interest rate for financing the machine, or the interest rate you could earn by investing the funds elsewhere, or an average of the two." sqref="F24 D24"/>
    <dataValidation allowBlank="1" showInputMessage="1" showErrorMessage="1" prompt="The number of remaining years you expect to own this machine." sqref="F16"/>
    <dataValidation allowBlank="1" showInputMessage="1" showErrorMessage="1" prompt="Current list price of a similar new machine.  Used to estimate the value at the end of the ownership period (salvage value) and annual repair costs." sqref="D13"/>
    <dataValidation allowBlank="1" showInputMessage="1" showErrorMessage="1" prompt="Estimated list price of a new similar implement or attachment.  Used to estimate the salvage value and annual repair costs." sqref="F13"/>
    <dataValidation allowBlank="1" showInputMessage="1" showErrorMessage="1" prompt="Approximate number of hours the power unit is used each year.  Use engine hours for combines." sqref="D19"/>
    <dataValidation allowBlank="1" showInputMessage="1" showErrorMessage="1" prompt="Enter the number of acres, tons or other units accomplished per hour.  Units should be the same as entered for annual use._x000a_Field capacity can be estimated by: width (inches) x speed (mph) x field efficiency (%) / 825." sqref="F20"/>
    <dataValidation allowBlank="1" showInputMessage="1" showErrorMessage="1" prompt="Enter expected annual costs for repairs and maintainance, including the owner's time.  Leave the cell blank if you wish to use the estimated costs based on engineering coefficients." sqref="F25"/>
    <dataValidation allowBlank="1" showInputMessage="1" showErrorMessage="1" prompt="Enter the number of acres covered each year with the implement or attachment, or the number of tons or other units produced or processed." sqref="F19"/>
    <dataValidation allowBlank="1" showInputMessage="1" showErrorMessage="1" prompt="Enter expected annual costs for repairs and maintainance, including the owner's time.  Leave the cell blank if you wish to use the estimated costs based on engineering coefficients, shown below." sqref="D25"/>
    <dataValidation allowBlank="1" showInputMessage="1" showErrorMessage="1" prompt="The number of remaining years you expect to own this machine.  Must be greater than zero." sqref="D16"/>
    <dataValidation allowBlank="1" showInputMessage="1" showErrorMessage="1" prompt="For analyzing costs from the year of purchase, enter the original purchase price, including cash paid and the value of any trade-in item.  For analyzing costs from the current year, enter the estimated current value of the machine." sqref="D12 F12"/>
  </dataValidations>
  <hyperlinks>
    <hyperlink ref="C48" r:id="rId1"/>
    <hyperlink ref="C3" r:id="rId2" display="Estimating Farm Machinery Costs"/>
  </hyperlinks>
  <pageMargins left="0.75" right="0.75" top="0.75" bottom="0.75" header="0.5" footer="0.5"/>
  <pageSetup scale="67" orientation="portrait"/>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7409" r:id="rId5" name="Drop Down 1">
              <controlPr defaultSize="0" autoLine="0" autoPict="0">
                <anchor moveWithCells="1">
                  <from>
                    <xdr:col>3</xdr:col>
                    <xdr:colOff>0</xdr:colOff>
                    <xdr:row>10</xdr:row>
                    <xdr:rowOff>12700</xdr:rowOff>
                  </from>
                  <to>
                    <xdr:col>4</xdr:col>
                    <xdr:colOff>850900</xdr:colOff>
                    <xdr:row>10</xdr:row>
                    <xdr:rowOff>215900</xdr:rowOff>
                  </to>
                </anchor>
              </controlPr>
            </control>
          </mc:Choice>
          <mc:Fallback/>
        </mc:AlternateContent>
        <mc:AlternateContent xmlns:mc="http://schemas.openxmlformats.org/markup-compatibility/2006">
          <mc:Choice Requires="x14">
            <control shapeId="17410" r:id="rId6" name="Drop Down 2">
              <controlPr defaultSize="0" autoLine="0" autoPict="0">
                <anchor moveWithCells="1">
                  <from>
                    <xdr:col>5</xdr:col>
                    <xdr:colOff>12700</xdr:colOff>
                    <xdr:row>10</xdr:row>
                    <xdr:rowOff>12700</xdr:rowOff>
                  </from>
                  <to>
                    <xdr:col>6</xdr:col>
                    <xdr:colOff>812800</xdr:colOff>
                    <xdr:row>10</xdr:row>
                    <xdr:rowOff>215900</xdr:rowOff>
                  </to>
                </anchor>
              </controlPr>
            </control>
          </mc:Choice>
          <mc:Fallback/>
        </mc:AlternateContent>
        <mc:AlternateContent xmlns:mc="http://schemas.openxmlformats.org/markup-compatibility/2006">
          <mc:Choice Requires="x14">
            <control shapeId="17411" r:id="rId7" name="Drop Down 3">
              <controlPr defaultSize="0" autoLine="0" autoPict="0">
                <anchor moveWithCells="1">
                  <from>
                    <xdr:col>3</xdr:col>
                    <xdr:colOff>12700</xdr:colOff>
                    <xdr:row>7</xdr:row>
                    <xdr:rowOff>152400</xdr:rowOff>
                  </from>
                  <to>
                    <xdr:col>6</xdr:col>
                    <xdr:colOff>825500</xdr:colOff>
                    <xdr:row>8</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51"/>
  <sheetViews>
    <sheetView showGridLines="0" workbookViewId="0"/>
  </sheetViews>
  <sheetFormatPr baseColWidth="10" defaultColWidth="8.83203125" defaultRowHeight="12" x14ac:dyDescent="0"/>
  <cols>
    <col min="1" max="1" width="1.6640625" style="121" customWidth="1"/>
    <col min="2" max="2" width="1.6640625" customWidth="1"/>
    <col min="4" max="4" width="25.6640625" customWidth="1"/>
  </cols>
  <sheetData>
    <row r="1" spans="1:13" s="122" customFormat="1" ht="18" thickBot="1">
      <c r="C1" s="122" t="s">
        <v>0</v>
      </c>
    </row>
    <row r="2" spans="1:13" s="8" customFormat="1" ht="13" thickTop="1">
      <c r="A2" s="118"/>
      <c r="B2" s="26"/>
      <c r="E2" s="16"/>
      <c r="F2" s="16"/>
      <c r="G2" s="73" t="s">
        <v>81</v>
      </c>
      <c r="H2" s="16"/>
      <c r="I2" s="16"/>
      <c r="J2" s="15"/>
      <c r="K2" s="15"/>
    </row>
    <row r="3" spans="1:13">
      <c r="A3" s="118"/>
      <c r="B3" s="26"/>
      <c r="E3" s="135" t="s">
        <v>17</v>
      </c>
      <c r="F3" s="135"/>
      <c r="G3" s="66" t="s">
        <v>80</v>
      </c>
      <c r="H3" s="135" t="s">
        <v>18</v>
      </c>
      <c r="I3" s="135"/>
      <c r="J3" s="135"/>
    </row>
    <row r="4" spans="1:13">
      <c r="A4" s="118"/>
      <c r="B4" s="26"/>
      <c r="C4" s="1" t="s">
        <v>1</v>
      </c>
      <c r="D4" s="1" t="s">
        <v>2</v>
      </c>
      <c r="E4" s="74" t="s">
        <v>3</v>
      </c>
      <c r="F4" s="74" t="s">
        <v>4</v>
      </c>
      <c r="G4" s="74" t="s">
        <v>5</v>
      </c>
      <c r="H4" s="74" t="s">
        <v>6</v>
      </c>
      <c r="I4" s="74" t="s">
        <v>7</v>
      </c>
      <c r="J4" s="74" t="s">
        <v>8</v>
      </c>
      <c r="L4" s="1"/>
      <c r="M4" s="1"/>
    </row>
    <row r="5" spans="1:13">
      <c r="A5" s="118"/>
      <c r="B5" s="26"/>
      <c r="C5" s="5">
        <v>1</v>
      </c>
      <c r="D5" s="1" t="s">
        <v>91</v>
      </c>
      <c r="E5" s="3">
        <v>7.0000000000000001E-3</v>
      </c>
      <c r="F5" s="4">
        <v>2</v>
      </c>
      <c r="G5" s="2">
        <v>12000</v>
      </c>
      <c r="H5" s="5">
        <v>0.98099999999999998</v>
      </c>
      <c r="I5" s="5">
        <v>9.2999999999999999E-2</v>
      </c>
      <c r="J5" s="5">
        <v>5.7999999999999996E-3</v>
      </c>
      <c r="L5" s="1"/>
      <c r="M5" s="1"/>
    </row>
    <row r="6" spans="1:13">
      <c r="A6" s="119"/>
      <c r="B6" s="27"/>
      <c r="C6" s="5">
        <v>2</v>
      </c>
      <c r="D6" s="1" t="s">
        <v>92</v>
      </c>
      <c r="E6" s="3">
        <v>7.0000000000000001E-3</v>
      </c>
      <c r="F6" s="4">
        <v>2</v>
      </c>
      <c r="G6" s="2">
        <v>12000</v>
      </c>
      <c r="H6" s="2">
        <v>0.94210000000000005</v>
      </c>
      <c r="I6" s="2">
        <v>9.9699999999999997E-2</v>
      </c>
      <c r="J6" s="2">
        <v>8.0000000000000004E-4</v>
      </c>
      <c r="L6" s="2"/>
      <c r="M6" s="2"/>
    </row>
    <row r="7" spans="1:13">
      <c r="A7" s="119"/>
      <c r="B7" s="27"/>
      <c r="C7" s="5">
        <v>3</v>
      </c>
      <c r="D7" s="1" t="s">
        <v>93</v>
      </c>
      <c r="E7" s="3">
        <v>7.0000000000000001E-3</v>
      </c>
      <c r="F7" s="4">
        <v>2</v>
      </c>
      <c r="G7" s="2">
        <v>16000</v>
      </c>
      <c r="H7" s="2">
        <v>0.97560000000000002</v>
      </c>
      <c r="I7" s="2">
        <v>0.1187</v>
      </c>
      <c r="J7" s="2">
        <v>1.9E-3</v>
      </c>
      <c r="L7" s="2"/>
      <c r="M7" s="2"/>
    </row>
    <row r="8" spans="1:13">
      <c r="A8" s="119"/>
      <c r="B8" s="27"/>
      <c r="C8" s="5">
        <v>4</v>
      </c>
      <c r="D8" s="1" t="s">
        <v>90</v>
      </c>
      <c r="E8" s="3">
        <v>3.0000000000000001E-3</v>
      </c>
      <c r="F8" s="4">
        <v>2</v>
      </c>
      <c r="G8" s="2">
        <v>16000</v>
      </c>
      <c r="H8" s="2">
        <v>0.97560000000000002</v>
      </c>
      <c r="I8" s="2">
        <v>0.1187</v>
      </c>
      <c r="J8" s="2">
        <v>1.9E-3</v>
      </c>
      <c r="L8" s="2"/>
      <c r="M8" s="2"/>
    </row>
    <row r="9" spans="1:13">
      <c r="A9" s="119"/>
      <c r="B9" s="27"/>
      <c r="C9" s="5">
        <v>5</v>
      </c>
      <c r="D9" s="1" t="s">
        <v>24</v>
      </c>
      <c r="E9" s="3">
        <v>2.5000000000000001E-2</v>
      </c>
      <c r="F9" s="4">
        <v>2.1</v>
      </c>
      <c r="G9" s="2">
        <v>3000</v>
      </c>
      <c r="H9" s="2">
        <v>1.1317999999999999</v>
      </c>
      <c r="I9" s="2">
        <v>0.16450000000000001</v>
      </c>
      <c r="J9" s="2">
        <v>7.9000000000000008E-3</v>
      </c>
      <c r="L9" s="2"/>
      <c r="M9" s="2"/>
    </row>
    <row r="10" spans="1:13">
      <c r="A10" s="119"/>
      <c r="B10" s="27"/>
      <c r="C10" s="5">
        <v>6</v>
      </c>
      <c r="D10" s="1" t="s">
        <v>33</v>
      </c>
      <c r="E10" s="3">
        <v>0.03</v>
      </c>
      <c r="F10" s="4">
        <v>2</v>
      </c>
      <c r="G10" s="2">
        <v>4000</v>
      </c>
      <c r="H10" s="2">
        <v>0.79110000000000003</v>
      </c>
      <c r="I10" s="2">
        <v>9.1300000000000006E-2</v>
      </c>
      <c r="J10" s="2">
        <v>0</v>
      </c>
      <c r="L10" s="2"/>
      <c r="M10" s="2"/>
    </row>
    <row r="11" spans="1:13">
      <c r="A11" s="119"/>
      <c r="B11" s="27"/>
      <c r="C11" s="5">
        <v>7</v>
      </c>
      <c r="D11" s="1" t="s">
        <v>34</v>
      </c>
      <c r="E11" s="3">
        <v>0.06</v>
      </c>
      <c r="F11" s="4">
        <v>2</v>
      </c>
      <c r="G11" s="2">
        <v>3000</v>
      </c>
      <c r="H11" s="2">
        <v>0.75570000000000004</v>
      </c>
      <c r="I11" s="2">
        <v>6.7199999999999996E-2</v>
      </c>
      <c r="J11" s="2">
        <v>0</v>
      </c>
      <c r="L11" s="2"/>
      <c r="M11" s="2"/>
    </row>
    <row r="12" spans="1:13">
      <c r="A12" s="119"/>
      <c r="B12" s="27"/>
      <c r="C12" s="5">
        <v>8</v>
      </c>
      <c r="D12" s="1" t="s">
        <v>32</v>
      </c>
      <c r="E12" s="3">
        <v>0.1</v>
      </c>
      <c r="F12" s="4">
        <v>1.3</v>
      </c>
      <c r="G12" s="2">
        <v>1500</v>
      </c>
      <c r="H12" s="2">
        <v>0.88260000000000005</v>
      </c>
      <c r="I12" s="2">
        <v>7.7799999999999994E-2</v>
      </c>
      <c r="J12" s="2">
        <v>0</v>
      </c>
      <c r="L12" s="2"/>
      <c r="M12" s="2"/>
    </row>
    <row r="13" spans="1:13">
      <c r="A13" s="119"/>
      <c r="B13" s="27"/>
      <c r="C13" s="5">
        <v>9</v>
      </c>
      <c r="D13" s="1" t="s">
        <v>31</v>
      </c>
      <c r="E13" s="3">
        <v>7.0000000000000001E-3</v>
      </c>
      <c r="F13" s="4">
        <v>2</v>
      </c>
      <c r="G13" s="2">
        <v>3000</v>
      </c>
      <c r="H13" s="2">
        <v>0.78600000000000003</v>
      </c>
      <c r="I13" s="2">
        <v>6.3E-2</v>
      </c>
      <c r="J13" s="2">
        <v>3.3E-3</v>
      </c>
      <c r="L13" s="2"/>
      <c r="M13" s="2"/>
    </row>
    <row r="14" spans="1:13">
      <c r="A14" s="119"/>
      <c r="B14" s="27"/>
      <c r="C14" s="5">
        <v>10</v>
      </c>
      <c r="D14" s="1" t="s">
        <v>82</v>
      </c>
      <c r="E14" s="3">
        <v>0.11</v>
      </c>
      <c r="F14" s="4">
        <v>1.8</v>
      </c>
      <c r="G14" s="2">
        <v>3000</v>
      </c>
      <c r="H14" s="2">
        <v>1.1317999999999999</v>
      </c>
      <c r="I14" s="2">
        <v>0.16450000000000001</v>
      </c>
      <c r="J14" s="2">
        <v>7.9000000000000008E-3</v>
      </c>
      <c r="L14" s="2"/>
      <c r="M14" s="2"/>
    </row>
    <row r="15" spans="1:13">
      <c r="A15" s="119"/>
      <c r="B15" s="27"/>
      <c r="C15" s="5"/>
      <c r="D15" s="1"/>
      <c r="E15" s="3"/>
      <c r="F15" s="4"/>
      <c r="G15" s="2"/>
      <c r="H15" s="2"/>
      <c r="I15" s="2"/>
      <c r="J15" s="2"/>
      <c r="L15" s="2"/>
      <c r="M15" s="2"/>
    </row>
    <row r="16" spans="1:13">
      <c r="A16" s="119"/>
      <c r="B16" s="27"/>
      <c r="C16" s="5">
        <v>1</v>
      </c>
      <c r="D16" s="1" t="s">
        <v>9</v>
      </c>
      <c r="E16" s="3">
        <v>0.28999999999999998</v>
      </c>
      <c r="F16" s="4">
        <v>1.8</v>
      </c>
      <c r="G16" s="2">
        <v>2000</v>
      </c>
      <c r="H16" s="2">
        <v>0.73819999999999997</v>
      </c>
      <c r="I16" s="2">
        <v>5.0999999999999997E-2</v>
      </c>
      <c r="J16" s="2">
        <v>0</v>
      </c>
      <c r="L16" s="2"/>
      <c r="M16" s="2"/>
    </row>
    <row r="17" spans="1:13">
      <c r="A17" s="119"/>
      <c r="B17" s="27"/>
      <c r="C17" s="5">
        <v>2</v>
      </c>
      <c r="D17" s="1" t="s">
        <v>10</v>
      </c>
      <c r="E17" s="3">
        <v>0.18</v>
      </c>
      <c r="F17" s="4">
        <v>1.7</v>
      </c>
      <c r="G17" s="2">
        <v>2000</v>
      </c>
      <c r="H17" s="2">
        <v>0.89059999999999995</v>
      </c>
      <c r="I17" s="2">
        <v>0.1095</v>
      </c>
      <c r="J17" s="2">
        <v>0</v>
      </c>
      <c r="L17" s="2"/>
      <c r="M17" s="2"/>
    </row>
    <row r="18" spans="1:13">
      <c r="A18" s="119"/>
      <c r="B18" s="27"/>
      <c r="C18" s="5">
        <v>3</v>
      </c>
      <c r="D18" s="1" t="s">
        <v>62</v>
      </c>
      <c r="E18" s="3">
        <v>0.28000000000000003</v>
      </c>
      <c r="F18" s="4">
        <v>1.4</v>
      </c>
      <c r="G18" s="2">
        <v>2000</v>
      </c>
      <c r="H18" s="2">
        <v>0.73819999999999997</v>
      </c>
      <c r="I18" s="2">
        <v>5.0999999999999997E-2</v>
      </c>
      <c r="J18" s="2">
        <v>0</v>
      </c>
      <c r="L18" s="2"/>
      <c r="M18" s="2"/>
    </row>
    <row r="19" spans="1:13">
      <c r="A19" s="119"/>
      <c r="B19" s="27"/>
      <c r="C19" s="5">
        <v>4</v>
      </c>
      <c r="D19" s="1" t="s">
        <v>19</v>
      </c>
      <c r="E19" s="3">
        <v>0.27</v>
      </c>
      <c r="F19" s="4">
        <v>1.4</v>
      </c>
      <c r="G19" s="2">
        <v>2000</v>
      </c>
      <c r="H19" s="2">
        <v>0.89059999999999995</v>
      </c>
      <c r="I19" s="2">
        <v>0.1095</v>
      </c>
      <c r="J19" s="2">
        <v>0</v>
      </c>
      <c r="L19" s="2"/>
      <c r="M19" s="2"/>
    </row>
    <row r="20" spans="1:13">
      <c r="A20" s="119"/>
      <c r="B20" s="27"/>
      <c r="C20" s="5">
        <v>5</v>
      </c>
      <c r="D20" s="1" t="s">
        <v>20</v>
      </c>
      <c r="E20" s="3">
        <v>0.27</v>
      </c>
      <c r="F20" s="4">
        <v>1.4</v>
      </c>
      <c r="G20" s="2">
        <v>2000</v>
      </c>
      <c r="H20" s="2">
        <v>0.89059999999999995</v>
      </c>
      <c r="I20" s="2">
        <v>0.1095</v>
      </c>
      <c r="J20" s="2">
        <v>0</v>
      </c>
      <c r="L20" s="2"/>
      <c r="M20" s="2"/>
    </row>
    <row r="21" spans="1:13">
      <c r="A21" s="119"/>
      <c r="B21" s="27"/>
      <c r="C21" s="5">
        <v>6</v>
      </c>
      <c r="D21" s="1" t="s">
        <v>11</v>
      </c>
      <c r="E21" s="3">
        <v>0.17</v>
      </c>
      <c r="F21" s="4">
        <v>2.2000000000000002</v>
      </c>
      <c r="G21" s="2">
        <v>2000</v>
      </c>
      <c r="H21" s="2">
        <v>0.89059999999999995</v>
      </c>
      <c r="I21" s="2">
        <v>0.1095</v>
      </c>
      <c r="J21" s="2">
        <v>0</v>
      </c>
      <c r="L21" s="2"/>
      <c r="M21" s="2"/>
    </row>
    <row r="22" spans="1:13">
      <c r="A22" s="119"/>
      <c r="B22" s="27"/>
      <c r="C22" s="5">
        <v>7</v>
      </c>
      <c r="D22" s="1" t="s">
        <v>12</v>
      </c>
      <c r="E22" s="3">
        <v>0.16</v>
      </c>
      <c r="F22" s="4">
        <v>1.3</v>
      </c>
      <c r="G22" s="2">
        <v>2000</v>
      </c>
      <c r="H22" s="2">
        <v>0.89059999999999995</v>
      </c>
      <c r="I22" s="2">
        <v>0.1095</v>
      </c>
      <c r="J22" s="2">
        <v>0</v>
      </c>
      <c r="L22" s="2"/>
      <c r="M22" s="2"/>
    </row>
    <row r="23" spans="1:13">
      <c r="A23" s="119"/>
      <c r="B23" s="27"/>
      <c r="C23" s="5">
        <v>8</v>
      </c>
      <c r="D23" s="1" t="s">
        <v>21</v>
      </c>
      <c r="E23" s="3">
        <v>0.23</v>
      </c>
      <c r="F23" s="4">
        <v>1.4</v>
      </c>
      <c r="G23" s="2">
        <v>2000</v>
      </c>
      <c r="H23" s="2">
        <v>0.89059999999999995</v>
      </c>
      <c r="I23" s="2">
        <v>0.1095</v>
      </c>
      <c r="J23" s="2">
        <v>0</v>
      </c>
      <c r="L23" s="2"/>
      <c r="M23" s="2"/>
    </row>
    <row r="24" spans="1:13">
      <c r="A24" s="120"/>
      <c r="B24" s="28"/>
      <c r="C24" s="5">
        <v>9</v>
      </c>
      <c r="D24" s="1" t="s">
        <v>13</v>
      </c>
      <c r="E24" s="3">
        <v>0.36</v>
      </c>
      <c r="F24" s="4">
        <v>2</v>
      </c>
      <c r="G24" s="2">
        <v>1500</v>
      </c>
      <c r="H24" s="2">
        <v>0.89059999999999995</v>
      </c>
      <c r="I24" s="2">
        <v>0.1095</v>
      </c>
      <c r="J24" s="2">
        <v>0</v>
      </c>
      <c r="L24" s="2"/>
      <c r="M24" s="2"/>
    </row>
    <row r="25" spans="1:13">
      <c r="A25" s="120"/>
      <c r="B25" s="28"/>
      <c r="C25" s="5">
        <v>10</v>
      </c>
      <c r="D25" s="1" t="s">
        <v>22</v>
      </c>
      <c r="E25" s="3">
        <v>0.32</v>
      </c>
      <c r="F25" s="4">
        <v>2.1</v>
      </c>
      <c r="G25" s="2">
        <v>1500</v>
      </c>
      <c r="H25" s="2">
        <v>0.88260000000000005</v>
      </c>
      <c r="I25" s="2">
        <v>7.7799999999999994E-2</v>
      </c>
      <c r="J25" s="2">
        <v>0</v>
      </c>
      <c r="L25" s="2"/>
      <c r="M25" s="2"/>
    </row>
    <row r="26" spans="1:13">
      <c r="A26" s="118"/>
      <c r="B26" s="26"/>
      <c r="C26" s="5">
        <v>11</v>
      </c>
      <c r="D26" s="1" t="s">
        <v>14</v>
      </c>
      <c r="E26" s="3">
        <v>0.05</v>
      </c>
      <c r="F26" s="4">
        <v>2.2999999999999998</v>
      </c>
      <c r="G26" s="2">
        <v>2000</v>
      </c>
      <c r="H26" s="2">
        <v>1.1317999999999999</v>
      </c>
      <c r="I26" s="2">
        <v>0.16450000000000001</v>
      </c>
      <c r="J26" s="2">
        <v>0</v>
      </c>
      <c r="L26" s="2"/>
      <c r="M26" s="2"/>
    </row>
    <row r="27" spans="1:13">
      <c r="A27" s="119"/>
      <c r="B27" s="27"/>
      <c r="C27" s="5">
        <v>12</v>
      </c>
      <c r="D27" s="1" t="s">
        <v>23</v>
      </c>
      <c r="E27" s="3">
        <v>0.05</v>
      </c>
      <c r="F27" s="4">
        <v>2.2999999999999998</v>
      </c>
      <c r="G27" s="2">
        <v>2000</v>
      </c>
      <c r="H27" s="2">
        <v>1.1317999999999999</v>
      </c>
      <c r="I27" s="2">
        <v>0.16450000000000001</v>
      </c>
      <c r="J27" s="2">
        <v>7.9000000000000008E-3</v>
      </c>
      <c r="L27" s="2"/>
      <c r="M27" s="2"/>
    </row>
    <row r="28" spans="1:13">
      <c r="A28" s="119"/>
      <c r="B28" s="27"/>
      <c r="C28" s="5">
        <v>13</v>
      </c>
      <c r="D28" s="1" t="s">
        <v>83</v>
      </c>
      <c r="E28" s="3">
        <v>0.46</v>
      </c>
      <c r="F28" s="4">
        <v>1.7</v>
      </c>
      <c r="G28" s="2">
        <v>2000</v>
      </c>
      <c r="H28" s="2">
        <v>0.75570000000000004</v>
      </c>
      <c r="I28" s="2">
        <v>6.7199999999999996E-2</v>
      </c>
      <c r="J28" s="2">
        <v>0</v>
      </c>
      <c r="L28" s="2"/>
      <c r="M28" s="2"/>
    </row>
    <row r="29" spans="1:13">
      <c r="A29" s="119"/>
      <c r="B29" s="27"/>
      <c r="C29" s="5">
        <v>14</v>
      </c>
      <c r="D29" s="1" t="s">
        <v>84</v>
      </c>
      <c r="E29" s="3">
        <v>0.44</v>
      </c>
      <c r="F29" s="4">
        <v>2</v>
      </c>
      <c r="G29" s="2"/>
      <c r="H29" s="2">
        <v>0.75570000000000004</v>
      </c>
      <c r="I29" s="2">
        <v>6.7199999999999996E-2</v>
      </c>
      <c r="J29" s="2">
        <v>0</v>
      </c>
      <c r="L29" s="2"/>
      <c r="M29" s="2"/>
    </row>
    <row r="30" spans="1:13">
      <c r="A30" s="119"/>
      <c r="B30" s="27"/>
      <c r="C30" s="5">
        <v>15</v>
      </c>
      <c r="D30" s="1" t="s">
        <v>25</v>
      </c>
      <c r="E30" s="3">
        <v>0.18</v>
      </c>
      <c r="F30" s="4">
        <v>1.6</v>
      </c>
      <c r="G30" s="2">
        <v>2500</v>
      </c>
      <c r="H30" s="2">
        <v>0.75570000000000004</v>
      </c>
      <c r="I30" s="2">
        <v>6.7199999999999996E-2</v>
      </c>
      <c r="J30" s="2">
        <v>0</v>
      </c>
      <c r="L30" s="2"/>
      <c r="M30" s="2"/>
    </row>
    <row r="31" spans="1:13">
      <c r="A31" s="119"/>
      <c r="B31" s="27"/>
      <c r="C31" s="5">
        <v>16</v>
      </c>
      <c r="D31" s="1" t="s">
        <v>27</v>
      </c>
      <c r="E31" s="3">
        <v>0.18</v>
      </c>
      <c r="F31" s="4">
        <v>1.6</v>
      </c>
      <c r="G31" s="2">
        <v>2500</v>
      </c>
      <c r="H31" s="2">
        <v>0.75570000000000004</v>
      </c>
      <c r="I31" s="2">
        <v>6.7199999999999996E-2</v>
      </c>
      <c r="J31" s="2">
        <v>0</v>
      </c>
      <c r="L31" s="2"/>
      <c r="M31" s="2"/>
    </row>
    <row r="32" spans="1:13">
      <c r="A32" s="119"/>
      <c r="B32" s="27"/>
      <c r="C32" s="5">
        <v>17</v>
      </c>
      <c r="D32" s="1" t="s">
        <v>85</v>
      </c>
      <c r="E32" s="3">
        <v>0.23</v>
      </c>
      <c r="F32" s="4">
        <v>1.8</v>
      </c>
      <c r="G32" s="2">
        <v>2000</v>
      </c>
      <c r="H32" s="2">
        <v>0.85209999999999997</v>
      </c>
      <c r="I32" s="2">
        <v>0.1014</v>
      </c>
      <c r="J32" s="2">
        <v>0</v>
      </c>
      <c r="L32" s="2"/>
      <c r="M32" s="2"/>
    </row>
    <row r="33" spans="1:13">
      <c r="A33" s="119"/>
      <c r="B33" s="27"/>
      <c r="C33" s="5">
        <v>18</v>
      </c>
      <c r="D33" s="1" t="s">
        <v>86</v>
      </c>
      <c r="E33" s="3">
        <v>0.1</v>
      </c>
      <c r="F33" s="4">
        <v>1.8</v>
      </c>
      <c r="G33" s="2"/>
      <c r="H33" s="2">
        <v>0.85209999999999997</v>
      </c>
      <c r="I33" s="2">
        <v>0.1014</v>
      </c>
      <c r="J33" s="2">
        <v>0</v>
      </c>
      <c r="L33" s="2"/>
      <c r="M33" s="2"/>
    </row>
    <row r="34" spans="1:13">
      <c r="A34" s="119"/>
      <c r="B34" s="27"/>
      <c r="C34" s="5">
        <v>19</v>
      </c>
      <c r="D34" s="1" t="s">
        <v>26</v>
      </c>
      <c r="E34" s="3">
        <v>0.43</v>
      </c>
      <c r="F34" s="4">
        <v>1.8</v>
      </c>
      <c r="G34" s="2">
        <v>1500</v>
      </c>
      <c r="H34" s="2">
        <v>0.85209999999999997</v>
      </c>
      <c r="I34" s="2">
        <v>0.1014</v>
      </c>
      <c r="J34" s="2">
        <v>0</v>
      </c>
      <c r="L34" s="2"/>
      <c r="M34" s="2"/>
    </row>
    <row r="35" spans="1:13">
      <c r="A35" s="119"/>
      <c r="B35" s="27"/>
      <c r="C35" s="5">
        <v>20</v>
      </c>
      <c r="D35" s="1" t="s">
        <v>15</v>
      </c>
      <c r="E35" s="3">
        <v>0.17</v>
      </c>
      <c r="F35" s="4">
        <v>1.4</v>
      </c>
      <c r="G35" s="2">
        <v>2500</v>
      </c>
      <c r="H35" s="2">
        <v>0.79110000000000003</v>
      </c>
      <c r="I35" s="2">
        <v>9.1300000000000006E-2</v>
      </c>
      <c r="J35" s="2">
        <v>0</v>
      </c>
      <c r="L35" s="2"/>
      <c r="M35" s="2"/>
    </row>
    <row r="36" spans="1:13">
      <c r="A36" s="119"/>
      <c r="C36" s="5">
        <v>21</v>
      </c>
      <c r="D36" s="1" t="s">
        <v>35</v>
      </c>
      <c r="E36" s="3">
        <v>0.15</v>
      </c>
      <c r="F36" s="4">
        <v>1.6</v>
      </c>
      <c r="G36" s="2">
        <v>2500</v>
      </c>
      <c r="H36" s="2">
        <v>0.79110000000000003</v>
      </c>
      <c r="I36" s="2">
        <v>9.1300000000000006E-2</v>
      </c>
      <c r="J36" s="2">
        <v>0</v>
      </c>
      <c r="L36" s="2"/>
      <c r="M36" s="2"/>
    </row>
    <row r="37" spans="1:13">
      <c r="A37" s="119"/>
      <c r="C37" s="5">
        <v>22</v>
      </c>
      <c r="D37" s="1" t="s">
        <v>87</v>
      </c>
      <c r="E37" s="3">
        <v>0.59</v>
      </c>
      <c r="F37" s="4">
        <v>1.3</v>
      </c>
      <c r="G37" s="2"/>
      <c r="H37" s="2">
        <v>0.79110000000000003</v>
      </c>
      <c r="I37" s="2">
        <v>9.1300000000000006E-2</v>
      </c>
      <c r="J37" s="2">
        <v>0</v>
      </c>
      <c r="L37" s="2"/>
      <c r="M37" s="2"/>
    </row>
    <row r="38" spans="1:13">
      <c r="A38" s="119"/>
      <c r="C38" s="5">
        <v>23</v>
      </c>
      <c r="D38" s="1" t="s">
        <v>88</v>
      </c>
      <c r="E38" s="3">
        <v>0.19</v>
      </c>
      <c r="F38" s="4">
        <v>1.4</v>
      </c>
      <c r="G38" s="2"/>
      <c r="H38" s="2">
        <v>0.79110000000000003</v>
      </c>
      <c r="I38" s="2">
        <v>9.1300000000000006E-2</v>
      </c>
      <c r="J38" s="2">
        <v>0</v>
      </c>
      <c r="L38" s="2"/>
      <c r="M38" s="2"/>
    </row>
    <row r="39" spans="1:13">
      <c r="A39" s="119"/>
      <c r="C39" s="5">
        <v>24</v>
      </c>
      <c r="D39" s="1" t="s">
        <v>16</v>
      </c>
      <c r="E39" s="3">
        <v>0.63</v>
      </c>
      <c r="F39" s="4">
        <v>1.3</v>
      </c>
      <c r="G39" s="2">
        <v>1200</v>
      </c>
      <c r="H39" s="2">
        <v>0.88260000000000005</v>
      </c>
      <c r="I39" s="2">
        <v>7.7799999999999994E-2</v>
      </c>
      <c r="J39" s="2">
        <v>0</v>
      </c>
      <c r="L39" s="2"/>
      <c r="M39" s="2"/>
    </row>
    <row r="40" spans="1:13">
      <c r="A40" s="119"/>
      <c r="C40" s="5">
        <v>25</v>
      </c>
      <c r="D40" s="1" t="s">
        <v>28</v>
      </c>
      <c r="E40" s="3">
        <v>0.41</v>
      </c>
      <c r="F40" s="4">
        <v>1.3</v>
      </c>
      <c r="G40" s="2">
        <v>1500</v>
      </c>
      <c r="H40" s="2">
        <v>0.88260000000000005</v>
      </c>
      <c r="I40" s="2">
        <v>7.7799999999999994E-2</v>
      </c>
      <c r="J40" s="2">
        <v>0</v>
      </c>
      <c r="L40" s="2"/>
      <c r="M40" s="2"/>
    </row>
    <row r="41" spans="1:13">
      <c r="A41" s="119"/>
      <c r="C41" s="5">
        <v>26</v>
      </c>
      <c r="D41" s="1" t="s">
        <v>29</v>
      </c>
      <c r="E41" s="3">
        <v>0.16</v>
      </c>
      <c r="F41" s="4">
        <v>1.6</v>
      </c>
      <c r="G41" s="2">
        <v>2000</v>
      </c>
      <c r="H41" s="2">
        <v>0.94269999999999998</v>
      </c>
      <c r="I41" s="2">
        <v>0.1111</v>
      </c>
      <c r="J41" s="2">
        <v>0</v>
      </c>
      <c r="L41" s="2"/>
      <c r="M41" s="2"/>
    </row>
    <row r="42" spans="1:13">
      <c r="A42" s="119"/>
      <c r="C42" s="5">
        <v>27</v>
      </c>
      <c r="D42" s="1" t="s">
        <v>30</v>
      </c>
      <c r="E42" s="3">
        <v>0.19</v>
      </c>
      <c r="F42" s="4">
        <v>1.3</v>
      </c>
      <c r="G42" s="2">
        <v>3000</v>
      </c>
      <c r="H42" s="2">
        <v>0.94269999999999998</v>
      </c>
      <c r="I42" s="2">
        <v>0.1111</v>
      </c>
      <c r="J42" s="2">
        <v>0</v>
      </c>
      <c r="L42" s="2"/>
      <c r="M42" s="2"/>
    </row>
    <row r="43" spans="1:13">
      <c r="A43" s="119"/>
      <c r="C43" s="5">
        <v>28</v>
      </c>
      <c r="D43" s="1" t="s">
        <v>96</v>
      </c>
      <c r="E43" s="3">
        <v>0.16</v>
      </c>
      <c r="F43" s="4">
        <v>1.6</v>
      </c>
      <c r="G43" s="2">
        <v>3000</v>
      </c>
      <c r="H43" s="2">
        <v>0.94269999999999998</v>
      </c>
      <c r="I43" s="2">
        <v>0.1111</v>
      </c>
      <c r="J43" s="2">
        <v>0</v>
      </c>
    </row>
    <row r="44" spans="1:13">
      <c r="A44" s="119"/>
      <c r="C44" s="5">
        <v>29</v>
      </c>
      <c r="D44" s="1" t="s">
        <v>97</v>
      </c>
      <c r="E44" s="3">
        <v>1.4999999999999999E-2</v>
      </c>
      <c r="F44" s="4">
        <v>1.6</v>
      </c>
      <c r="G44" s="2">
        <v>3000</v>
      </c>
      <c r="H44" s="2">
        <v>0.94269999999999998</v>
      </c>
      <c r="I44" s="2">
        <v>0.1111</v>
      </c>
      <c r="J44" s="2">
        <v>0</v>
      </c>
    </row>
    <row r="45" spans="1:13">
      <c r="A45" s="119"/>
      <c r="C45" s="5"/>
      <c r="D45" s="86" t="s">
        <v>102</v>
      </c>
    </row>
    <row r="46" spans="1:13">
      <c r="D46" s="1" t="s">
        <v>89</v>
      </c>
    </row>
    <row r="48" spans="1:13">
      <c r="D48" s="87" t="s">
        <v>103</v>
      </c>
    </row>
    <row r="49" spans="3:5">
      <c r="C49">
        <v>1</v>
      </c>
      <c r="D49" s="86" t="s">
        <v>110</v>
      </c>
      <c r="E49" s="86" t="s">
        <v>118</v>
      </c>
    </row>
    <row r="50" spans="3:5">
      <c r="C50">
        <v>2</v>
      </c>
      <c r="D50" s="86" t="s">
        <v>109</v>
      </c>
      <c r="E50" s="86" t="s">
        <v>116</v>
      </c>
    </row>
    <row r="51" spans="3:5">
      <c r="C51">
        <v>3</v>
      </c>
      <c r="D51" s="86" t="s">
        <v>111</v>
      </c>
      <c r="E51" s="86" t="s">
        <v>117</v>
      </c>
    </row>
  </sheetData>
  <sheetProtection sheet="1"/>
  <mergeCells count="2">
    <mergeCell ref="E3:F3"/>
    <mergeCell ref="H3:J3"/>
  </mergeCells>
  <phoneticPr fontId="0" type="noConversion"/>
  <pageMargins left="0.75" right="0.75" top="0.75" bottom="0.75" header="0.5" footer="0.5"/>
  <pageSetup scale="92" orientation="portrait"/>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Example</vt:lpstr>
      <vt:lpstr>Blank</vt:lpstr>
      <vt:lpstr>Data</vt:lpstr>
      <vt:lpstr>Sheet1</vt:lpstr>
    </vt:vector>
  </TitlesOfParts>
  <Company>ISU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edwards</dc:creator>
  <cp:lastModifiedBy>Edward Pabst</cp:lastModifiedBy>
  <cp:lastPrinted>2011-11-21T19:39:25Z</cp:lastPrinted>
  <dcterms:created xsi:type="dcterms:W3CDTF">2001-03-29T20:35:00Z</dcterms:created>
  <dcterms:modified xsi:type="dcterms:W3CDTF">2012-03-15T20:15:39Z</dcterms:modified>
</cp:coreProperties>
</file>