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ElmoNew/Dropbox/Gordita/"/>
    </mc:Choice>
  </mc:AlternateContent>
  <xr:revisionPtr revIDLastSave="0" documentId="13_ncr:1_{2095A8BA-6A15-9F47-8B1C-6376972D14A6}" xr6:coauthVersionLast="45" xr6:coauthVersionMax="45" xr10:uidLastSave="{00000000-0000-0000-0000-000000000000}"/>
  <bookViews>
    <workbookView xWindow="0" yWindow="0" windowWidth="25600" windowHeight="16000" tabRatio="500" activeTab="10" xr2:uid="{00000000-000D-0000-FFFF-FFFF00000000}"/>
  </bookViews>
  <sheets>
    <sheet name="TOC" sheetId="1" r:id="rId1"/>
    <sheet name="Table1 &amp; Fig1" sheetId="2" r:id="rId2"/>
    <sheet name="Fig2A" sheetId="3" r:id="rId3"/>
    <sheet name="Fig2B" sheetId="4" r:id="rId4"/>
    <sheet name="FigS1" sheetId="6" r:id="rId5"/>
    <sheet name="FigS2-S3" sheetId="7" r:id="rId6"/>
    <sheet name="Data mentioned in MS" sheetId="9" r:id="rId7"/>
    <sheet name="major taxa to remove" sheetId="10" r:id="rId8"/>
    <sheet name="Sheet1" sheetId="13" r:id="rId9"/>
    <sheet name="Table S1" sheetId="8" r:id="rId10"/>
    <sheet name="Fig2C" sheetId="5" r:id="rId11"/>
    <sheet name="final data" sheetId="11" r:id="rId12"/>
    <sheet name="Inflection points" sheetId="12"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28" i="5" l="1"/>
  <c r="P28" i="5"/>
  <c r="O28" i="5"/>
  <c r="G21" i="5" l="1"/>
  <c r="F21" i="5"/>
  <c r="E21" i="5"/>
  <c r="E5" i="5"/>
  <c r="E4" i="5"/>
  <c r="G4" i="5"/>
  <c r="F5" i="5"/>
  <c r="G5" i="5"/>
  <c r="F25" i="5" l="1"/>
  <c r="G25" i="5" s="1"/>
  <c r="E27" i="5"/>
  <c r="F27" i="5"/>
  <c r="G27" i="5"/>
  <c r="G6" i="5"/>
  <c r="O23" i="5"/>
  <c r="Q29" i="5"/>
  <c r="L9" i="2" l="1"/>
  <c r="L5" i="2"/>
  <c r="K9" i="2"/>
  <c r="J9" i="2"/>
  <c r="K6" i="2"/>
  <c r="N9" i="2" s="1"/>
  <c r="P9" i="2" s="1"/>
  <c r="J6" i="2"/>
  <c r="M9" i="2" s="1"/>
  <c r="O9" i="2" s="1"/>
  <c r="Q9" i="2" s="1"/>
  <c r="R9" i="2" s="1"/>
  <c r="K5" i="2"/>
  <c r="N5" i="2" s="1"/>
  <c r="P5" i="2" s="1"/>
  <c r="J5" i="2"/>
  <c r="M5" i="2" s="1"/>
  <c r="O5" i="2" s="1"/>
  <c r="Q5" i="2" s="1"/>
  <c r="R5" i="2" s="1"/>
  <c r="K2" i="2"/>
  <c r="J2" i="2"/>
  <c r="C2" i="8"/>
  <c r="N9" i="11" l="1"/>
  <c r="N8" i="11"/>
  <c r="O10" i="11" l="1"/>
  <c r="G26" i="5"/>
  <c r="E24" i="5" l="1"/>
  <c r="F24" i="5" s="1"/>
  <c r="G24" i="5" s="1"/>
  <c r="F22" i="5"/>
  <c r="G22" i="5"/>
  <c r="P30" i="5" l="1"/>
  <c r="Q30" i="5"/>
  <c r="O30" i="5"/>
  <c r="O31" i="5"/>
  <c r="Q31" i="5"/>
  <c r="O8" i="5"/>
  <c r="Q8" i="5"/>
  <c r="Q13" i="5"/>
  <c r="Q12" i="5"/>
  <c r="O12" i="5"/>
  <c r="O11" i="5"/>
  <c r="Q10" i="5"/>
  <c r="O10" i="5"/>
  <c r="O9" i="5"/>
  <c r="Q9" i="5"/>
  <c r="Q11" i="5"/>
  <c r="P11" i="5"/>
  <c r="F26" i="5"/>
  <c r="E26" i="5"/>
  <c r="Q23" i="5"/>
  <c r="O4" i="5"/>
  <c r="L16" i="5"/>
  <c r="P14" i="5"/>
  <c r="O14" i="5"/>
  <c r="O15" i="5"/>
  <c r="O16" i="5"/>
  <c r="O13" i="5"/>
  <c r="G53" i="10" l="1"/>
  <c r="F6" i="5"/>
  <c r="E6" i="5"/>
  <c r="Q4" i="5"/>
  <c r="P15" i="5" l="1"/>
  <c r="O29" i="5"/>
  <c r="N29" i="5"/>
  <c r="F12" i="8"/>
  <c r="N7" i="5"/>
  <c r="N23" i="5" s="1"/>
  <c r="P23" i="5" s="1"/>
  <c r="Q14" i="5" l="1"/>
  <c r="Q7" i="5"/>
  <c r="O7" i="5"/>
  <c r="Q5" i="5"/>
  <c r="O5" i="5"/>
  <c r="O6" i="5"/>
  <c r="G23" i="5"/>
  <c r="E23" i="5"/>
  <c r="E22" i="5"/>
  <c r="Q16" i="5" l="1"/>
  <c r="Q15" i="5"/>
  <c r="F4" i="5"/>
  <c r="Q24" i="5" l="1"/>
  <c r="P5" i="11"/>
  <c r="E3" i="11" l="1"/>
  <c r="E4" i="11"/>
  <c r="E5" i="11"/>
  <c r="E6" i="11"/>
  <c r="E7" i="11"/>
  <c r="E8" i="11"/>
  <c r="E9" i="11"/>
  <c r="E10" i="11"/>
  <c r="E11" i="11"/>
  <c r="E12" i="11"/>
  <c r="E13" i="11"/>
  <c r="E14" i="11"/>
  <c r="E15" i="11"/>
  <c r="E16" i="11"/>
  <c r="E17" i="11"/>
  <c r="E18" i="11"/>
  <c r="E2" i="11"/>
  <c r="P13" i="11"/>
  <c r="O17" i="11" l="1"/>
  <c r="O18" i="11"/>
  <c r="P18" i="11" s="1"/>
  <c r="N17" i="11"/>
  <c r="N14" i="11"/>
  <c r="N4" i="11"/>
  <c r="O14" i="11"/>
  <c r="O9" i="11"/>
  <c r="O15" i="11"/>
  <c r="N15" i="11"/>
  <c r="O16" i="11"/>
  <c r="N16" i="11"/>
  <c r="O12" i="11"/>
  <c r="N12" i="11"/>
  <c r="N11" i="11"/>
  <c r="P11" i="11" s="1"/>
  <c r="O7" i="11"/>
  <c r="N7" i="11"/>
  <c r="N10" i="11"/>
  <c r="O8" i="11"/>
  <c r="O2" i="11"/>
  <c r="P2" i="11" s="1"/>
  <c r="O4" i="11"/>
  <c r="P4" i="11" s="1"/>
  <c r="O3" i="11"/>
  <c r="N3" i="11"/>
  <c r="O6" i="11"/>
  <c r="N6" i="11"/>
  <c r="P7" i="11" l="1"/>
  <c r="P3" i="11"/>
  <c r="P16" i="11"/>
  <c r="P9" i="11"/>
  <c r="P6" i="11"/>
  <c r="P10" i="11"/>
  <c r="P14" i="11"/>
  <c r="P8" i="11"/>
  <c r="P12" i="11"/>
  <c r="P15" i="11"/>
  <c r="P17" i="11"/>
  <c r="H7" i="11"/>
  <c r="F7" i="11"/>
  <c r="H6" i="11"/>
  <c r="F6" i="11"/>
  <c r="H3" i="11"/>
  <c r="M97" i="10"/>
  <c r="F97" i="10"/>
  <c r="N97" i="10" s="1"/>
  <c r="P97" i="10" s="1"/>
  <c r="F96" i="10"/>
  <c r="G96" i="10" s="1"/>
  <c r="N96" i="10" s="1"/>
  <c r="P96" i="10" s="1"/>
  <c r="M95" i="10"/>
  <c r="F95" i="10"/>
  <c r="G95" i="10" s="1"/>
  <c r="F94" i="10"/>
  <c r="G94" i="10" s="1"/>
  <c r="M93" i="10"/>
  <c r="F93" i="10"/>
  <c r="G93" i="10" s="1"/>
  <c r="N93" i="10" s="1"/>
  <c r="P93" i="10" s="1"/>
  <c r="H92" i="10"/>
  <c r="F92" i="10"/>
  <c r="M88" i="10"/>
  <c r="F88" i="10"/>
  <c r="G88" i="10" s="1"/>
  <c r="M87" i="10"/>
  <c r="F87" i="10"/>
  <c r="N87" i="10" s="1"/>
  <c r="P87" i="10" s="1"/>
  <c r="N86" i="10"/>
  <c r="M86" i="10"/>
  <c r="F86" i="10"/>
  <c r="G86" i="10" s="1"/>
  <c r="M82" i="10"/>
  <c r="H82" i="10" s="1"/>
  <c r="F82" i="10"/>
  <c r="D82" i="10"/>
  <c r="C82" i="10"/>
  <c r="M81" i="10"/>
  <c r="H81" i="10" s="1"/>
  <c r="F81" i="10"/>
  <c r="D81" i="10"/>
  <c r="C81" i="10"/>
  <c r="M80" i="10"/>
  <c r="H80" i="10" s="1"/>
  <c r="F80" i="10"/>
  <c r="D80" i="10"/>
  <c r="C80" i="10"/>
  <c r="G78" i="10"/>
  <c r="E78" i="10" s="1"/>
  <c r="M60" i="10"/>
  <c r="F60" i="10"/>
  <c r="G60" i="10" s="1"/>
  <c r="F59" i="10"/>
  <c r="G59" i="10" s="1"/>
  <c r="M58" i="10"/>
  <c r="F58" i="10"/>
  <c r="N58" i="10" s="1"/>
  <c r="P58" i="10" s="1"/>
  <c r="G57" i="10"/>
  <c r="N57" i="10" s="1"/>
  <c r="P57" i="10" s="1"/>
  <c r="F57" i="10"/>
  <c r="M56" i="10"/>
  <c r="F56" i="10"/>
  <c r="G56" i="10" s="1"/>
  <c r="N56" i="10" s="1"/>
  <c r="P56" i="10" s="1"/>
  <c r="H55" i="10"/>
  <c r="M55" i="10" s="1"/>
  <c r="F55" i="10"/>
  <c r="M51" i="10"/>
  <c r="F51" i="10"/>
  <c r="M50" i="10"/>
  <c r="F50" i="10"/>
  <c r="G50" i="10" s="1"/>
  <c r="N49" i="10"/>
  <c r="P49" i="10" s="1"/>
  <c r="M49" i="10"/>
  <c r="F49" i="10"/>
  <c r="G49" i="10" s="1"/>
  <c r="M45" i="10"/>
  <c r="H45" i="10"/>
  <c r="N45" i="10" s="1"/>
  <c r="P45" i="10" s="1"/>
  <c r="F45" i="10"/>
  <c r="D45" i="10"/>
  <c r="C45" i="10"/>
  <c r="M44" i="10"/>
  <c r="H44" i="10" s="1"/>
  <c r="F44" i="10"/>
  <c r="D44" i="10"/>
  <c r="C44" i="10"/>
  <c r="M43" i="10"/>
  <c r="H43" i="10" s="1"/>
  <c r="N43" i="10" s="1"/>
  <c r="P43" i="10" s="1"/>
  <c r="F43" i="10"/>
  <c r="D43" i="10"/>
  <c r="C43" i="10"/>
  <c r="P34" i="10"/>
  <c r="N34" i="10"/>
  <c r="P33" i="10"/>
  <c r="N33" i="10"/>
  <c r="P32" i="10"/>
  <c r="N32" i="10"/>
  <c r="P31" i="10"/>
  <c r="N31" i="10"/>
  <c r="P30" i="10"/>
  <c r="N30" i="10"/>
  <c r="E30" i="10"/>
  <c r="G21" i="10"/>
  <c r="E21" i="10" s="1"/>
  <c r="E18" i="10"/>
  <c r="D18" i="10"/>
  <c r="C18" i="10"/>
  <c r="N16" i="10"/>
  <c r="N15" i="10"/>
  <c r="N14" i="10"/>
  <c r="N13" i="10"/>
  <c r="N12" i="10"/>
  <c r="N11" i="10"/>
  <c r="N10" i="10"/>
  <c r="N9" i="10"/>
  <c r="N8" i="10"/>
  <c r="N7" i="10"/>
  <c r="N6" i="10"/>
  <c r="N5" i="10"/>
  <c r="N4" i="10"/>
  <c r="N3" i="10"/>
  <c r="N2" i="10"/>
  <c r="B39" i="9"/>
  <c r="B32" i="9"/>
  <c r="C30" i="9"/>
  <c r="B30" i="9"/>
  <c r="B29" i="9"/>
  <c r="C28" i="9"/>
  <c r="B28" i="9"/>
  <c r="B26" i="9"/>
  <c r="B27" i="9" s="1"/>
  <c r="B24" i="9"/>
  <c r="B23" i="9"/>
  <c r="B22" i="9"/>
  <c r="B21" i="9"/>
  <c r="B13" i="9"/>
  <c r="B15" i="9" s="1"/>
  <c r="B12" i="9"/>
  <c r="B11" i="9"/>
  <c r="B6" i="9"/>
  <c r="B5" i="9"/>
  <c r="B4" i="9"/>
  <c r="B3" i="9"/>
  <c r="C25" i="8"/>
  <c r="I25" i="8" s="1"/>
  <c r="C24" i="8"/>
  <c r="I24" i="8" s="1"/>
  <c r="F23" i="8"/>
  <c r="D15" i="7" s="1"/>
  <c r="C23" i="8"/>
  <c r="I23" i="8" s="1"/>
  <c r="C22" i="8"/>
  <c r="I22" i="8" s="1"/>
  <c r="C21" i="8"/>
  <c r="I21" i="8" s="1"/>
  <c r="C20" i="8"/>
  <c r="I20" i="8" s="1"/>
  <c r="C19" i="8"/>
  <c r="I19" i="8" s="1"/>
  <c r="C18" i="8"/>
  <c r="I18" i="8" s="1"/>
  <c r="C17" i="8"/>
  <c r="I17" i="8" s="1"/>
  <c r="C16" i="8"/>
  <c r="I16" i="8" s="1"/>
  <c r="C15" i="8"/>
  <c r="I15" i="8" s="1"/>
  <c r="C14" i="8"/>
  <c r="I14" i="8" s="1"/>
  <c r="C13" i="8"/>
  <c r="I13" i="8" s="1"/>
  <c r="C12" i="8"/>
  <c r="I12" i="8" s="1"/>
  <c r="C11" i="8"/>
  <c r="I11" i="8" s="1"/>
  <c r="F10" i="8"/>
  <c r="D6" i="7" s="1"/>
  <c r="C10" i="8"/>
  <c r="I10" i="8" s="1"/>
  <c r="C9" i="8"/>
  <c r="I9" i="8" s="1"/>
  <c r="C8" i="8"/>
  <c r="I8" i="8" s="1"/>
  <c r="C7" i="8"/>
  <c r="I7" i="8" s="1"/>
  <c r="F6" i="8"/>
  <c r="C6" i="8"/>
  <c r="I6" i="8" s="1"/>
  <c r="C5" i="8"/>
  <c r="I5" i="8" s="1"/>
  <c r="C4" i="8"/>
  <c r="I4" i="8" s="1"/>
  <c r="C3" i="8"/>
  <c r="I3" i="8" s="1"/>
  <c r="F2" i="8"/>
  <c r="D4" i="7" s="1"/>
  <c r="H4" i="7" s="1"/>
  <c r="N4" i="7" s="1"/>
  <c r="I2" i="8"/>
  <c r="B17" i="7"/>
  <c r="K17" i="7" s="1"/>
  <c r="D16" i="7"/>
  <c r="B16" i="7"/>
  <c r="P16" i="7" s="1"/>
  <c r="Q16" i="7" s="1"/>
  <c r="C15" i="7"/>
  <c r="D14" i="7"/>
  <c r="B14" i="7"/>
  <c r="P14" i="7" s="1"/>
  <c r="Q14" i="7" s="1"/>
  <c r="D13" i="7"/>
  <c r="B13" i="7"/>
  <c r="K12" i="7"/>
  <c r="D12" i="7"/>
  <c r="B12" i="7"/>
  <c r="O12" i="7" s="1"/>
  <c r="D11" i="7"/>
  <c r="C11" i="7"/>
  <c r="B11" i="7"/>
  <c r="P11" i="7" s="1"/>
  <c r="Q11" i="7" s="1"/>
  <c r="D10" i="7"/>
  <c r="B10" i="7"/>
  <c r="O10" i="7" s="1"/>
  <c r="D9" i="7"/>
  <c r="B9" i="7"/>
  <c r="K9" i="7" s="1"/>
  <c r="D8" i="7"/>
  <c r="B8" i="7"/>
  <c r="O8" i="7" s="1"/>
  <c r="D7" i="7"/>
  <c r="B7" i="7"/>
  <c r="K7" i="7" s="1"/>
  <c r="C6" i="7"/>
  <c r="E5" i="7"/>
  <c r="D5" i="7"/>
  <c r="C5" i="7"/>
  <c r="B5" i="7"/>
  <c r="O5" i="7" s="1"/>
  <c r="E4" i="7"/>
  <c r="C4" i="7"/>
  <c r="B4" i="7"/>
  <c r="O4" i="7" s="1"/>
  <c r="C3" i="7"/>
  <c r="B3" i="7"/>
  <c r="K3" i="7" s="1"/>
  <c r="D2" i="7"/>
  <c r="C2" i="7"/>
  <c r="B2" i="7"/>
  <c r="D22" i="6"/>
  <c r="B18" i="9" s="1"/>
  <c r="D21" i="6"/>
  <c r="C20" i="6"/>
  <c r="C19" i="6"/>
  <c r="C18" i="6"/>
  <c r="C17" i="6"/>
  <c r="C16" i="6"/>
  <c r="C15" i="6"/>
  <c r="C14" i="6"/>
  <c r="C13" i="6"/>
  <c r="C12" i="6"/>
  <c r="C11" i="6"/>
  <c r="C10" i="6"/>
  <c r="C9" i="6"/>
  <c r="C8" i="6"/>
  <c r="C7" i="6"/>
  <c r="C6" i="6"/>
  <c r="C5" i="6"/>
  <c r="C4" i="6"/>
  <c r="C3" i="6"/>
  <c r="C2" i="6"/>
  <c r="D2" i="6" s="1"/>
  <c r="B19" i="9" s="1"/>
  <c r="B46" i="9"/>
  <c r="M29" i="5"/>
  <c r="M25" i="5"/>
  <c r="M24" i="5"/>
  <c r="M23" i="5"/>
  <c r="M22" i="5"/>
  <c r="M21" i="5"/>
  <c r="M11" i="5"/>
  <c r="M8" i="5"/>
  <c r="M7" i="5"/>
  <c r="P7" i="5"/>
  <c r="M6" i="5"/>
  <c r="M5" i="5"/>
  <c r="M4" i="5"/>
  <c r="E17" i="4"/>
  <c r="D17" i="4"/>
  <c r="C17" i="4"/>
  <c r="E16" i="4"/>
  <c r="D16" i="4"/>
  <c r="C16" i="4"/>
  <c r="D14" i="4"/>
  <c r="D13" i="4"/>
  <c r="D12" i="4"/>
  <c r="D11" i="4"/>
  <c r="C11" i="4"/>
  <c r="C10" i="4"/>
  <c r="C9" i="4"/>
  <c r="D8" i="4"/>
  <c r="B35" i="9" s="1"/>
  <c r="C8" i="4"/>
  <c r="C7" i="4"/>
  <c r="C6" i="4"/>
  <c r="D5" i="4"/>
  <c r="C5" i="4"/>
  <c r="D4" i="4"/>
  <c r="C4" i="4"/>
  <c r="D3" i="4"/>
  <c r="C3" i="4"/>
  <c r="D2" i="4"/>
  <c r="C2" i="4"/>
  <c r="D31" i="3"/>
  <c r="C31" i="3"/>
  <c r="D30" i="3"/>
  <c r="C30" i="3"/>
  <c r="D29" i="3"/>
  <c r="C29" i="3"/>
  <c r="D28" i="3"/>
  <c r="C28" i="3"/>
  <c r="D25" i="3"/>
  <c r="C25" i="3"/>
  <c r="C22" i="3"/>
  <c r="D21" i="3"/>
  <c r="C21" i="3"/>
  <c r="C20" i="3"/>
  <c r="C19" i="3"/>
  <c r="D18" i="3"/>
  <c r="C18" i="3"/>
  <c r="D17" i="3"/>
  <c r="C17" i="3"/>
  <c r="D16" i="3"/>
  <c r="C16" i="3"/>
  <c r="C26" i="3" s="1"/>
  <c r="B45" i="9" s="1"/>
  <c r="D13" i="3"/>
  <c r="C13" i="3"/>
  <c r="C11" i="3"/>
  <c r="C10" i="3"/>
  <c r="C8" i="3"/>
  <c r="C7" i="3"/>
  <c r="C6" i="3"/>
  <c r="D5" i="3"/>
  <c r="C5" i="3"/>
  <c r="D4" i="3"/>
  <c r="C4" i="3"/>
  <c r="D3" i="3"/>
  <c r="C3" i="3"/>
  <c r="D2" i="3"/>
  <c r="C2" i="3"/>
  <c r="F27" i="2"/>
  <c r="B8" i="9" s="1"/>
  <c r="F23" i="2"/>
  <c r="B15" i="7" s="1"/>
  <c r="F10" i="2"/>
  <c r="B6" i="7" s="1"/>
  <c r="I14" i="7" l="1"/>
  <c r="C32" i="3"/>
  <c r="O14" i="7"/>
  <c r="B6" i="5"/>
  <c r="P29" i="5"/>
  <c r="G44" i="10"/>
  <c r="D6" i="6"/>
  <c r="B20" i="9" s="1"/>
  <c r="H7" i="7"/>
  <c r="N7" i="7" s="1"/>
  <c r="P17" i="7"/>
  <c r="Q17" i="7" s="1"/>
  <c r="P21" i="10"/>
  <c r="N51" i="10"/>
  <c r="P51" i="10" s="1"/>
  <c r="G51" i="10"/>
  <c r="B9" i="9"/>
  <c r="N88" i="10"/>
  <c r="P88" i="10" s="1"/>
  <c r="N95" i="10"/>
  <c r="P95" i="10" s="1"/>
  <c r="D8" i="6"/>
  <c r="J2" i="7"/>
  <c r="K11" i="7"/>
  <c r="H13" i="7"/>
  <c r="N13" i="7" s="1"/>
  <c r="K14" i="7"/>
  <c r="B47" i="9"/>
  <c r="P5" i="7"/>
  <c r="Q5" i="7" s="1"/>
  <c r="O16" i="7"/>
  <c r="C14" i="3"/>
  <c r="B44" i="9" s="1"/>
  <c r="J3" i="7"/>
  <c r="H16" i="7"/>
  <c r="N16" i="7" s="1"/>
  <c r="B38" i="9"/>
  <c r="B37" i="9"/>
  <c r="B17" i="9"/>
  <c r="O3" i="7"/>
  <c r="J5" i="7"/>
  <c r="H9" i="7"/>
  <c r="N9" i="7" s="1"/>
  <c r="J12" i="7"/>
  <c r="I16" i="7"/>
  <c r="H17" i="7"/>
  <c r="N17" i="7" s="1"/>
  <c r="B33" i="9"/>
  <c r="N44" i="10"/>
  <c r="P44" i="10" s="1"/>
  <c r="N60" i="10"/>
  <c r="P60" i="10" s="1"/>
  <c r="G92" i="10"/>
  <c r="C15" i="4"/>
  <c r="D15" i="4"/>
  <c r="D4" i="6"/>
  <c r="D19" i="6"/>
  <c r="P2" i="7"/>
  <c r="Q2" i="7" s="1"/>
  <c r="H2" i="7"/>
  <c r="N2" i="7" s="1"/>
  <c r="O2" i="7"/>
  <c r="P4" i="7"/>
  <c r="Q4" i="7" s="1"/>
  <c r="H12" i="7"/>
  <c r="F12" i="7" s="1"/>
  <c r="P12" i="7" s="1"/>
  <c r="Q12" i="7" s="1"/>
  <c r="K16" i="7"/>
  <c r="J17" i="7"/>
  <c r="N21" i="10"/>
  <c r="G43" i="10"/>
  <c r="G45" i="10"/>
  <c r="N50" i="10"/>
  <c r="P50" i="10" s="1"/>
  <c r="N55" i="10"/>
  <c r="P55" i="10" s="1"/>
  <c r="M94" i="10"/>
  <c r="N94" i="10"/>
  <c r="P94" i="10" s="1"/>
  <c r="B36" i="9"/>
  <c r="B40" i="9"/>
  <c r="J15" i="7"/>
  <c r="K15" i="7"/>
  <c r="O15" i="7"/>
  <c r="I15" i="7"/>
  <c r="H15" i="7"/>
  <c r="O6" i="7"/>
  <c r="I6" i="7"/>
  <c r="H6" i="7"/>
  <c r="J6" i="7"/>
  <c r="K6" i="7"/>
  <c r="M59" i="10"/>
  <c r="N59" i="10"/>
  <c r="P59" i="10" s="1"/>
  <c r="G80" i="10"/>
  <c r="N80" i="10"/>
  <c r="P80" i="10" s="1"/>
  <c r="G81" i="10"/>
  <c r="N81" i="10"/>
  <c r="P81" i="10" s="1"/>
  <c r="G82" i="10"/>
  <c r="N82" i="10"/>
  <c r="P82" i="10" s="1"/>
  <c r="P86" i="10"/>
  <c r="J8" i="7"/>
  <c r="O13" i="7"/>
  <c r="I2" i="7"/>
  <c r="I3" i="7"/>
  <c r="P3" i="7"/>
  <c r="K4" i="7"/>
  <c r="K5" i="7"/>
  <c r="I7" i="7"/>
  <c r="O7" i="7"/>
  <c r="K8" i="7"/>
  <c r="I9" i="7"/>
  <c r="O9" i="7"/>
  <c r="K10" i="7"/>
  <c r="H11" i="7"/>
  <c r="N11" i="7" s="1"/>
  <c r="I12" i="7"/>
  <c r="J13" i="7"/>
  <c r="H14" i="7"/>
  <c r="N14" i="7" s="1"/>
  <c r="J16" i="7"/>
  <c r="I17" i="7"/>
  <c r="O17" i="7"/>
  <c r="B2" i="9"/>
  <c r="B42" i="9" s="1"/>
  <c r="B16" i="9"/>
  <c r="G55" i="10"/>
  <c r="M57" i="10"/>
  <c r="G58" i="10"/>
  <c r="N78" i="10"/>
  <c r="G87" i="10"/>
  <c r="M92" i="10"/>
  <c r="M96" i="10"/>
  <c r="G97" i="10"/>
  <c r="F3" i="11"/>
  <c r="J10" i="7"/>
  <c r="H5" i="7"/>
  <c r="N5" i="7" s="1"/>
  <c r="J7" i="7"/>
  <c r="P7" i="7"/>
  <c r="Q7" i="7" s="1"/>
  <c r="H8" i="7"/>
  <c r="N8" i="7" s="1"/>
  <c r="J9" i="7"/>
  <c r="P9" i="7"/>
  <c r="Q9" i="7" s="1"/>
  <c r="H10" i="7"/>
  <c r="N10" i="7" s="1"/>
  <c r="I11" i="7"/>
  <c r="O11" i="7"/>
  <c r="F13" i="7"/>
  <c r="P13" i="7" s="1"/>
  <c r="Q13" i="7" s="1"/>
  <c r="K13" i="7"/>
  <c r="B7" i="9"/>
  <c r="P78" i="10"/>
  <c r="N92" i="10"/>
  <c r="P92" i="10" s="1"/>
  <c r="J4" i="7"/>
  <c r="P8" i="7"/>
  <c r="Q8" i="7" s="1"/>
  <c r="P10" i="7"/>
  <c r="Q10" i="7" s="1"/>
  <c r="I13" i="7"/>
  <c r="I4" i="7"/>
  <c r="I5" i="7"/>
  <c r="I8" i="7"/>
  <c r="I10" i="7"/>
  <c r="J11" i="7"/>
  <c r="J14" i="7"/>
  <c r="B48" i="9" l="1"/>
  <c r="N12" i="7"/>
  <c r="B49" i="9"/>
  <c r="N6" i="7"/>
  <c r="F6" i="7"/>
  <c r="P6" i="7" s="1"/>
  <c r="Q6" i="7" s="1"/>
  <c r="F15" i="7"/>
  <c r="P15" i="7" s="1"/>
  <c r="Q15" i="7" s="1"/>
  <c r="N1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2" authorId="0" shapeId="0" xr:uid="{00000000-0006-0000-0100-000001000000}">
      <text>
        <r>
          <rPr>
            <sz val="10"/>
            <color rgb="FF000000"/>
            <rFont val="Arial"/>
            <family val="2"/>
            <charset val="1"/>
          </rPr>
          <t xml:space="preserve">The sum of the round numbers is ≈80
</t>
        </r>
        <r>
          <rPr>
            <sz val="10"/>
            <color rgb="FF000000"/>
            <rFont val="Arial"/>
            <family val="2"/>
            <charset val="1"/>
          </rPr>
          <t xml:space="preserve">	-Yinon Bar-on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300-000001000000}">
      <text>
        <r>
          <rPr>
            <sz val="10"/>
            <color rgb="FF000000"/>
            <rFont val="Arial"/>
            <family val="2"/>
            <charset val="1"/>
          </rPr>
          <t>0.12 is the green microalgaea
	-Yinon Bar-on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700-000001000000}">
      <text>
        <r>
          <rPr>
            <sz val="10"/>
            <color rgb="FF000000"/>
            <rFont val="Arial"/>
            <family val="2"/>
            <charset val="1"/>
          </rPr>
          <t>Enchytraeids
	-Yinon Bar-on</t>
        </r>
      </text>
    </comment>
    <comment ref="C14" authorId="0" shapeId="0" xr:uid="{00000000-0006-0000-0700-000002000000}">
      <text>
        <r>
          <rPr>
            <sz val="10"/>
            <color rgb="FF000000"/>
            <rFont val="Arial"/>
            <family val="2"/>
            <charset val="1"/>
          </rPr>
          <t>mesozooplankton
	-Yinon Bar-on</t>
        </r>
      </text>
    </comment>
    <comment ref="C15" authorId="0" shapeId="0" xr:uid="{00000000-0006-0000-0700-000003000000}">
      <text>
        <r>
          <rPr>
            <sz val="10"/>
            <color rgb="FF000000"/>
            <rFont val="Arial"/>
            <family val="2"/>
            <charset val="1"/>
          </rPr>
          <t>Jellyfish
	-Yinon Bar-on</t>
        </r>
      </text>
    </comment>
    <comment ref="C16" authorId="0" shapeId="0" xr:uid="{00000000-0006-0000-0700-000004000000}">
      <text>
        <r>
          <rPr>
            <sz val="10"/>
            <color rgb="FF000000"/>
            <rFont val="Arial"/>
            <family val="2"/>
            <charset val="1"/>
          </rPr>
          <t>Only pteropods
	-Yinon Bar-on</t>
        </r>
      </text>
    </comment>
    <comment ref="C18" authorId="0" shapeId="0" xr:uid="{00000000-0006-0000-0700-000005000000}">
      <text>
        <r>
          <rPr>
            <sz val="10"/>
            <color rgb="FF000000"/>
            <rFont val="Arial"/>
            <family val="2"/>
            <charset val="1"/>
          </rPr>
          <t>Only mesopelagic fish
	-Yinon Bar-on</t>
        </r>
      </text>
    </comment>
    <comment ref="C23" authorId="0" shapeId="0" xr:uid="{00000000-0006-0000-0700-000006000000}">
      <text>
        <r>
          <rPr>
            <sz val="10"/>
            <color rgb="FF000000"/>
            <rFont val="Arial"/>
            <family val="2"/>
            <charset val="1"/>
          </rPr>
          <t>nano-pico protists
	-Yinon Bar-on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Edward Tekwa</author>
  </authors>
  <commentList>
    <comment ref="O12" authorId="0" shapeId="0" xr:uid="{284FB751-29DD-EB41-841F-58E66EF93815}">
      <text>
        <r>
          <rPr>
            <b/>
            <sz val="10"/>
            <color rgb="FF000000"/>
            <rFont val="Tahoma"/>
            <family val="2"/>
          </rPr>
          <t>Edward Tekwa:</t>
        </r>
        <r>
          <rPr>
            <sz val="10"/>
            <color rgb="FF000000"/>
            <rFont val="Tahoma"/>
            <family val="2"/>
          </rPr>
          <t xml:space="preserve">
</t>
        </r>
        <r>
          <rPr>
            <sz val="10"/>
            <color rgb="FF000000"/>
            <rFont val="Tahoma"/>
            <family val="2"/>
          </rPr>
          <t>check mean is smaller than min</t>
        </r>
      </text>
    </comment>
  </commentList>
</comments>
</file>

<file path=xl/sharedStrings.xml><?xml version="1.0" encoding="utf-8"?>
<sst xmlns="http://schemas.openxmlformats.org/spreadsheetml/2006/main" count="861" uniqueCount="425">
  <si>
    <t>Summary table for “The Biomass Distribution on Earth”</t>
  </si>
  <si>
    <t>Yinon M. Bar-On, Ron Phillips &amp; Ron Milo</t>
  </si>
  <si>
    <t>Table of Contents</t>
  </si>
  <si>
    <t>These spreadsheets describe the results of our analysis</t>
  </si>
  <si>
    <t>Each sheet describes the data supporting each table and figure in the text and SI</t>
  </si>
  <si>
    <t>Tab name</t>
  </si>
  <si>
    <t>Content</t>
  </si>
  <si>
    <t>Table1 &amp; Fig1</t>
  </si>
  <si>
    <t>Results supporting the values presented in Table 1 and Figure 1</t>
  </si>
  <si>
    <t>Fig2A</t>
  </si>
  <si>
    <t>Results supporting the values presented in Figure 2A</t>
  </si>
  <si>
    <t>Fig2B</t>
  </si>
  <si>
    <t>Results supporting the values presented in Figure 2B</t>
  </si>
  <si>
    <t>Fig2C</t>
  </si>
  <si>
    <t>Results supporting the values presented in Figure 2C</t>
  </si>
  <si>
    <t>FigS1</t>
  </si>
  <si>
    <t>Results supporting the values presented in Figure S1</t>
  </si>
  <si>
    <t>FigS2-S3</t>
  </si>
  <si>
    <t>Results supporting the values presented in Figure S2 and Figure S3</t>
  </si>
  <si>
    <t>Table S1</t>
  </si>
  <si>
    <t>Results supporting the values presented in Table S1</t>
  </si>
  <si>
    <t>Data mentioned in MS</t>
  </si>
  <si>
    <t>Results supporting the values presented in the manuscript</t>
  </si>
  <si>
    <t>Biomass [Gt C]</t>
  </si>
  <si>
    <t>Rounded biomass [Gt C]</t>
  </si>
  <si>
    <t>Uncertainty</t>
  </si>
  <si>
    <t>Total biomass [Gt C]</t>
  </si>
  <si>
    <t>Rounded total biomass [Gt C]</t>
  </si>
  <si>
    <t>Total uncertainty</t>
  </si>
  <si>
    <t>Bacteria</t>
  </si>
  <si>
    <t>Terrestrial deep subsurface</t>
  </si>
  <si>
    <t>Marine</t>
  </si>
  <si>
    <t>Soil</t>
  </si>
  <si>
    <t>Marine deep subsurface</t>
  </si>
  <si>
    <t>Archaea</t>
  </si>
  <si>
    <t>Fungi</t>
  </si>
  <si>
    <t>Terrestrial</t>
  </si>
  <si>
    <t>Animals</t>
  </si>
  <si>
    <t>Annelids</t>
  </si>
  <si>
    <t>Terrestrial arthropods</t>
  </si>
  <si>
    <t>Marine arthropods</t>
  </si>
  <si>
    <t>Cnidarians</t>
  </si>
  <si>
    <t>Molluscs</t>
  </si>
  <si>
    <t>Nematodes</t>
  </si>
  <si>
    <t>Fish</t>
  </si>
  <si>
    <t>Livestock</t>
  </si>
  <si>
    <t>Humans</t>
  </si>
  <si>
    <t>Wild birds</t>
  </si>
  <si>
    <t>Wild mammals</t>
  </si>
  <si>
    <t>Protists</t>
  </si>
  <si>
    <t>Viruses</t>
  </si>
  <si>
    <t>Plants</t>
  </si>
  <si>
    <t>Total biomass</t>
  </si>
  <si>
    <t>Environment</t>
  </si>
  <si>
    <t>Taxon</t>
  </si>
  <si>
    <t>Soil Bacteria</t>
  </si>
  <si>
    <t>Soil Archaea</t>
  </si>
  <si>
    <t>Wild land mammals</t>
  </si>
  <si>
    <t>Terrestrial protists</t>
  </si>
  <si>
    <t>Sum</t>
  </si>
  <si>
    <t>Marine Bacteria</t>
  </si>
  <si>
    <t>Marine Archaea</t>
  </si>
  <si>
    <t>Cnidaria</t>
  </si>
  <si>
    <t>Marine protists</t>
  </si>
  <si>
    <t>Wild marine mammals</t>
  </si>
  <si>
    <t>Deep subsurface</t>
  </si>
  <si>
    <t>Marine Deep Bacteria</t>
  </si>
  <si>
    <t>Terrestrial Deep Bacteria</t>
  </si>
  <si>
    <t>Marine Deep Archaea</t>
  </si>
  <si>
    <t>Terrestrial Deep Archaea</t>
  </si>
  <si>
    <t>Remarks</t>
  </si>
  <si>
    <t>Marine - seagrass, macroalgaea and micro green algaea (50% of the picoeukaryote biomass)</t>
  </si>
  <si>
    <t>Arthropods</t>
  </si>
  <si>
    <t>Producers</t>
  </si>
  <si>
    <t>Consumers</t>
  </si>
  <si>
    <t>Biomass</t>
  </si>
  <si>
    <t>Soil bacteria</t>
  </si>
  <si>
    <t>Soil archaea</t>
  </si>
  <si>
    <t>Soil fungi</t>
  </si>
  <si>
    <t>Soil protists</t>
  </si>
  <si>
    <t>Seagrass</t>
  </si>
  <si>
    <t>Marine bacteria</t>
  </si>
  <si>
    <t>Marine archaea</t>
  </si>
  <si>
    <t>Bacterial picophytoplankton</t>
  </si>
  <si>
    <t>Diatoms</t>
  </si>
  <si>
    <t>Phaeocystis</t>
  </si>
  <si>
    <t>Group</t>
  </si>
  <si>
    <t>Biomass [g C]</t>
  </si>
  <si>
    <t>Number of individuals</t>
  </si>
  <si>
    <t>Number of species</t>
  </si>
  <si>
    <t>Min BS (g)</t>
  </si>
  <si>
    <t>Max BS (g)</t>
  </si>
  <si>
    <t>Body size (g)</t>
  </si>
  <si>
    <t>Fake Min Body Size</t>
  </si>
  <si>
    <t>Fake Max Body Size</t>
  </si>
  <si>
    <t>Biomass/species (g)</t>
  </si>
  <si>
    <t>alternative # species</t>
  </si>
  <si>
    <t>log(BS)</t>
  </si>
  <si>
    <t>log(Biom)</t>
  </si>
  <si>
    <t>log(avgBiom) - uniform distr</t>
  </si>
  <si>
    <t>avgBiom - uniform distr</t>
  </si>
  <si>
    <t>major taxa total:</t>
  </si>
  <si>
    <t>Abundance</t>
  </si>
  <si>
    <t>Diversity</t>
  </si>
  <si>
    <t>Cell types</t>
  </si>
  <si>
    <t>Genes</t>
  </si>
  <si>
    <t>Genome size</t>
  </si>
  <si>
    <t>Biomass/species</t>
  </si>
  <si>
    <t>Plants (trees)</t>
  </si>
  <si>
    <t>18043</t>
  </si>
  <si>
    <t>Wild Mammals</t>
  </si>
  <si>
    <t>Biomass [ Gt C]</t>
  </si>
  <si>
    <t>Rounded number of individuals</t>
  </si>
  <si>
    <t>Total number of individuals</t>
  </si>
  <si>
    <t>Rounded total number of individuals</t>
  </si>
  <si>
    <t>Original Value</t>
  </si>
  <si>
    <t>Rounded Value</t>
  </si>
  <si>
    <t>Total biomass of Earth</t>
  </si>
  <si>
    <t>Total biomass of plants</t>
  </si>
  <si>
    <t>Total biomass of animals</t>
  </si>
  <si>
    <t>Total biomass of bacteria</t>
  </si>
  <si>
    <t>Total biomass of archaea</t>
  </si>
  <si>
    <t>Total biomass of marine biota</t>
  </si>
  <si>
    <t>Fraction of plants out of total biomass</t>
  </si>
  <si>
    <t>Fraction of bacteria out of total biomass</t>
  </si>
  <si>
    <t>Probability of plant biomass being larger than bacterial biomass</t>
  </si>
  <si>
    <t>Abovegound biomass</t>
  </si>
  <si>
    <t>Fraction of aboveground biomss</t>
  </si>
  <si>
    <t>Belowground biomass</t>
  </si>
  <si>
    <t>Biomass of roots</t>
  </si>
  <si>
    <t>Biomass of microbes in soil and deep subsurface</t>
  </si>
  <si>
    <t>Fraction of plant biomass that is woody</t>
  </si>
  <si>
    <t>Fraction of deep subsurface biomass of of total bacterial biomass</t>
  </si>
  <si>
    <t>Non-woody biomass</t>
  </si>
  <si>
    <t>Terrestrial and marine bacteria</t>
  </si>
  <si>
    <t>Biomass of fungi</t>
  </si>
  <si>
    <t>Biomass of Antarctic krill</t>
  </si>
  <si>
    <t>Biomass of humans</t>
  </si>
  <si>
    <t>Biomass of livestock</t>
  </si>
  <si>
    <t>Biomass of wild mammals</t>
  </si>
  <si>
    <t>Biomass of poultry</t>
  </si>
  <si>
    <t>Biomass of wild birds</t>
  </si>
  <si>
    <t>Amount by which poultry is more than wild birds</t>
  </si>
  <si>
    <t>Biomass of animals</t>
  </si>
  <si>
    <t>Biomass of arthropods</t>
  </si>
  <si>
    <t>Biomass of fish</t>
  </si>
  <si>
    <t>Prehuman biomass of wild land mammals</t>
  </si>
  <si>
    <t>Based on Fig.3 from Barnosky</t>
  </si>
  <si>
    <t>Pesent day wild land mammal biomass</t>
  </si>
  <si>
    <t>Fold change between prehuman and present day biomass of wild land mammals</t>
  </si>
  <si>
    <t>Prehuman biomass of marine mammals</t>
  </si>
  <si>
    <t>Figure3-89 in Chrestensen</t>
  </si>
  <si>
    <t>Pesent day wild marine mammal biomass</t>
  </si>
  <si>
    <t>Fold change between prehuman and present day biomass of wild marine mammals</t>
  </si>
  <si>
    <t>Fold change between prehuman and present day biomass of wild mammals</t>
  </si>
  <si>
    <t>Fold change increase between prehuman and present day biomass of mammals</t>
  </si>
  <si>
    <t>Prehuman mammal biomass</t>
  </si>
  <si>
    <t>Current mammal biomass</t>
  </si>
  <si>
    <t>Decrease in biomass of fish</t>
  </si>
  <si>
    <t>Decrease in total biomass</t>
  </si>
  <si>
    <t>Assuming potential biomass based on the abstract in Erb et al.</t>
  </si>
  <si>
    <t>Total biomass of crops</t>
  </si>
  <si>
    <t>From Erb et al. 2017</t>
  </si>
  <si>
    <t>Total terrestrial biomass</t>
  </si>
  <si>
    <t>Total marine biomass</t>
  </si>
  <si>
    <t>Marine producers</t>
  </si>
  <si>
    <t>Marine consumers</t>
  </si>
  <si>
    <t>Fraction of microbial marine biomass</t>
  </si>
  <si>
    <t>Fraction of marine deep subsurface biomass out of total biomass</t>
  </si>
  <si>
    <t>Biomass of termites</t>
  </si>
  <si>
    <t>taxonomic level</t>
  </si>
  <si>
    <t>Body size (g) (average?)</t>
  </si>
  <si>
    <t>Individual biomass [g C]</t>
  </si>
  <si>
    <t>Biomass [GT C]</t>
  </si>
  <si>
    <t>Biomass/species [GT]</t>
  </si>
  <si>
    <t xml:space="preserve">Biomass/species [GT C] </t>
  </si>
  <si>
    <t>Taxa</t>
  </si>
  <si>
    <t>%Taxon biomass</t>
  </si>
  <si>
    <t>reference</t>
  </si>
  <si>
    <t>notes</t>
  </si>
  <si>
    <t>focal subset estimates within major taxa:</t>
  </si>
  <si>
    <t>Pinaceae</t>
  </si>
  <si>
    <t>family</t>
  </si>
  <si>
    <t>smallest- siberian dwarf pine, largest ponderosa pine, average taken from most abundant (loblolly pine)</t>
  </si>
  <si>
    <t>~70% woody/stems which are metabolically inert, 50% water content</t>
  </si>
  <si>
    <t>Pelagibacter ubique</t>
  </si>
  <si>
    <t>doi:10.1038/nature01240</t>
  </si>
  <si>
    <t>Archea</t>
  </si>
  <si>
    <t>Antarctic krill</t>
  </si>
  <si>
    <t>Termites</t>
  </si>
  <si>
    <t>Ants</t>
  </si>
  <si>
    <t>12649</t>
  </si>
  <si>
    <t>Copepods</t>
  </si>
  <si>
    <t>13000</t>
  </si>
  <si>
    <t>Earthworms</t>
  </si>
  <si>
    <t>Ceratoscopelus warmingii</t>
  </si>
  <si>
    <t>https://www.nature.com/articles/ncomms4271#results, fish base</t>
  </si>
  <si>
    <t>to get the min/max body size, I assumed length and weight were proportional and used the min/max reported length on fishbase to estimate weight in g, first calculated biomass in kg, converted to grams and converted to gigatonnes within the cell. to calculate g C, assumed 70% water weight, and .5 of remaining mass is carbon, water content estimate from  http://www.fao.org/3/x5916e01.htm</t>
  </si>
  <si>
    <t>Diaphus garmani</t>
  </si>
  <si>
    <t>Myctophum punctatum</t>
  </si>
  <si>
    <t>*ed: data deficient?</t>
  </si>
  <si>
    <t>Ovis aries</t>
  </si>
  <si>
    <t>FAO 2017 estimate</t>
  </si>
  <si>
    <t>first calculated biomass in grams and converted to gigatonnes within the cell</t>
  </si>
  <si>
    <t>Bos taurus</t>
  </si>
  <si>
    <t>Pigs</t>
  </si>
  <si>
    <t>Picoprotists</t>
  </si>
  <si>
    <t>Rhizarians</t>
  </si>
  <si>
    <t>Quelea quelea</t>
  </si>
  <si>
    <t>https://www.jstor.org/stable/3545707</t>
  </si>
  <si>
    <t>to calculate g C, assumed 70% water weight, and .5 of remaining mass is carbon</t>
  </si>
  <si>
    <t>Zenaida macroura</t>
  </si>
  <si>
    <t>https://www.allaboutbirds.org/guide/Mourning_Dove/overview , https://eol.org/docs/what-is-eol/traitbank , https://digitalcommons.unl.edu/cgi/viewcontent.cgi?referer=https://www.google.com/&amp;httpsredir=1&amp;article=1329&amp;context=usfwspubs</t>
  </si>
  <si>
    <t>Turdus migratorius</t>
  </si>
  <si>
    <t>Loxodonta africana spp</t>
  </si>
  <si>
    <t>https://www.explainxkcd.com/wiki/index.php/1338:_Land_Mammals</t>
  </si>
  <si>
    <t>Physeter macrocephalus</t>
  </si>
  <si>
    <t>doi: 10.1371/journal.pone.0012444, https://dx.doi.org/10.14288/1.0074892</t>
  </si>
  <si>
    <t>Rattus norvegicus</t>
  </si>
  <si>
    <t>Species specific</t>
  </si>
  <si>
    <t>Populus tremuloides</t>
  </si>
  <si>
    <t>https://www.fs.fed.us/database/feis/plants/tree/poptre/all.html</t>
  </si>
  <si>
    <t>Major taxa without focal subsets</t>
  </si>
  <si>
    <t>Min BS taxon</t>
  </si>
  <si>
    <t>Min BS reference</t>
  </si>
  <si>
    <t>Min BS doi</t>
  </si>
  <si>
    <t>Max BS taxon</t>
  </si>
  <si>
    <t>Max BS reference</t>
  </si>
  <si>
    <t>Max BS doi</t>
  </si>
  <si>
    <t>Wolffiella/ Spirodela polyrhiza</t>
  </si>
  <si>
    <t>The Spirodela polyrhiza genome reveals insights into its neotenous reduction fast growth and aquatic lifestyle</t>
  </si>
  <si>
    <t>https://doi.org/10.1038/ncomms4311</t>
  </si>
  <si>
    <t>Sequoiadendron giganteum</t>
  </si>
  <si>
    <t>Encyclopedia Britannica and National Parks Service</t>
  </si>
  <si>
    <t>https://www.britannica.com/plant/giant-sequoia</t>
  </si>
  <si>
    <t>https://microbewiki.kenyon.edu/index.php/Pelagibacter_ubique, doi:10.1371/journal.pone.0019725</t>
  </si>
  <si>
    <t>Thiomargarita namibiensis</t>
  </si>
  <si>
    <t>Big bacteria.</t>
  </si>
  <si>
    <t>10.1146/annurev.micro.55.1.105</t>
  </si>
  <si>
    <t>Nanoarchaeum equitans </t>
  </si>
  <si>
    <t>10.1038/417063a</t>
  </si>
  <si>
    <t>Staphylothermus marinus</t>
  </si>
  <si>
    <t>Stygotantulus Stocki</t>
  </si>
  <si>
    <t>Length–weight relationships of eight freshwater planktonic crustacean species in Japan, New Tantulocarid, Stygotantulus Stocki, Parasitic on Harpacticoid Copepods, With an Analysis of the Phylogenetic Relationships Within the Maxillopoda. I could only find a length, so I converted that to mass using the length weight relationship in the other paper about Japanese freshwater crustacea</t>
  </si>
  <si>
    <t>https://doi.org/10.1046/j.1365-2427.1998.00267.x, https://doi.org/10.1163/193724089X00278</t>
  </si>
  <si>
    <t>Homarus americanus</t>
  </si>
  <si>
    <t>I could only find this in the guiness book of world records</t>
  </si>
  <si>
    <t>Microchaetus microchaetus</t>
  </si>
  <si>
    <t>Guiness book of world records, 1997. Couldn't find anything else</t>
  </si>
  <si>
    <t>Mesonychoteuthis hamiltoni)</t>
  </si>
  <si>
    <t>New Zealand Government News website reports the weight of caught colossal squid , and the catch is referenced in the scientific article about eye evolution in the animal,  A Unique Advantage for Giant Eyesin Giant Squid</t>
  </si>
  <si>
    <t>http://www.beehive.govt.nz/node/28451, https://doi.org/10.1016/j.cub.2012.02.031</t>
  </si>
  <si>
    <t xml:space="preserve"> Article is where it says the smallest fish was not weighed, but is very close in size to stout infantfish, so I will use the size for that fish listed on fishbase</t>
  </si>
  <si>
    <t>https://www.fishbase.se/summary/61753 (fishbase), https://www.abc.net.au/science/articles/2006/01/25/1555027.htm (article)</t>
  </si>
  <si>
    <t>Paedocypris progenetica </t>
  </si>
  <si>
    <t>https://peerj.com/articles/715/#table-1 ,</t>
  </si>
  <si>
    <t>Rhincodon typus) </t>
  </si>
  <si>
    <t>found a paper with the sizes of marine megafuna! Sizing ocean giants: patterns of intraspecific size variation in marine megafauna</t>
  </si>
  <si>
    <t>Sizing ocean giants: patterns of intraspecific size variation in marine megafauna</t>
  </si>
  <si>
    <t>10.7717/peerj.715</t>
  </si>
  <si>
    <t>Balaenoptera musculus</t>
  </si>
  <si>
    <t>Craseonycteris thonglongyai</t>
  </si>
  <si>
    <t>https://doi.org/10.2307/3503984</t>
  </si>
  <si>
    <t>Mammalian Species Journal article</t>
  </si>
  <si>
    <t>Reptiles</t>
  </si>
  <si>
    <t>Amphibians</t>
  </si>
  <si>
    <t>Neotenotrocha sterreri</t>
  </si>
  <si>
    <t>Carbon Content reference</t>
  </si>
  <si>
    <t>Fierer N, et al. (2009) Global patterns in belowground communities. Ecol Lett 12(11):1238–1249.</t>
  </si>
  <si>
    <t>Williams CB (1960) The Range and Pattern of Insect Abundance. Am Nat 94(875):137–151.</t>
  </si>
  <si>
    <t>Fagerbakke KM, Norland S, Heldal M (1999) The inorganic ion content of native aquatic bacteria. Can J Microbiol 45: 304–311. p.307 left column 4th paragraph and table 2PubMed ID10420582</t>
  </si>
  <si>
    <t>Energy Starved Candidatus Pelagibacter Ubique Substitutes Light-Mediated ATP Production for Endogenous Carbon Respiration., used cell volume and then converted to dry mass carbon using the 55fg/microm^3 on BioNumbers from Harvard  ****note, tried using the biovolume to grams carbon from Bar-On supplement, but the results were orders of magnitude off from my original estimate and Ed's</t>
  </si>
  <si>
    <t>A new phylum of Archaea represented by a nanosized hyperthermophilic symbiont., Found the diameter was 400 nanometers, but couldn't find a volume/mass estimate. Calculated the volume assuming it's a sphere and used cell volume and then converted to dry mass carbon using the 55fg/microm^3 on BioNumbers from Harvard  ****note, tried using the biovolume to grams carbon from Bar-On supplement, but the results were orders of magnitude off from my original estimate and Ed's</t>
  </si>
  <si>
    <t>https://www.engineeringtoolbox.com/weigt-wood-d_821.html for wet weight to dry weight, 50% carbon from Bar-On and Fukuda R, Ogawa H, Nagata T, Koike I I (1998) Direct determination of carbon and nitrogen contents of natural bacterial assemblages in marine environments. Appl Environ Microbiol 64(9):3352–3358.</t>
  </si>
  <si>
    <t>dry weight to wet weight from Weight-to-weight conversion factors for marine benthic macroinvertebrates MEPS 163:245-251 (1998)  -  doi:10.3354/meps163245 ** values from Table 1 for gastropoda (min body size) and cephlapoda (max body size), carbon content per unit dry weight from The adenosine triphosphate content of some marine bivalve molluscs https://doi.org/10.1016/0022-0981(77)90096-X</t>
  </si>
  <si>
    <t>Ammonicera minortalis</t>
  </si>
  <si>
    <t>Seven new hypselostomatid species from China, including some of the world’s smallest land snails (Gastropoda, Pulmonata, Orthurethra), shell length to weight from Weight-Length Regression Models for Three Aquatic Gastropod Populations DOI: 10.2307/2423940</t>
  </si>
  <si>
    <t>30% dry weight from Bar-On, carbon content of dry weight 50%</t>
  </si>
  <si>
    <t xml:space="preserve">Greeffiella dasyura </t>
  </si>
  <si>
    <t>10.1163/15685411-00002930</t>
  </si>
  <si>
    <t xml:space="preserve">https://onlinelibrary.wiley.com/doi/pdf/10.1111/j.1463-6409.1994.tb00379.x?casa_token=-FWUfF0fXO4AAAAA:cctyA_Zzy3bfZsxnw3uKXH-w-bBVF2qXq6BeWHalMV1YiAoEpxg7aWQGifkiSmKOdyGnN1PdoMgas2M, DOI:10.1017/S0025315409991408, </t>
  </si>
  <si>
    <t>looked at Fierer et al. (144), no L/W equations, but assume 50% carbon content, A new genus and species of Dorvilleidae (Annelida, Polychaeta) from Bermuda, with a phylogenetic analysis of Dorvilleidae, Iphitimidae and Dinophilidae for width and length, for corresponding weight, used the Appendix1 table of Length-weight relationships of 216 North Sea benthic invertebrates and fish for the two species of the order Eunicida, which contains the min taxon reported here. Averaged between the two sets of regression coefficients. Average dry to wet weight for annelids is 15%</t>
  </si>
  <si>
    <t>Body size distribution of free-living marine nematodes from a Caribbean coral reef , there is apparently a deep sea nematode that is the smallest but can't find the species name anywhere... This should be on the same order of magnitude at least, and there is reference in this article to how that minimum size is close to the theoretical minimum nematode size. Also evidence of right skew. Also used the L/W formula from this paper to get mass, wet weight to dry weight from Nematode biomass and morphometric attributes as biological indicators of local environmental conditions in Arctic fjord, about 15% same as annelids. Used annelid carbon content of 50% as in Fierer et all (144)</t>
  </si>
  <si>
    <t>Placentonema gigantissima</t>
  </si>
  <si>
    <t>Original article is in Russian, but seems to be vetted enough that natural history collections reference it http://www.nhc.ed.ac.uk/index.php?page=24.25.333.369. Used the same L/W relationships and dry/wet and carbon as smaller nematode</t>
  </si>
  <si>
    <t>The weight of nations: an estimation of adult human biomass</t>
  </si>
  <si>
    <t> doi: 10.1186/1471-2458-12-439.</t>
  </si>
  <si>
    <t xml:space="preserve">30% dry weight to wet weight and 50% carbon from dry weight Bar-On </t>
  </si>
  <si>
    <t>*</t>
  </si>
  <si>
    <t>**((8400000*25000/1.7)^2)*0.000001/1000000*1.13*0.15*0.5** WRONG</t>
  </si>
  <si>
    <t>Mellisuga helenae</t>
  </si>
  <si>
    <t>https://animaldiversity.org/accounts/Mellisuga_helenae/</t>
  </si>
  <si>
    <t>https://animaldiversity.org/accounts/Struthio_camelus/</t>
  </si>
  <si>
    <t>Struthio camelus</t>
  </si>
  <si>
    <t>Psammohydra nanna </t>
  </si>
  <si>
    <t xml:space="preserve">What’s in a jellyfish? Proximate and elemental composition and biometric relationships for use in biogeochemical studies. </t>
  </si>
  <si>
    <t xml:space="preserve">doi: 10.1890/11-0302.1. </t>
  </si>
  <si>
    <t>What’s in a jellyfish? Proximate and elemental composition and biometric relationships for use in biogeochemical studies. Jellyfish Body Plans Provide Allometric Advantages beyond Low Carbon Content for the grams in carbon per unit volume, assume shape is a sphere</t>
  </si>
  <si>
    <t>Cyanea capillata</t>
  </si>
  <si>
    <t xml:space="preserve">What’s in a jellyfish? Proximate and elemental composition and biometric relationships for use in biogeochemical studies. , Heard, J. 2005. Cyanea capillata. Lion’s Mane Jellyfish. Marine Life Information Network: Biology and Sensitivity Key Information Sub-programme. Marine Biological Association of the United Kingdom, Plymouth. </t>
  </si>
  <si>
    <t>Macrocystis pyrifera</t>
  </si>
  <si>
    <t>https://cimioutdoored.org/kelp-forest/ for mass, FAO.org for wet to dry weight, Carbon and nitrogen content of Laminaria saccharina in the eastern English Channel: Biometrics and seasonal variations for the average carbon content of seaweed</t>
  </si>
  <si>
    <t>Ostreococcus tauri</t>
  </si>
  <si>
    <t>The tiny eukaryote Ostreococcus provides genomic insights into the paradox of plankton speciation for cell size, used this table for the biovolume to carbon conversion, https://bionumbers.hms.harvard.edu/files/Cell%20carbon,%20volume%20and%20surface%20area,%20and%20ratios%20of%20C-A%20and%20C-V%20for%20various%20phytoplankton%20organisms.pdf</t>
  </si>
  <si>
    <t>https://doi.org/10.1073/pnas.0611046104</t>
  </si>
  <si>
    <t>Rivaling the World's Smallest Reptiles: Discovery of Miniaturized and Microendemic New Species of Leaf Chameleons (Brookesia) from Northern Madagascar</t>
  </si>
  <si>
    <t>10.1371/journal.pone.0031314</t>
  </si>
  <si>
    <t>Brookseia</t>
  </si>
  <si>
    <t xml:space="preserve">The decline of the Chinese giant salamander Andrias davidianus and implications for its conservation </t>
  </si>
  <si>
    <t xml:space="preserve"> https://doi.org/10.1017/S0030605304000341</t>
  </si>
  <si>
    <t>Ecological Guild Evolution and the Discovery of the World's Smallest Vertebrate</t>
  </si>
  <si>
    <t>https://doi.org/10.1371/journal.pone.0029797</t>
  </si>
  <si>
    <t>Paedophryne amauensis</t>
  </si>
  <si>
    <t>Andrias davidianus</t>
  </si>
  <si>
    <t>Crocodylus porosus</t>
  </si>
  <si>
    <t>https://animaldiversity.org/accounts/Crocodylus_porosus/</t>
  </si>
  <si>
    <t>30% dry weight to wet weight and 50% carbon from dry weight</t>
  </si>
  <si>
    <t>Log body size range</t>
  </si>
  <si>
    <t>Mean bs</t>
  </si>
  <si>
    <t>Mean body size</t>
  </si>
  <si>
    <t>Min body size</t>
  </si>
  <si>
    <t>Max body size</t>
  </si>
  <si>
    <t>Min bs note</t>
  </si>
  <si>
    <t>Max bs note</t>
  </si>
  <si>
    <t>Rhincodon typus</t>
  </si>
  <si>
    <t>Mesonychoteuthis hamiltoni</t>
  </si>
  <si>
    <t>Holcus mollis (grassland C density from Erb 17 x max genet size De Witte 10)</t>
  </si>
  <si>
    <t>Mean bs note</t>
  </si>
  <si>
    <t>Posidonia oceanica (C density from Fourqurean 12 x genet size rounded to 1km diameter in Arnaud-Haond 12)</t>
  </si>
  <si>
    <t>Calamagrostis epigejos (grassland C density from Erb 17 x genet size for this representative grass species from de Witte 10)</t>
  </si>
  <si>
    <t>Archegozetes longisetosus</t>
  </si>
  <si>
    <t>Birgus latro</t>
  </si>
  <si>
    <t>African giant earthworm</t>
  </si>
  <si>
    <t>bee hummingbird</t>
  </si>
  <si>
    <t>African bush elephant</t>
  </si>
  <si>
    <t>cow</t>
  </si>
  <si>
    <t>from Hern et al (1999)</t>
  </si>
  <si>
    <t>Saccharomyces https://www.ncbi.nlm.nih.gov/pmc/articles/PMC5697875/</t>
  </si>
  <si>
    <t>chicken layers Hatton</t>
  </si>
  <si>
    <t>Dendrobaena mammalis Phillipson 1978; in Damuth 1987 (Ref: 531)</t>
  </si>
  <si>
    <t>Armillaria ostoyae Anderson et al/</t>
  </si>
  <si>
    <t>Porites lutea, Brown 09 Coral Reefs: 10.1007/s00338-009-0494-8</t>
  </si>
  <si>
    <t>Hard Coral</t>
  </si>
  <si>
    <t>geometric mean of two assumptions: corallite diameter^2 or max colony size^2 converted to volume, assuming branching morphotype for "competitive" and "weedy" corals, and massive morphotype for "generalist" and "stress-tolerant" corals  (House et al. 18, PeerJ). Calculation for each is: coral cover contributions for 4 types (Darling et al. 19 Nat Ecol Evol) x size x skeletal density x C per CaCO3 (Darling et al. 12 Ecol Let). Biomass assumes world surface covered by coral (Bar-On references) has living reef height of corallite or colony diameter. Total coral area (if 100% cover) is from Harris et al. 14 Marine Geol.</t>
  </si>
  <si>
    <t>Leptopsammia pruvoti, Caroselli et al. 14 PloS One; density from Darling et al. 12 Ecol Let for generalist corals</t>
  </si>
  <si>
    <t>Halophila decipiens</t>
  </si>
  <si>
    <t>I couldn't find a species that represents the smallest macroalgae. Instead, I used the size reported in as the lower size range for macroalgae and used the carbon content for kelp to scale up.</t>
  </si>
  <si>
    <t>Prochlorococcus spp</t>
  </si>
  <si>
    <t>couldn't find a particular genus/species that is the largest, so using the cutoff for "pico"phyoplankton of 2 micrometers. Can't find a generic relationship between carbon content and diameter for the specific picophytoplankton groups, so I will assume that mass in carbon per cell is proportional to diatmeter and use the gC/diameter relationship from the smallest, which I do have.</t>
  </si>
  <si>
    <t>Batrachochytrium dendrohabditis has a free-living zoospore stage 2µm</t>
  </si>
  <si>
    <t>0.2µm Crenarchaeota</t>
  </si>
  <si>
    <t>0.8µm Crenarchaeota</t>
  </si>
  <si>
    <t>Myamoeba 2µm https://academic.oup.com/femsre/article/42/3/293/4855940</t>
  </si>
  <si>
    <t>Dictyamoeba "several mm in length" = 2mm https://www.sciencedirect.com/science/article/pii/S1434461015000188</t>
  </si>
  <si>
    <t>Protohabditis hortulana 189µm, https://www.ncbi.nlm.nih.gov/pubmed/27470864</t>
  </si>
  <si>
    <t>6000µm https://esajournals-onlinelibrary-wiley-com.proxybz.lib.montana.edu:3443/doi/pdfdirect/10.1890/11-0546.1</t>
  </si>
  <si>
    <t>smallest blade of grass? Mibora minima dune grass  607mg/80.6individuals =7.5mg=0.0075g dry weight, = carbon 0.00375g https://www.jstor.org/stable/pdf/2259004.pdf</t>
  </si>
  <si>
    <t>Mean extant mammal body size by species count from Smith et al. 18, Science.</t>
  </si>
  <si>
    <t xml:space="preserve">Guadalupe fur seal (Arctocephalus townsendi) 0.027 tonnes wet weight, Christensen 06 (thesis) </t>
  </si>
  <si>
    <t>Christensen 06</t>
  </si>
  <si>
    <t>Andrias davidianus, The decline of the Chinese giant salamander Andrias davidianus and implications for its conservation,  https://doi.org/10.1017/S0030605304000341</t>
  </si>
  <si>
    <t>Brookseia, Rivaling the World's Smallest Reptiles: Discovery of Miniaturized and Microendemic New Species of Leaf Chameleons (Brookesia) from Northern Madagascar, 10.1371/journal.pone.0031314</t>
  </si>
  <si>
    <t>Crocodylus porosus, https://animaldiversity.org/accounts/Crocodylus_porosus/</t>
  </si>
  <si>
    <t>Paedophryne amauensis, Ecological Guild Evolution and the Discovery of the World's Smallest Vertebrate, https://doi.org/10.1371/journal.pone.0029797. Snout-to-vent length of 7.7mm was converted to weight via Anura/Hylidae allometry given in Santini et al. 17 Integ. Zool.</t>
  </si>
  <si>
    <t>from Makarieva et al. 08, PNAS</t>
  </si>
  <si>
    <t>Proteobacteria 5 µm</t>
  </si>
  <si>
    <t xml:space="preserve">Actinobacteria 0.2 µm, Panikov 05 Adv. App. Microb. </t>
  </si>
  <si>
    <t>Mangroves</t>
  </si>
  <si>
    <t>Among lichens, likely the most abundant among cryptogams, assume 87% contains phycobionts (Trebouxia 8-21 µm, http://lutzonilab.org/peltigera/overview/), and 13% contains cyanobionts (Nostoc punctiforme 5 µm, Rippka, R. and M. Herdman. 1992. Pasteur Culture Collection of Cyanobacterial Strains in Axenic Culture, Catalogue and Taxonomic Handbook. 103 pp. Institut Pasteur, Paris). Biomass of all cryptogamic cover from Elbert et al. 12, Nat Geosci. 20% of fungi species occur in lichens (Rikkinen 02, Science), which is subtracted from total cryptogam biomass to get autotrophic cryptogam biomass.</t>
  </si>
  <si>
    <t>Nostoc punctiforme 5 µm</t>
  </si>
  <si>
    <t>Forest plants</t>
  </si>
  <si>
    <t>Grassland plants</t>
  </si>
  <si>
    <t>Cryptogamic phototrophs</t>
  </si>
  <si>
    <t>Marine nematodes</t>
  </si>
  <si>
    <t>Terrestrial nematodes</t>
  </si>
  <si>
    <t>0.1 ug dry weight x 0.5 (Fierer et al. 09, Petersen &amp; Luxton, 82)</t>
  </si>
  <si>
    <t>Macrocystis pyrifera, https://cimioutdoored.org/kelp-forest/ for mass, FAO.org for wet to dry weight, Carbon and nitrogen content of Laminaria saccharina in the eastern English Channel: Biometrics and seasonal variations for the average carbon content of seaweed</t>
  </si>
  <si>
    <t>Rhizarians, 20mm, Biard et al. 16 Nature</t>
  </si>
  <si>
    <t>dwarf 1.5m canopy height. Assume spherical. https://ocean.si.edu/ocean-life/plants-algae/mangroves</t>
  </si>
  <si>
    <t>40m canopy height. Assume spherical. https://ocean.si.edu/ocean-life/plants-algae/mangroves</t>
  </si>
  <si>
    <t>Rhizophora mangle, 6m, similar to estimates for other typical species in Njana 16 Ann. Forest. Sci. Biomass from Hutchison et al. 14, Conserv Let (1.11 Pg underground). Above ground tC/ha (or 0.1kg/m^2)=165.5; below ground tC/ha=78.6 (Hutchison et al. 14)</t>
  </si>
  <si>
    <t>Dactyliosolen fragilissimus (Leblanc 12 Earth Syst. Sci. Data)</t>
  </si>
  <si>
    <t>Laminaria saccharina, typical species (Gevaert 01)</t>
  </si>
  <si>
    <t>Green algae and protist picophytoplankton</t>
  </si>
  <si>
    <t>Marine fungi</t>
  </si>
  <si>
    <t>Malassezia restricta found in hydrothermal vents and corals (Amend 14, PloS Pathogen), 2.5-6 um (Maldonado 11)</t>
  </si>
  <si>
    <t>0.5 - 3 ug wet weight ~ geometric mean =1.2 ug (median 948 µm length), Armenteros &amp; Ruiz-Abierno 15 Nematology</t>
  </si>
  <si>
    <t>Subterranean</t>
  </si>
  <si>
    <t>Subterranean archaea</t>
  </si>
  <si>
    <t>Subterranean bacteria</t>
  </si>
  <si>
    <t>Inflection points, minimum, and maximum body sizes (&lt;0.05Gt density)</t>
  </si>
  <si>
    <t>Classification</t>
  </si>
  <si>
    <t>All</t>
  </si>
  <si>
    <t>biomass density [GtC]</t>
  </si>
  <si>
    <t>log10(size[g])</t>
  </si>
  <si>
    <t>Variables</t>
  </si>
  <si>
    <t>Terrestrial producers</t>
  </si>
  <si>
    <t>Terrestrial &amp; marine</t>
  </si>
  <si>
    <t>Terrestrial consumers</t>
  </si>
  <si>
    <t>All producers</t>
  </si>
  <si>
    <t>All consumers</t>
  </si>
  <si>
    <t>Macroalgae</t>
  </si>
  <si>
    <t>modified from Bar-On, assume amphibian habitat area is mainly rainforest, 5.5011347e+12 m^2, and 0.1 individual per m^2. Uncertainty is unknown, so copied from reptiles for most uncertain taxon</t>
  </si>
  <si>
    <t>lower est</t>
  </si>
  <si>
    <t>upper est</t>
  </si>
  <si>
    <t>sum</t>
  </si>
  <si>
    <t>sum lower</t>
  </si>
  <si>
    <t>sum upper</t>
  </si>
  <si>
    <t>fold lower</t>
  </si>
  <si>
    <t>fold upper</t>
  </si>
  <si>
    <t>average fold</t>
  </si>
  <si>
    <t>rounded fold</t>
  </si>
  <si>
    <t>Zostera marina (C density from Fourqurean 12 x genet size of this common species from de Witte 10)</t>
  </si>
  <si>
    <t>Picomonas judraskeda, 2.5um (Moreira &amp; López-García 14 10.1002/bies.201300176); previously documented at 10um</t>
  </si>
  <si>
    <t>Thalassiosira pseudonana</t>
  </si>
  <si>
    <t>Ethmodiscus spp. kat re-did- found the biovolume from Buoyancy properties of the giant diatom Ethmodiscus  Journal of Plankton Research Vol.14 no.3 pp.459-463, 1992, then converted to grams carbon using the geometric mean of table 1 ESTIMATING THE ORGANIC CARBON CONTENT OF PHYTOPLANKTON FROM CEL,L VOLUME OR PLASMA VOLUME, Richard Strathman.</t>
  </si>
  <si>
    <t>Salix Herbacea (5cm height - Beerling 98, J Ecol) - assume spherical and boreal carbon density from from Erb 17</t>
  </si>
  <si>
    <t>Dawsonia superba (22.5cm height, Green 13 10.1179/jbr.1981.11.4.723) - assume cube and same carbon density as grass</t>
  </si>
  <si>
    <t>Phaeocystis globosa colony (8 mm), https://doi.org/10.1016/B978-012693018-4/50007-0</t>
  </si>
  <si>
    <t>mean size of colonies of P. globosa (2 mm) and P. pouchetii (1.5 mm), which are globally distributed and associated with bloom formation, https://doi.org/10.1016/B978-012693018-4/50007-0</t>
  </si>
  <si>
    <t>Phaeocystis globosa cell (5 µm), https://doi.org/10.1016/B978-012693018-4/50007-0</t>
  </si>
  <si>
    <t>Thalassomonhystera sp., 0.05 ug wet weight</t>
  </si>
  <si>
    <t>Platycomopsis sp., 80 ug wet weight</t>
  </si>
  <si>
    <t>assume log-normal distribution</t>
  </si>
  <si>
    <t>Colony size = 10^-3.9 g (wet weight), Aguilar-Trigueros 17, Penicillium chrysogenum (http://dx.doi.org/10.1016/j.funeco.2014.09.006)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</si>
</sst>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numFmt numFmtId="165" formatCode="0.0"/>
    <numFmt numFmtId="166" formatCode="0.000"/>
    <numFmt numFmtId="167" formatCode="0E+00"/>
    <numFmt numFmtId="168" formatCode="0.0E+00"/>
  </numFmts>
  <fonts count="28">
    <font>
      <sz val="10"/>
      <color rgb="FF000000"/>
      <name val="Arial"/>
      <family val="2"/>
      <charset val="1"/>
    </font>
    <font>
      <b/>
      <sz val="12"/>
      <name val="Calibri"/>
      <family val="2"/>
      <charset val="1"/>
    </font>
    <font>
      <sz val="12"/>
      <color rgb="FF000000"/>
      <name val="Calibri"/>
      <family val="2"/>
      <charset val="1"/>
    </font>
    <font>
      <b/>
      <sz val="11"/>
      <color rgb="FF000000"/>
      <name val="Calibri"/>
      <family val="2"/>
      <charset val="1"/>
    </font>
    <font>
      <b/>
      <sz val="10"/>
      <color rgb="FF000000"/>
      <name val="Arial"/>
      <family val="2"/>
      <charset val="1"/>
    </font>
    <font>
      <sz val="11"/>
      <name val="Arial"/>
      <family val="2"/>
      <charset val="1"/>
    </font>
    <font>
      <b/>
      <sz val="11"/>
      <name val="Cambria"/>
      <family val="1"/>
      <charset val="1"/>
    </font>
    <font>
      <sz val="11"/>
      <name val="Cambria"/>
      <family val="1"/>
      <charset val="1"/>
    </font>
    <font>
      <sz val="11"/>
      <color rgb="FF000000"/>
      <name val="Cambria"/>
      <family val="1"/>
      <charset val="1"/>
    </font>
    <font>
      <b/>
      <sz val="10"/>
      <color rgb="FF000000"/>
      <name val="Calibri"/>
      <family val="2"/>
      <charset val="1"/>
    </font>
    <font>
      <b/>
      <sz val="10"/>
      <color rgb="FF333333"/>
      <name val="Arial"/>
      <family val="2"/>
      <charset val="1"/>
    </font>
    <font>
      <sz val="11"/>
      <color rgb="FF000000"/>
      <name val="'Times New Roman'"/>
      <family val="1"/>
      <charset val="1"/>
    </font>
    <font>
      <sz val="11"/>
      <color rgb="FF000000"/>
      <name val="arial"/>
      <family val="2"/>
      <charset val="1"/>
    </font>
    <font>
      <b/>
      <sz val="11"/>
      <color rgb="FF000000"/>
      <name val="arial"/>
      <family val="2"/>
      <charset val="1"/>
    </font>
    <font>
      <b/>
      <sz val="11"/>
      <name val="arial"/>
      <family val="2"/>
      <charset val="1"/>
    </font>
    <font>
      <sz val="11"/>
      <name val="arial"/>
      <family val="2"/>
      <charset val="1"/>
    </font>
    <font>
      <sz val="11"/>
      <color rgb="FF333333"/>
      <name val="arial"/>
      <family val="2"/>
      <charset val="1"/>
    </font>
    <font>
      <u/>
      <sz val="11"/>
      <color rgb="FF0563C1"/>
      <name val="arial"/>
      <family val="2"/>
      <charset val="1"/>
    </font>
    <font>
      <u/>
      <sz val="10"/>
      <color rgb="FF0563C1"/>
      <name val="Arial"/>
      <family val="2"/>
      <charset val="1"/>
    </font>
    <font>
      <sz val="11"/>
      <color rgb="FF000000"/>
      <name val="Arial"/>
      <family val="2"/>
    </font>
    <font>
      <b/>
      <sz val="10"/>
      <color rgb="FF000000"/>
      <name val="Arial"/>
      <family val="2"/>
    </font>
    <font>
      <sz val="10"/>
      <color rgb="FF000000"/>
      <name val="Tahoma"/>
      <family val="2"/>
    </font>
    <font>
      <b/>
      <sz val="10"/>
      <color rgb="FF000000"/>
      <name val="Tahoma"/>
      <family val="2"/>
    </font>
    <font>
      <b/>
      <sz val="11"/>
      <color theme="1"/>
      <name val="Calibri"/>
      <family val="2"/>
      <scheme val="minor"/>
    </font>
    <font>
      <sz val="11"/>
      <color theme="1"/>
      <name val="Calibri"/>
      <family val="2"/>
      <scheme val="minor"/>
    </font>
    <font>
      <strike/>
      <sz val="11"/>
      <color theme="1"/>
      <name val="Calibri"/>
      <family val="2"/>
      <scheme val="minor"/>
    </font>
    <font>
      <i/>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FF"/>
        <bgColor rgb="FFFFFFCC"/>
      </patternFill>
    </fill>
    <fill>
      <patternFill patternType="solid">
        <fgColor theme="4" tint="0.79998168889431442"/>
        <bgColor indexed="64"/>
      </patternFill>
    </fill>
    <fill>
      <patternFill patternType="solid">
        <fgColor theme="9" tint="0.39997558519241921"/>
        <bgColor indexed="64"/>
      </patternFill>
    </fill>
  </fills>
  <borders count="30">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style="hair">
        <color auto="1"/>
      </right>
      <top/>
      <bottom/>
      <diagonal/>
    </border>
    <border>
      <left/>
      <right style="hair">
        <color auto="1"/>
      </right>
      <top/>
      <bottom style="thin">
        <color auto="1"/>
      </bottom>
      <diagonal/>
    </border>
    <border>
      <left/>
      <right/>
      <top/>
      <bottom style="hair">
        <color auto="1"/>
      </bottom>
      <diagonal/>
    </border>
    <border>
      <left/>
      <right style="hair">
        <color auto="1"/>
      </right>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8" fillId="0" borderId="0" applyBorder="0" applyProtection="0"/>
  </cellStyleXfs>
  <cellXfs count="252">
    <xf numFmtId="0" fontId="0" fillId="0" borderId="0" xfId="0"/>
    <xf numFmtId="0" fontId="3" fillId="0" borderId="0" xfId="0" applyFont="1"/>
    <xf numFmtId="0" fontId="4" fillId="0" borderId="0" xfId="0" applyFont="1"/>
    <xf numFmtId="0" fontId="0" fillId="0" borderId="0" xfId="0" applyFont="1" applyAlignment="1">
      <alignment wrapText="1"/>
    </xf>
    <xf numFmtId="0" fontId="0" fillId="0" borderId="0" xfId="0" applyAlignment="1"/>
    <xf numFmtId="0" fontId="0" fillId="0" borderId="0" xfId="0" applyAlignment="1">
      <alignment wrapText="1"/>
    </xf>
    <xf numFmtId="0" fontId="5" fillId="0" borderId="1" xfId="0" applyFont="1" applyBorder="1" applyAlignment="1">
      <alignment horizontal="left" wrapText="1"/>
    </xf>
    <xf numFmtId="0" fontId="6" fillId="0" borderId="2" xfId="0" applyFont="1" applyBorder="1" applyAlignment="1">
      <alignment horizontal="center" vertical="top" wrapText="1"/>
    </xf>
    <xf numFmtId="0" fontId="6" fillId="0" borderId="0" xfId="0" applyFont="1" applyBorder="1" applyAlignment="1">
      <alignment horizontal="center" vertical="top" wrapText="1"/>
    </xf>
    <xf numFmtId="0" fontId="6" fillId="0" borderId="2" xfId="0" applyFont="1" applyBorder="1" applyAlignment="1">
      <alignment horizontal="left" vertical="top" wrapText="1"/>
    </xf>
    <xf numFmtId="164" fontId="7" fillId="0" borderId="4" xfId="0" applyNumberFormat="1" applyFont="1" applyBorder="1" applyAlignment="1">
      <alignment horizontal="right" wrapText="1"/>
    </xf>
    <xf numFmtId="0" fontId="7" fillId="0" borderId="4" xfId="0" applyFont="1" applyBorder="1" applyAlignment="1">
      <alignment wrapText="1"/>
    </xf>
    <xf numFmtId="1" fontId="7" fillId="0" borderId="4" xfId="0" applyNumberFormat="1" applyFont="1" applyBorder="1" applyAlignment="1">
      <alignment horizontal="right" wrapText="1"/>
    </xf>
    <xf numFmtId="165" fontId="7" fillId="0" borderId="0" xfId="0" applyNumberFormat="1" applyFont="1" applyAlignment="1">
      <alignment horizontal="right" wrapText="1"/>
    </xf>
    <xf numFmtId="0" fontId="7" fillId="0" borderId="0" xfId="0" applyFont="1" applyAlignment="1">
      <alignment wrapText="1"/>
    </xf>
    <xf numFmtId="1" fontId="7" fillId="0" borderId="0" xfId="0" applyNumberFormat="1" applyFont="1" applyAlignment="1">
      <alignment horizontal="right" wrapText="1"/>
    </xf>
    <xf numFmtId="1" fontId="7" fillId="0" borderId="1" xfId="0" applyNumberFormat="1" applyFont="1" applyBorder="1" applyAlignment="1">
      <alignment horizontal="right" wrapText="1"/>
    </xf>
    <xf numFmtId="0" fontId="7" fillId="0" borderId="1" xfId="0" applyFont="1" applyBorder="1" applyAlignment="1">
      <alignment wrapText="1"/>
    </xf>
    <xf numFmtId="0" fontId="8" fillId="0" borderId="0" xfId="0" applyFont="1" applyAlignment="1">
      <alignment wrapText="1"/>
    </xf>
    <xf numFmtId="165" fontId="7" fillId="0" borderId="4" xfId="0" applyNumberFormat="1" applyFont="1" applyBorder="1" applyAlignment="1">
      <alignment horizontal="right" wrapText="1"/>
    </xf>
    <xf numFmtId="1" fontId="7" fillId="0" borderId="4" xfId="0" applyNumberFormat="1" applyFont="1" applyBorder="1" applyAlignment="1">
      <alignment wrapText="1"/>
    </xf>
    <xf numFmtId="0" fontId="7" fillId="0" borderId="0" xfId="0" applyFont="1" applyAlignment="1"/>
    <xf numFmtId="1" fontId="7" fillId="0" borderId="0" xfId="0" applyNumberFormat="1" applyFont="1" applyAlignment="1">
      <alignment wrapText="1"/>
    </xf>
    <xf numFmtId="2" fontId="7" fillId="0" borderId="0" xfId="0" applyNumberFormat="1" applyFont="1" applyAlignment="1">
      <alignment horizontal="right" wrapText="1"/>
    </xf>
    <xf numFmtId="166" fontId="7" fillId="0" borderId="0" xfId="0" applyNumberFormat="1" applyFont="1" applyAlignment="1">
      <alignment horizontal="right" wrapText="1"/>
    </xf>
    <xf numFmtId="166" fontId="7" fillId="0" borderId="1" xfId="0" applyNumberFormat="1" applyFont="1" applyBorder="1" applyAlignment="1">
      <alignment horizontal="right" wrapText="1"/>
    </xf>
    <xf numFmtId="0" fontId="7" fillId="0" borderId="1" xfId="0" applyFont="1" applyBorder="1" applyAlignment="1">
      <alignment horizontal="right" wrapText="1"/>
    </xf>
    <xf numFmtId="165" fontId="7" fillId="0" borderId="1" xfId="0" applyNumberFormat="1" applyFont="1" applyBorder="1" applyAlignment="1">
      <alignment wrapText="1"/>
    </xf>
    <xf numFmtId="0" fontId="6" fillId="0" borderId="2" xfId="0" applyFont="1" applyBorder="1" applyAlignment="1">
      <alignment horizontal="left" vertical="top"/>
    </xf>
    <xf numFmtId="165" fontId="7" fillId="0" borderId="6" xfId="0" applyNumberFormat="1" applyFont="1" applyBorder="1" applyAlignment="1">
      <alignment horizontal="right" wrapText="1"/>
    </xf>
    <xf numFmtId="0" fontId="7" fillId="0" borderId="6" xfId="0" applyFont="1" applyBorder="1" applyAlignment="1">
      <alignment wrapText="1"/>
    </xf>
    <xf numFmtId="1" fontId="7" fillId="0" borderId="6" xfId="0" applyNumberFormat="1" applyFont="1" applyBorder="1" applyAlignment="1">
      <alignment horizontal="right" wrapText="1"/>
    </xf>
    <xf numFmtId="1" fontId="7" fillId="0" borderId="6" xfId="0" applyNumberFormat="1" applyFont="1" applyBorder="1" applyAlignment="1">
      <alignment wrapText="1"/>
    </xf>
    <xf numFmtId="1" fontId="7" fillId="0" borderId="7" xfId="0" applyNumberFormat="1" applyFont="1" applyBorder="1" applyAlignment="1">
      <alignment horizontal="right" wrapText="1"/>
    </xf>
    <xf numFmtId="0" fontId="7" fillId="0" borderId="6" xfId="0" applyFont="1" applyBorder="1" applyAlignment="1">
      <alignment horizontal="right" wrapText="1"/>
    </xf>
    <xf numFmtId="1" fontId="8" fillId="0" borderId="0" xfId="0" applyNumberFormat="1" applyFont="1" applyAlignment="1">
      <alignment wrapText="1"/>
    </xf>
    <xf numFmtId="165" fontId="7" fillId="0" borderId="0" xfId="0" applyNumberFormat="1" applyFont="1" applyAlignment="1">
      <alignment wrapText="1"/>
    </xf>
    <xf numFmtId="0" fontId="6" fillId="0" borderId="2" xfId="0" applyFont="1" applyBorder="1" applyAlignment="1">
      <alignment horizontal="center" vertical="top"/>
    </xf>
    <xf numFmtId="0" fontId="6" fillId="0" borderId="0" xfId="0" applyFont="1" applyAlignment="1">
      <alignment horizontal="center" vertical="top"/>
    </xf>
    <xf numFmtId="0" fontId="7" fillId="0" borderId="4" xfId="0" applyFont="1" applyBorder="1" applyAlignment="1">
      <alignment horizontal="right"/>
    </xf>
    <xf numFmtId="165" fontId="8" fillId="0" borderId="0" xfId="0" applyNumberFormat="1" applyFont="1" applyAlignment="1"/>
    <xf numFmtId="0" fontId="7" fillId="0" borderId="5" xfId="0" applyFont="1" applyBorder="1" applyAlignment="1"/>
    <xf numFmtId="0" fontId="5" fillId="0" borderId="0" xfId="0" applyFont="1" applyAlignment="1"/>
    <xf numFmtId="1" fontId="7" fillId="0" borderId="0" xfId="0" applyNumberFormat="1" applyFont="1" applyAlignment="1">
      <alignment horizontal="right"/>
    </xf>
    <xf numFmtId="1" fontId="8" fillId="0" borderId="0" xfId="0" applyNumberFormat="1" applyFont="1" applyAlignment="1"/>
    <xf numFmtId="0" fontId="7" fillId="0" borderId="8" xfId="0" applyFont="1" applyBorder="1" applyAlignment="1"/>
    <xf numFmtId="165" fontId="7" fillId="0" borderId="0" xfId="0" applyNumberFormat="1" applyFont="1" applyAlignment="1">
      <alignment horizontal="right"/>
    </xf>
    <xf numFmtId="2" fontId="7" fillId="0" borderId="0" xfId="0" applyNumberFormat="1" applyFont="1" applyAlignment="1">
      <alignment horizontal="right"/>
    </xf>
    <xf numFmtId="166" fontId="7" fillId="0" borderId="0" xfId="0" applyNumberFormat="1" applyFont="1" applyAlignment="1">
      <alignment horizontal="right"/>
    </xf>
    <xf numFmtId="1" fontId="7" fillId="0" borderId="1" xfId="0" applyNumberFormat="1" applyFont="1" applyBorder="1" applyAlignment="1"/>
    <xf numFmtId="0" fontId="8" fillId="0" borderId="0" xfId="0" applyFont="1" applyAlignment="1"/>
    <xf numFmtId="0" fontId="7" fillId="0" borderId="9" xfId="0" applyFont="1" applyBorder="1" applyAlignment="1"/>
    <xf numFmtId="0" fontId="7" fillId="0" borderId="10" xfId="0" applyFont="1" applyBorder="1" applyAlignment="1"/>
    <xf numFmtId="0" fontId="5" fillId="0" borderId="0" xfId="0" applyFont="1" applyAlignment="1">
      <alignment horizontal="right"/>
    </xf>
    <xf numFmtId="0" fontId="7" fillId="0" borderId="11" xfId="0" applyFont="1" applyBorder="1" applyAlignment="1"/>
    <xf numFmtId="1" fontId="7" fillId="0" borderId="12" xfId="0" applyNumberFormat="1" applyFont="1" applyBorder="1" applyAlignment="1"/>
    <xf numFmtId="0" fontId="8" fillId="0" borderId="12" xfId="0" applyFont="1" applyBorder="1" applyAlignment="1"/>
    <xf numFmtId="0" fontId="7" fillId="0" borderId="13" xfId="0" applyFont="1" applyBorder="1" applyAlignment="1"/>
    <xf numFmtId="0" fontId="6" fillId="0" borderId="4" xfId="0" applyFont="1" applyBorder="1" applyAlignment="1"/>
    <xf numFmtId="0" fontId="6" fillId="0" borderId="4" xfId="0" applyFont="1" applyBorder="1" applyAlignment="1">
      <alignment wrapText="1"/>
    </xf>
    <xf numFmtId="0" fontId="6" fillId="0" borderId="5" xfId="0" applyFont="1" applyBorder="1" applyAlignment="1"/>
    <xf numFmtId="0" fontId="7" fillId="0" borderId="0" xfId="0" applyFont="1" applyAlignment="1">
      <alignment horizontal="right"/>
    </xf>
    <xf numFmtId="0" fontId="6" fillId="0" borderId="16" xfId="0" applyFont="1" applyBorder="1" applyAlignment="1"/>
    <xf numFmtId="165" fontId="7" fillId="0" borderId="0" xfId="0" applyNumberFormat="1" applyFont="1" applyAlignment="1"/>
    <xf numFmtId="166" fontId="7" fillId="0" borderId="0" xfId="0" applyNumberFormat="1" applyFont="1" applyAlignment="1"/>
    <xf numFmtId="2" fontId="7" fillId="0" borderId="0" xfId="0" applyNumberFormat="1" applyFont="1" applyAlignment="1"/>
    <xf numFmtId="1" fontId="7" fillId="0" borderId="0" xfId="0" applyNumberFormat="1" applyFont="1" applyAlignment="1"/>
    <xf numFmtId="165" fontId="7" fillId="0" borderId="1" xfId="0" applyNumberFormat="1" applyFont="1" applyBorder="1" applyAlignment="1"/>
    <xf numFmtId="0" fontId="5" fillId="0" borderId="0" xfId="0" applyFont="1" applyAlignment="1">
      <alignment wrapText="1"/>
    </xf>
    <xf numFmtId="165" fontId="7" fillId="0" borderId="4" xfId="0" applyNumberFormat="1" applyFont="1" applyBorder="1" applyAlignment="1">
      <alignment horizontal="right"/>
    </xf>
    <xf numFmtId="1" fontId="7" fillId="0" borderId="4" xfId="0" applyNumberFormat="1" applyFont="1" applyBorder="1" applyAlignment="1">
      <alignment horizontal="right"/>
    </xf>
    <xf numFmtId="1" fontId="7" fillId="0" borderId="1" xfId="0" applyNumberFormat="1" applyFont="1" applyBorder="1" applyAlignment="1">
      <alignment horizontal="right"/>
    </xf>
    <xf numFmtId="165" fontId="7" fillId="0" borderId="1" xfId="0" applyNumberFormat="1" applyFont="1" applyBorder="1" applyAlignment="1">
      <alignment horizontal="right"/>
    </xf>
    <xf numFmtId="166" fontId="7" fillId="0" borderId="1" xfId="0" applyNumberFormat="1" applyFont="1" applyBorder="1" applyAlignment="1">
      <alignment horizontal="right"/>
    </xf>
    <xf numFmtId="2" fontId="7" fillId="0" borderId="6" xfId="0" applyNumberFormat="1" applyFont="1" applyBorder="1" applyAlignment="1">
      <alignment horizontal="right"/>
    </xf>
    <xf numFmtId="0" fontId="7" fillId="0" borderId="7" xfId="0" applyFont="1" applyBorder="1" applyAlignment="1"/>
    <xf numFmtId="1" fontId="8" fillId="2" borderId="6" xfId="0" applyNumberFormat="1" applyFont="1" applyFill="1" applyBorder="1" applyAlignment="1">
      <alignment horizontal="right"/>
    </xf>
    <xf numFmtId="11" fontId="0" fillId="0" borderId="0" xfId="0" applyNumberFormat="1" applyAlignment="1"/>
    <xf numFmtId="11" fontId="6" fillId="0" borderId="2" xfId="0" applyNumberFormat="1" applyFont="1" applyBorder="1" applyAlignment="1">
      <alignment horizontal="center" vertical="top" wrapText="1"/>
    </xf>
    <xf numFmtId="0" fontId="6" fillId="0" borderId="20" xfId="0" applyFont="1" applyBorder="1" applyAlignment="1">
      <alignment horizontal="center" vertical="top" wrapText="1"/>
    </xf>
    <xf numFmtId="11" fontId="6" fillId="0" borderId="0" xfId="0" applyNumberFormat="1" applyFont="1" applyBorder="1" applyAlignment="1">
      <alignment horizontal="center" vertical="top" wrapText="1"/>
    </xf>
    <xf numFmtId="0" fontId="4" fillId="0" borderId="0" xfId="0" applyFont="1" applyAlignment="1"/>
    <xf numFmtId="11" fontId="7" fillId="0" borderId="0" xfId="0" applyNumberFormat="1" applyFont="1" applyAlignment="1">
      <alignment horizontal="left"/>
    </xf>
    <xf numFmtId="165" fontId="7" fillId="0" borderId="0" xfId="0" applyNumberFormat="1" applyFont="1" applyAlignment="1">
      <alignment horizontal="left"/>
    </xf>
    <xf numFmtId="167" fontId="7" fillId="0" borderId="0" xfId="0" applyNumberFormat="1" applyFont="1" applyAlignment="1">
      <alignment horizontal="left"/>
    </xf>
    <xf numFmtId="0" fontId="7" fillId="0" borderId="8" xfId="0" applyFont="1" applyBorder="1" applyAlignment="1">
      <alignment horizontal="left"/>
    </xf>
    <xf numFmtId="11" fontId="4" fillId="0" borderId="0" xfId="0" applyNumberFormat="1" applyFont="1" applyAlignment="1"/>
    <xf numFmtId="49" fontId="0" fillId="0" borderId="0" xfId="0" applyNumberFormat="1" applyFont="1" applyAlignment="1"/>
    <xf numFmtId="11" fontId="8" fillId="2" borderId="0" xfId="0" applyNumberFormat="1" applyFont="1" applyFill="1" applyAlignment="1">
      <alignment horizontal="left"/>
    </xf>
    <xf numFmtId="1" fontId="7" fillId="0" borderId="0" xfId="0" applyNumberFormat="1" applyFont="1" applyAlignment="1">
      <alignment horizontal="left"/>
    </xf>
    <xf numFmtId="0" fontId="6" fillId="0" borderId="8" xfId="0" applyFont="1" applyBorder="1" applyAlignment="1">
      <alignment horizontal="left"/>
    </xf>
    <xf numFmtId="49" fontId="9" fillId="0" borderId="0" xfId="0" applyNumberFormat="1" applyFont="1"/>
    <xf numFmtId="11" fontId="7" fillId="0" borderId="8" xfId="0" applyNumberFormat="1" applyFont="1" applyBorder="1" applyAlignment="1">
      <alignment horizontal="left"/>
    </xf>
    <xf numFmtId="11" fontId="0" fillId="0" borderId="0" xfId="0" applyNumberFormat="1" applyFont="1" applyAlignment="1"/>
    <xf numFmtId="49" fontId="10" fillId="0" borderId="0" xfId="0" applyNumberFormat="1" applyFont="1"/>
    <xf numFmtId="11" fontId="7" fillId="0" borderId="1" xfId="0" applyNumberFormat="1" applyFont="1" applyBorder="1" applyAlignment="1">
      <alignment horizontal="left"/>
    </xf>
    <xf numFmtId="1" fontId="7" fillId="0" borderId="1" xfId="0" applyNumberFormat="1" applyFont="1" applyBorder="1" applyAlignment="1">
      <alignment horizontal="left"/>
    </xf>
    <xf numFmtId="167" fontId="7" fillId="0" borderId="1" xfId="0" applyNumberFormat="1" applyFont="1" applyBorder="1" applyAlignment="1">
      <alignment horizontal="left"/>
    </xf>
    <xf numFmtId="0" fontId="7" fillId="0" borderId="9" xfId="0" applyFont="1" applyBorder="1" applyAlignment="1">
      <alignment horizontal="left"/>
    </xf>
    <xf numFmtId="167" fontId="5" fillId="0" borderId="4" xfId="0" applyNumberFormat="1" applyFont="1" applyBorder="1" applyAlignment="1">
      <alignment horizontal="right"/>
    </xf>
    <xf numFmtId="11" fontId="7" fillId="0" borderId="4" xfId="0" applyNumberFormat="1" applyFont="1" applyBorder="1" applyAlignment="1"/>
    <xf numFmtId="167" fontId="7" fillId="0" borderId="4" xfId="0" applyNumberFormat="1" applyFont="1" applyBorder="1" applyAlignment="1"/>
    <xf numFmtId="11" fontId="7" fillId="0" borderId="5" xfId="0" applyNumberFormat="1" applyFont="1" applyBorder="1" applyAlignment="1"/>
    <xf numFmtId="167" fontId="5" fillId="0" borderId="0" xfId="0" applyNumberFormat="1" applyFont="1" applyAlignment="1">
      <alignment horizontal="right"/>
    </xf>
    <xf numFmtId="11" fontId="7" fillId="0" borderId="0" xfId="0" applyNumberFormat="1" applyFont="1" applyAlignment="1"/>
    <xf numFmtId="167" fontId="5" fillId="0" borderId="1" xfId="0" applyNumberFormat="1" applyFont="1" applyBorder="1" applyAlignment="1">
      <alignment horizontal="right"/>
    </xf>
    <xf numFmtId="11" fontId="7" fillId="0" borderId="1" xfId="0" applyNumberFormat="1" applyFont="1" applyBorder="1" applyAlignment="1"/>
    <xf numFmtId="167" fontId="7" fillId="0" borderId="0" xfId="0" applyNumberFormat="1" applyFont="1" applyAlignment="1"/>
    <xf numFmtId="167" fontId="5" fillId="0" borderId="0" xfId="0" applyNumberFormat="1" applyFont="1" applyAlignment="1"/>
    <xf numFmtId="167" fontId="5" fillId="0" borderId="1" xfId="0" applyNumberFormat="1" applyFont="1" applyBorder="1" applyAlignment="1"/>
    <xf numFmtId="0" fontId="7" fillId="0" borderId="1" xfId="0" applyFont="1" applyBorder="1" applyAlignment="1"/>
    <xf numFmtId="167" fontId="5" fillId="0" borderId="6" xfId="0" applyNumberFormat="1" applyFont="1" applyBorder="1" applyAlignment="1">
      <alignment horizontal="right"/>
    </xf>
    <xf numFmtId="11" fontId="7" fillId="0" borderId="6" xfId="0" applyNumberFormat="1" applyFont="1" applyBorder="1" applyAlignment="1"/>
    <xf numFmtId="167" fontId="7" fillId="0" borderId="6" xfId="0" applyNumberFormat="1" applyFont="1" applyBorder="1" applyAlignment="1"/>
    <xf numFmtId="11" fontId="7" fillId="0" borderId="7" xfId="0" applyNumberFormat="1" applyFont="1" applyBorder="1" applyAlignment="1"/>
    <xf numFmtId="0" fontId="0" fillId="0" borderId="0" xfId="0" applyAlignment="1">
      <alignment horizontal="left" wrapText="1"/>
    </xf>
    <xf numFmtId="0" fontId="7" fillId="0" borderId="17" xfId="0" applyFont="1" applyBorder="1" applyAlignment="1">
      <alignment horizontal="left" wrapText="1"/>
    </xf>
    <xf numFmtId="0" fontId="0" fillId="0" borderId="10" xfId="0" applyBorder="1" applyAlignment="1"/>
    <xf numFmtId="0" fontId="11" fillId="0" borderId="0" xfId="0" applyFont="1" applyAlignment="1"/>
    <xf numFmtId="2" fontId="8" fillId="0" borderId="0" xfId="0" applyNumberFormat="1" applyFont="1" applyAlignment="1"/>
    <xf numFmtId="0" fontId="6" fillId="2" borderId="2" xfId="0" applyFont="1" applyFill="1" applyBorder="1" applyAlignment="1">
      <alignment horizontal="left" vertical="top" wrapText="1"/>
    </xf>
    <xf numFmtId="2" fontId="7" fillId="0" borderId="1" xfId="0" applyNumberFormat="1" applyFont="1" applyBorder="1" applyAlignment="1"/>
    <xf numFmtId="0" fontId="12" fillId="0" borderId="0" xfId="0" applyFont="1"/>
    <xf numFmtId="0" fontId="13" fillId="0" borderId="0" xfId="0" applyFont="1" applyAlignment="1"/>
    <xf numFmtId="0" fontId="14" fillId="0" borderId="20" xfId="0" applyFont="1" applyBorder="1" applyAlignment="1">
      <alignment horizontal="center" vertical="top" wrapText="1"/>
    </xf>
    <xf numFmtId="11" fontId="14" fillId="0" borderId="0" xfId="0" applyNumberFormat="1" applyFont="1" applyBorder="1" applyAlignment="1">
      <alignment horizontal="center" vertical="top" wrapText="1"/>
    </xf>
    <xf numFmtId="11" fontId="14" fillId="0" borderId="2" xfId="0" applyNumberFormat="1" applyFont="1" applyBorder="1" applyAlignment="1">
      <alignment horizontal="center" vertical="top" wrapText="1"/>
    </xf>
    <xf numFmtId="11" fontId="13" fillId="0" borderId="0" xfId="0" applyNumberFormat="1" applyFont="1" applyAlignment="1"/>
    <xf numFmtId="0" fontId="13" fillId="0" borderId="0" xfId="0" applyFont="1" applyBorder="1" applyAlignment="1"/>
    <xf numFmtId="49" fontId="12" fillId="0" borderId="0" xfId="0" applyNumberFormat="1" applyFont="1" applyAlignment="1"/>
    <xf numFmtId="168" fontId="12" fillId="0" borderId="0" xfId="0" applyNumberFormat="1" applyFont="1" applyAlignment="1"/>
    <xf numFmtId="0" fontId="12" fillId="0" borderId="0" xfId="0" applyFont="1" applyAlignment="1"/>
    <xf numFmtId="1" fontId="15" fillId="0" borderId="0" xfId="0" applyNumberFormat="1" applyFont="1" applyBorder="1" applyAlignment="1">
      <alignment horizontal="left"/>
    </xf>
    <xf numFmtId="49" fontId="13" fillId="0" borderId="0" xfId="0" applyNumberFormat="1" applyFont="1"/>
    <xf numFmtId="167" fontId="15" fillId="0" borderId="0" xfId="0" applyNumberFormat="1" applyFont="1" applyAlignment="1">
      <alignment horizontal="left"/>
    </xf>
    <xf numFmtId="49" fontId="16" fillId="0" borderId="0" xfId="0" applyNumberFormat="1" applyFont="1"/>
    <xf numFmtId="11" fontId="12" fillId="0" borderId="0" xfId="0" applyNumberFormat="1" applyFont="1" applyAlignment="1"/>
    <xf numFmtId="11" fontId="12" fillId="0" borderId="0" xfId="0" applyNumberFormat="1" applyFont="1"/>
    <xf numFmtId="165" fontId="12" fillId="0" borderId="0" xfId="0" applyNumberFormat="1" applyFont="1" applyAlignment="1"/>
    <xf numFmtId="1" fontId="12" fillId="0" borderId="0" xfId="0" applyNumberFormat="1" applyFont="1" applyAlignment="1"/>
    <xf numFmtId="0" fontId="17" fillId="0" borderId="0" xfId="1" applyFont="1" applyBorder="1" applyAlignment="1" applyProtection="1"/>
    <xf numFmtId="11" fontId="15" fillId="0" borderId="0" xfId="0" applyNumberFormat="1" applyFont="1" applyAlignment="1"/>
    <xf numFmtId="0" fontId="13" fillId="0" borderId="0" xfId="0" applyFont="1"/>
    <xf numFmtId="11" fontId="0" fillId="0" borderId="0" xfId="0" applyNumberFormat="1"/>
    <xf numFmtId="0" fontId="18" fillId="0" borderId="0" xfId="1" applyFont="1" applyBorder="1" applyAlignment="1" applyProtection="1"/>
    <xf numFmtId="0" fontId="18" fillId="0" borderId="0" xfId="1"/>
    <xf numFmtId="0" fontId="19" fillId="0" borderId="0" xfId="0" applyFont="1"/>
    <xf numFmtId="0" fontId="0" fillId="0" borderId="0" xfId="0" applyNumberFormat="1"/>
    <xf numFmtId="2" fontId="0" fillId="0" borderId="0" xfId="0" applyNumberFormat="1" applyAlignment="1"/>
    <xf numFmtId="11" fontId="20" fillId="0" borderId="0" xfId="0" applyNumberFormat="1" applyFont="1" applyAlignment="1">
      <alignment wrapText="1"/>
    </xf>
    <xf numFmtId="2" fontId="6" fillId="0" borderId="2" xfId="0" applyNumberFormat="1" applyFont="1" applyBorder="1" applyAlignment="1">
      <alignment horizontal="center" vertical="top" wrapText="1"/>
    </xf>
    <xf numFmtId="2" fontId="5" fillId="0" borderId="4" xfId="0" applyNumberFormat="1" applyFont="1" applyBorder="1" applyAlignment="1">
      <alignment horizontal="right"/>
    </xf>
    <xf numFmtId="2" fontId="5" fillId="0" borderId="0" xfId="0" applyNumberFormat="1" applyFont="1" applyAlignment="1">
      <alignment horizontal="right"/>
    </xf>
    <xf numFmtId="2" fontId="5" fillId="0" borderId="1" xfId="0" applyNumberFormat="1" applyFont="1" applyBorder="1" applyAlignment="1">
      <alignment horizontal="right"/>
    </xf>
    <xf numFmtId="2" fontId="5" fillId="0" borderId="6" xfId="0" applyNumberFormat="1" applyFont="1" applyBorder="1" applyAlignment="1">
      <alignment horizontal="right"/>
    </xf>
    <xf numFmtId="0" fontId="20" fillId="0" borderId="0" xfId="0" applyFont="1"/>
    <xf numFmtId="0" fontId="20" fillId="0" borderId="1" xfId="0" applyFont="1" applyBorder="1"/>
    <xf numFmtId="0" fontId="0" fillId="0" borderId="1" xfId="0" applyBorder="1"/>
    <xf numFmtId="0" fontId="20" fillId="0" borderId="0" xfId="0" applyFont="1" applyBorder="1"/>
    <xf numFmtId="0" fontId="0" fillId="0" borderId="0" xfId="0" applyBorder="1"/>
    <xf numFmtId="0" fontId="20" fillId="0" borderId="17" xfId="0" applyFont="1" applyBorder="1"/>
    <xf numFmtId="0" fontId="20" fillId="0" borderId="6" xfId="0" applyFont="1" applyBorder="1"/>
    <xf numFmtId="0" fontId="20" fillId="0" borderId="7" xfId="0" applyFont="1" applyBorder="1"/>
    <xf numFmtId="0" fontId="20" fillId="3" borderId="18" xfId="0" applyFont="1" applyFill="1" applyBorder="1"/>
    <xf numFmtId="0" fontId="20" fillId="3" borderId="0" xfId="0" applyFont="1" applyFill="1" applyBorder="1"/>
    <xf numFmtId="0" fontId="0" fillId="3" borderId="0" xfId="0" applyFill="1" applyBorder="1"/>
    <xf numFmtId="0" fontId="0" fillId="3" borderId="8" xfId="0" applyFill="1" applyBorder="1"/>
    <xf numFmtId="0" fontId="20" fillId="0" borderId="18" xfId="0" applyFont="1" applyBorder="1"/>
    <xf numFmtId="0" fontId="0" fillId="0" borderId="8" xfId="0" applyBorder="1"/>
    <xf numFmtId="0" fontId="0" fillId="0" borderId="19" xfId="0" applyBorder="1"/>
    <xf numFmtId="0" fontId="0" fillId="0" borderId="9" xfId="0" applyBorder="1"/>
    <xf numFmtId="0" fontId="18" fillId="0" borderId="0" xfId="1" applyBorder="1" applyProtection="1"/>
    <xf numFmtId="0" fontId="12" fillId="4" borderId="0" xfId="0" applyFont="1" applyFill="1" applyAlignment="1"/>
    <xf numFmtId="164" fontId="0" fillId="0" borderId="0" xfId="0" applyNumberFormat="1" applyAlignment="1"/>
    <xf numFmtId="11" fontId="23" fillId="0" borderId="0" xfId="0" applyNumberFormat="1" applyFont="1" applyFill="1" applyBorder="1" applyAlignment="1">
      <alignment horizontal="center" wrapText="1"/>
    </xf>
    <xf numFmtId="11" fontId="23" fillId="0" borderId="0" xfId="0" applyNumberFormat="1" applyFont="1" applyFill="1" applyBorder="1" applyAlignment="1">
      <alignment wrapText="1"/>
    </xf>
    <xf numFmtId="0" fontId="24" fillId="0" borderId="18" xfId="0" applyFont="1" applyFill="1" applyBorder="1" applyAlignment="1">
      <alignment wrapText="1"/>
    </xf>
    <xf numFmtId="0" fontId="24" fillId="0" borderId="0" xfId="0" applyFont="1" applyFill="1" applyBorder="1" applyAlignment="1">
      <alignment wrapText="1"/>
    </xf>
    <xf numFmtId="11" fontId="24" fillId="0" borderId="0" xfId="0" applyNumberFormat="1" applyFont="1" applyFill="1" applyBorder="1" applyAlignment="1">
      <alignment wrapText="1"/>
    </xf>
    <xf numFmtId="1" fontId="24" fillId="0" borderId="0" xfId="0" applyNumberFormat="1" applyFont="1" applyFill="1" applyBorder="1" applyAlignment="1">
      <alignment horizontal="right" wrapText="1"/>
    </xf>
    <xf numFmtId="1" fontId="24" fillId="0" borderId="0" xfId="0" applyNumberFormat="1" applyFont="1" applyFill="1" applyBorder="1" applyAlignment="1">
      <alignment wrapText="1"/>
    </xf>
    <xf numFmtId="166" fontId="24" fillId="0" borderId="0" xfId="0" applyNumberFormat="1" applyFont="1" applyFill="1" applyBorder="1" applyAlignment="1">
      <alignment horizontal="right" wrapText="1"/>
    </xf>
    <xf numFmtId="2" fontId="24" fillId="0" borderId="0" xfId="0" applyNumberFormat="1" applyFont="1" applyFill="1" applyBorder="1" applyAlignment="1">
      <alignment wrapText="1"/>
    </xf>
    <xf numFmtId="0" fontId="23" fillId="0" borderId="0" xfId="0" applyFont="1" applyFill="1" applyBorder="1" applyAlignment="1">
      <alignment wrapText="1"/>
    </xf>
    <xf numFmtId="165" fontId="24" fillId="0" borderId="0" xfId="0" applyNumberFormat="1" applyFont="1" applyFill="1" applyBorder="1" applyAlignment="1">
      <alignment wrapText="1"/>
    </xf>
    <xf numFmtId="0" fontId="25" fillId="0" borderId="0" xfId="0" applyFont="1" applyFill="1" applyBorder="1" applyAlignment="1">
      <alignment wrapText="1"/>
    </xf>
    <xf numFmtId="0" fontId="23" fillId="0" borderId="0" xfId="0" applyFont="1" applyFill="1" applyBorder="1" applyAlignment="1">
      <alignment horizontal="center" wrapText="1"/>
    </xf>
    <xf numFmtId="0" fontId="24" fillId="0" borderId="0" xfId="0" applyFont="1" applyFill="1" applyBorder="1" applyAlignment="1"/>
    <xf numFmtId="0" fontId="24" fillId="0" borderId="0" xfId="0" applyFont="1" applyFill="1" applyBorder="1"/>
    <xf numFmtId="0" fontId="23" fillId="0" borderId="18" xfId="0" applyFont="1" applyFill="1" applyBorder="1" applyAlignment="1">
      <alignment wrapText="1"/>
    </xf>
    <xf numFmtId="0" fontId="23" fillId="0" borderId="21" xfId="0" applyFont="1" applyFill="1" applyBorder="1" applyAlignment="1">
      <alignment wrapText="1"/>
    </xf>
    <xf numFmtId="0" fontId="23" fillId="0" borderId="22" xfId="0" applyFont="1" applyFill="1" applyBorder="1" applyAlignment="1">
      <alignment wrapText="1"/>
    </xf>
    <xf numFmtId="0" fontId="23" fillId="0" borderId="24" xfId="0" applyFont="1" applyFill="1" applyBorder="1" applyAlignment="1">
      <alignment wrapText="1"/>
    </xf>
    <xf numFmtId="0" fontId="24" fillId="0" borderId="24" xfId="0" applyFont="1" applyFill="1" applyBorder="1" applyAlignment="1">
      <alignment wrapText="1"/>
    </xf>
    <xf numFmtId="0" fontId="24" fillId="0" borderId="22" xfId="0" applyFont="1" applyFill="1" applyBorder="1" applyAlignment="1"/>
    <xf numFmtId="11" fontId="24" fillId="0" borderId="22" xfId="0" applyNumberFormat="1" applyFont="1" applyFill="1" applyBorder="1" applyAlignment="1"/>
    <xf numFmtId="0" fontId="24" fillId="0" borderId="22" xfId="0" applyFont="1" applyFill="1" applyBorder="1" applyAlignment="1">
      <alignment wrapText="1"/>
    </xf>
    <xf numFmtId="0" fontId="24" fillId="0" borderId="23" xfId="0" applyFont="1" applyFill="1" applyBorder="1" applyAlignment="1">
      <alignment wrapText="1"/>
    </xf>
    <xf numFmtId="0" fontId="24" fillId="0" borderId="25" xfId="0" applyFont="1" applyFill="1" applyBorder="1" applyAlignment="1">
      <alignment wrapText="1"/>
    </xf>
    <xf numFmtId="0" fontId="23" fillId="0" borderId="25" xfId="0" applyFont="1" applyFill="1" applyBorder="1" applyAlignment="1">
      <alignment wrapText="1"/>
    </xf>
    <xf numFmtId="0" fontId="24" fillId="0" borderId="0" xfId="0" applyFont="1" applyFill="1" applyBorder="1" applyAlignment="1">
      <alignment horizontal="right" wrapText="1"/>
    </xf>
    <xf numFmtId="11" fontId="24" fillId="0" borderId="0" xfId="0" applyNumberFormat="1" applyFont="1" applyFill="1" applyBorder="1"/>
    <xf numFmtId="166" fontId="24" fillId="0" borderId="0" xfId="0" applyNumberFormat="1" applyFont="1" applyFill="1" applyBorder="1" applyAlignment="1">
      <alignment wrapText="1"/>
    </xf>
    <xf numFmtId="11" fontId="24" fillId="0" borderId="0" xfId="0" applyNumberFormat="1" applyFont="1" applyFill="1" applyBorder="1" applyAlignment="1"/>
    <xf numFmtId="0" fontId="23" fillId="0" borderId="0" xfId="0" applyNumberFormat="1" applyFont="1" applyFill="1" applyBorder="1" applyAlignment="1">
      <alignment horizontal="left" wrapText="1"/>
    </xf>
    <xf numFmtId="0" fontId="24" fillId="0" borderId="0" xfId="0" applyFont="1" applyFill="1" applyBorder="1" applyAlignment="1">
      <alignment vertical="top"/>
    </xf>
    <xf numFmtId="2" fontId="24" fillId="0" borderId="0" xfId="0" applyNumberFormat="1" applyFont="1" applyFill="1" applyBorder="1" applyAlignment="1">
      <alignment horizontal="right" wrapText="1"/>
    </xf>
    <xf numFmtId="49" fontId="24" fillId="0" borderId="0" xfId="0" applyNumberFormat="1" applyFont="1" applyFill="1" applyBorder="1" applyAlignment="1"/>
    <xf numFmtId="166" fontId="25" fillId="0" borderId="0" xfId="0" applyNumberFormat="1" applyFont="1" applyFill="1" applyBorder="1" applyAlignment="1">
      <alignment wrapText="1"/>
    </xf>
    <xf numFmtId="11" fontId="25" fillId="0" borderId="0" xfId="0" applyNumberFormat="1" applyFont="1" applyFill="1" applyBorder="1" applyAlignment="1">
      <alignment wrapText="1"/>
    </xf>
    <xf numFmtId="166" fontId="25" fillId="0" borderId="0" xfId="0" applyNumberFormat="1" applyFont="1" applyFill="1" applyBorder="1" applyAlignment="1">
      <alignment horizontal="right" wrapText="1"/>
    </xf>
    <xf numFmtId="11" fontId="24" fillId="0" borderId="0" xfId="0" applyNumberFormat="1" applyFont="1" applyFill="1" applyBorder="1" applyAlignment="1">
      <alignment horizontal="right" wrapText="1"/>
    </xf>
    <xf numFmtId="0" fontId="25" fillId="0" borderId="24" xfId="0" applyFont="1" applyFill="1" applyBorder="1" applyAlignment="1">
      <alignment wrapText="1"/>
    </xf>
    <xf numFmtId="0" fontId="24" fillId="0" borderId="26" xfId="0" applyFont="1" applyFill="1" applyBorder="1" applyAlignment="1">
      <alignment wrapText="1"/>
    </xf>
    <xf numFmtId="0" fontId="24" fillId="0" borderId="27" xfId="0" applyFont="1" applyFill="1" applyBorder="1" applyAlignment="1">
      <alignment wrapText="1"/>
    </xf>
    <xf numFmtId="11" fontId="24" fillId="0" borderId="27" xfId="0" applyNumberFormat="1" applyFont="1" applyFill="1" applyBorder="1" applyAlignment="1">
      <alignment wrapText="1"/>
    </xf>
    <xf numFmtId="166" fontId="24" fillId="0" borderId="27" xfId="0" applyNumberFormat="1" applyFont="1" applyFill="1" applyBorder="1" applyAlignment="1">
      <alignment horizontal="right" wrapText="1"/>
    </xf>
    <xf numFmtId="1" fontId="24" fillId="0" borderId="27" xfId="0" applyNumberFormat="1" applyFont="1" applyFill="1" applyBorder="1" applyAlignment="1">
      <alignment wrapText="1"/>
    </xf>
    <xf numFmtId="0" fontId="24" fillId="0" borderId="27" xfId="0" applyFont="1" applyFill="1" applyBorder="1"/>
    <xf numFmtId="0" fontId="26" fillId="0" borderId="27" xfId="0" applyFont="1" applyFill="1" applyBorder="1"/>
    <xf numFmtId="0" fontId="24" fillId="0" borderId="28" xfId="0" applyFont="1" applyFill="1" applyBorder="1" applyAlignment="1">
      <alignment wrapText="1"/>
    </xf>
    <xf numFmtId="11" fontId="24" fillId="0" borderId="27" xfId="0" applyNumberFormat="1" applyFont="1" applyFill="1" applyBorder="1" applyAlignment="1">
      <alignment horizontal="right" wrapText="1"/>
    </xf>
    <xf numFmtId="11" fontId="24" fillId="0" borderId="27" xfId="0" applyNumberFormat="1" applyFont="1" applyFill="1" applyBorder="1" applyAlignment="1"/>
    <xf numFmtId="11" fontId="24" fillId="0" borderId="27" xfId="0" applyNumberFormat="1" applyFont="1" applyFill="1" applyBorder="1"/>
    <xf numFmtId="0" fontId="24" fillId="0" borderId="27" xfId="0" applyFont="1" applyFill="1" applyBorder="1" applyAlignment="1"/>
    <xf numFmtId="0" fontId="24" fillId="0" borderId="18" xfId="0" applyFont="1" applyFill="1" applyBorder="1" applyAlignment="1"/>
    <xf numFmtId="0" fontId="24" fillId="0" borderId="29" xfId="0" applyFont="1" applyFill="1" applyBorder="1" applyAlignment="1"/>
    <xf numFmtId="0" fontId="24" fillId="0" borderId="29" xfId="0" applyFont="1" applyFill="1" applyBorder="1" applyAlignment="1">
      <alignment wrapText="1"/>
    </xf>
    <xf numFmtId="11" fontId="27" fillId="0" borderId="0" xfId="0" applyNumberFormat="1" applyFont="1" applyFill="1" applyBorder="1" applyAlignment="1">
      <alignment wrapText="1"/>
    </xf>
    <xf numFmtId="2" fontId="27" fillId="0" borderId="0" xfId="0" applyNumberFormat="1" applyFont="1" applyFill="1" applyBorder="1" applyAlignment="1">
      <alignment wrapText="1"/>
    </xf>
    <xf numFmtId="165" fontId="27" fillId="0" borderId="0" xfId="0" applyNumberFormat="1" applyFont="1" applyFill="1" applyBorder="1" applyAlignment="1">
      <alignment horizontal="right" wrapText="1"/>
    </xf>
    <xf numFmtId="165" fontId="27" fillId="0" borderId="0" xfId="0" applyNumberFormat="1" applyFont="1" applyFill="1" applyBorder="1" applyAlignment="1">
      <alignment wrapText="1"/>
    </xf>
    <xf numFmtId="166" fontId="27" fillId="0" borderId="0" xfId="0" applyNumberFormat="1" applyFont="1" applyFill="1" applyBorder="1" applyAlignment="1">
      <alignment horizontal="right" wrapText="1"/>
    </xf>
    <xf numFmtId="0" fontId="27" fillId="0" borderId="24" xfId="0" applyFont="1" applyFill="1" applyBorder="1" applyAlignment="1">
      <alignment wrapText="1"/>
    </xf>
    <xf numFmtId="0" fontId="27" fillId="0" borderId="18" xfId="0" applyFont="1" applyFill="1" applyBorder="1" applyAlignment="1">
      <alignment wrapText="1"/>
    </xf>
    <xf numFmtId="1" fontId="27" fillId="0" borderId="0" xfId="0" applyNumberFormat="1" applyFont="1" applyFill="1" applyBorder="1" applyAlignment="1">
      <alignment wrapText="1"/>
    </xf>
    <xf numFmtId="165" fontId="27" fillId="0" borderId="27" xfId="0" applyNumberFormat="1" applyFont="1" applyFill="1" applyBorder="1" applyAlignment="1">
      <alignment horizontal="right" wrapText="1"/>
    </xf>
    <xf numFmtId="0" fontId="1" fillId="0" borderId="0" xfId="0" applyFont="1" applyBorder="1" applyAlignment="1">
      <alignment horizontal="center" vertical="center"/>
    </xf>
    <xf numFmtId="0" fontId="2" fillId="0" borderId="0" xfId="0" applyFont="1" applyBorder="1" applyAlignment="1">
      <alignment horizontal="center" vertical="center"/>
    </xf>
    <xf numFmtId="0" fontId="6" fillId="0" borderId="3" xfId="0" applyFont="1" applyBorder="1" applyAlignment="1">
      <alignment horizontal="left" vertical="top"/>
    </xf>
    <xf numFmtId="1" fontId="7" fillId="0" borderId="4" xfId="0" applyNumberFormat="1" applyFont="1" applyBorder="1" applyAlignment="1">
      <alignment horizontal="right" wrapText="1"/>
    </xf>
    <xf numFmtId="0" fontId="7" fillId="0" borderId="4" xfId="0" applyFont="1" applyBorder="1" applyAlignment="1">
      <alignment wrapText="1"/>
    </xf>
    <xf numFmtId="1" fontId="7" fillId="0" borderId="5" xfId="0" applyNumberFormat="1" applyFont="1" applyBorder="1" applyAlignment="1">
      <alignment horizontal="right" wrapText="1"/>
    </xf>
    <xf numFmtId="165" fontId="7" fillId="0" borderId="4" xfId="0" applyNumberFormat="1" applyFont="1" applyBorder="1" applyAlignment="1">
      <alignment horizontal="right" wrapText="1"/>
    </xf>
    <xf numFmtId="0" fontId="6" fillId="0" borderId="3" xfId="0" applyFont="1" applyBorder="1" applyAlignment="1">
      <alignment horizontal="left" vertical="top" wrapText="1"/>
    </xf>
    <xf numFmtId="0" fontId="6" fillId="0" borderId="14" xfId="0" applyFont="1" applyBorder="1" applyAlignment="1"/>
    <xf numFmtId="0" fontId="6" fillId="0" borderId="15" xfId="0" applyFont="1" applyBorder="1" applyAlignment="1"/>
    <xf numFmtId="1" fontId="7" fillId="0" borderId="4" xfId="0" applyNumberFormat="1" applyFont="1" applyBorder="1" applyAlignment="1">
      <alignment horizontal="right"/>
    </xf>
    <xf numFmtId="0" fontId="7" fillId="0" borderId="5" xfId="0" applyFont="1" applyBorder="1" applyAlignment="1"/>
    <xf numFmtId="0" fontId="6" fillId="0" borderId="2" xfId="0" applyFont="1" applyBorder="1" applyAlignment="1">
      <alignment horizontal="left" vertical="top"/>
    </xf>
    <xf numFmtId="167" fontId="7" fillId="0" borderId="4" xfId="0" applyNumberFormat="1" applyFont="1" applyBorder="1" applyAlignment="1"/>
    <xf numFmtId="11" fontId="7" fillId="0" borderId="5" xfId="0" applyNumberFormat="1" applyFont="1" applyBorder="1" applyAlignmen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latin typeface="Calibri"/>
              </a:defRPr>
            </a:pPr>
            <a:r>
              <a:rPr sz="1400" b="0" strike="noStrike" spc="-1">
                <a:solidFill>
                  <a:srgbClr val="595959"/>
                </a:solidFill>
                <a:latin typeface="Calibri"/>
              </a:rPr>
              <a:t>log(Biom)</a:t>
            </a:r>
          </a:p>
        </c:rich>
      </c:tx>
      <c:overlay val="0"/>
    </c:title>
    <c:autoTitleDeleted val="0"/>
    <c:plotArea>
      <c:layout/>
      <c:scatterChart>
        <c:scatterStyle val="lineMarker"/>
        <c:varyColors val="0"/>
        <c:ser>
          <c:idx val="0"/>
          <c:order val="0"/>
          <c:tx>
            <c:strRef>
              <c:f>'FigS2-S3'!$O$1</c:f>
              <c:strCache>
                <c:ptCount val="1"/>
                <c:pt idx="0">
                  <c:v>log(Biom)</c:v>
                </c:pt>
              </c:strCache>
            </c:strRef>
          </c:tx>
          <c:spPr>
            <a:ln w="19080">
              <a:noFill/>
            </a:ln>
          </c:spPr>
          <c:marker>
            <c:symbol val="circle"/>
            <c:size val="5"/>
            <c:spPr>
              <a:solidFill>
                <a:srgbClr val="4472C4"/>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19080">
                <a:solidFill>
                  <a:srgbClr val="4472C4"/>
                </a:solidFill>
                <a:round/>
              </a:ln>
            </c:spPr>
            <c:trendlineType val="power"/>
            <c:dispRSqr val="1"/>
            <c:dispEq val="1"/>
            <c:trendlineLbl>
              <c:numFmt formatCode="General" sourceLinked="0"/>
            </c:trendlineLbl>
          </c:trendline>
          <c:trendline>
            <c:spPr>
              <a:ln w="19080">
                <a:solidFill>
                  <a:srgbClr val="4472C4"/>
                </a:solidFill>
                <a:round/>
              </a:ln>
            </c:spPr>
            <c:trendlineType val="log"/>
            <c:dispRSqr val="1"/>
            <c:dispEq val="1"/>
            <c:trendlineLbl>
              <c:numFmt formatCode="General" sourceLinked="0"/>
            </c:trendlineLbl>
          </c:trendline>
          <c:trendline>
            <c:spPr>
              <a:ln w="19080">
                <a:solidFill>
                  <a:srgbClr val="4472C4"/>
                </a:solidFill>
                <a:round/>
              </a:ln>
            </c:spPr>
            <c:trendlineType val="linear"/>
            <c:dispRSqr val="1"/>
            <c:dispEq val="1"/>
            <c:trendlineLbl>
              <c:numFmt formatCode="General" sourceLinked="0"/>
            </c:trendlineLbl>
          </c:trendline>
          <c:xVal>
            <c:numRef>
              <c:f>'FigS2-S3'!$N$2:$N$18</c:f>
              <c:numCache>
                <c:formatCode>General</c:formatCode>
                <c:ptCount val="17"/>
                <c:pt idx="0">
                  <c:v>5.1760912590556813</c:v>
                </c:pt>
                <c:pt idx="2">
                  <c:v>-13.589787318745417</c:v>
                </c:pt>
                <c:pt idx="3">
                  <c:v>-13.61217159974005</c:v>
                </c:pt>
                <c:pt idx="4">
                  <c:v>-10.823908740944319</c:v>
                </c:pt>
                <c:pt idx="5">
                  <c:v>-5.0882708090828164</c:v>
                </c:pt>
                <c:pt idx="6">
                  <c:v>-3.5895244428880564</c:v>
                </c:pt>
                <c:pt idx="7">
                  <c:v>-3.4365225543047431</c:v>
                </c:pt>
                <c:pt idx="8">
                  <c:v>-2.3411204480347161</c:v>
                </c:pt>
                <c:pt idx="9">
                  <c:v>-0.22301916900066324</c:v>
                </c:pt>
                <c:pt idx="10">
                  <c:v>-7.3010299956639804</c:v>
                </c:pt>
                <c:pt idx="11">
                  <c:v>3.8750612633917001</c:v>
                </c:pt>
                <c:pt idx="12">
                  <c:v>4.3481383525639359</c:v>
                </c:pt>
                <c:pt idx="13">
                  <c:v>-11.118190280832126</c:v>
                </c:pt>
                <c:pt idx="14">
                  <c:v>0.74246829227447053</c:v>
                </c:pt>
                <c:pt idx="15">
                  <c:v>3.8098872341673045</c:v>
                </c:pt>
              </c:numCache>
            </c:numRef>
          </c:xVal>
          <c:yVal>
            <c:numRef>
              <c:f>'FigS2-S3'!$O$2:$O$18</c:f>
              <c:numCache>
                <c:formatCode>General</c:formatCode>
                <c:ptCount val="17"/>
                <c:pt idx="0">
                  <c:v>17.653212513775344</c:v>
                </c:pt>
                <c:pt idx="1">
                  <c:v>17.653212513775344</c:v>
                </c:pt>
                <c:pt idx="2">
                  <c:v>16.865676784621346</c:v>
                </c:pt>
                <c:pt idx="3">
                  <c:v>15.869420961036102</c:v>
                </c:pt>
                <c:pt idx="4">
                  <c:v>16.083747108288492</c:v>
                </c:pt>
                <c:pt idx="5">
                  <c:v>15.061423486980738</c:v>
                </c:pt>
                <c:pt idx="6">
                  <c:v>14.297774616661242</c:v>
                </c:pt>
                <c:pt idx="7">
                  <c:v>14.260035229352836</c:v>
                </c:pt>
                <c:pt idx="8">
                  <c:v>13.952389577644663</c:v>
                </c:pt>
                <c:pt idx="9">
                  <c:v>14.824523408026248</c:v>
                </c:pt>
                <c:pt idx="10">
                  <c:v>13.292514321516641</c:v>
                </c:pt>
                <c:pt idx="11">
                  <c:v>13.74329465063782</c:v>
                </c:pt>
                <c:pt idx="12">
                  <c:v>14.029979462630349</c:v>
                </c:pt>
                <c:pt idx="13">
                  <c:v>15.565044590701925</c:v>
                </c:pt>
                <c:pt idx="14">
                  <c:v>12.219589546994133</c:v>
                </c:pt>
                <c:pt idx="15">
                  <c:v>14.923830586474141</c:v>
                </c:pt>
              </c:numCache>
            </c:numRef>
          </c:yVal>
          <c:smooth val="0"/>
          <c:extLst>
            <c:ext xmlns:c16="http://schemas.microsoft.com/office/drawing/2014/chart" uri="{C3380CC4-5D6E-409C-BE32-E72D297353CC}">
              <c16:uniqueId val="{00000003-8C0C-C54D-B9DD-4B9DD5351194}"/>
            </c:ext>
          </c:extLst>
        </c:ser>
        <c:dLbls>
          <c:showLegendKey val="0"/>
          <c:showVal val="0"/>
          <c:showCatName val="0"/>
          <c:showSerName val="0"/>
          <c:showPercent val="0"/>
          <c:showBubbleSize val="0"/>
        </c:dLbls>
        <c:axId val="4181383"/>
        <c:axId val="32930740"/>
      </c:scatterChart>
      <c:valAx>
        <c:axId val="4181383"/>
        <c:scaling>
          <c:orientation val="minMax"/>
        </c:scaling>
        <c:delete val="0"/>
        <c:axPos val="b"/>
        <c:majorGridlines>
          <c:spPr>
            <a:ln w="9360">
              <a:solidFill>
                <a:srgbClr val="D9D9D9"/>
              </a:solidFill>
              <a:round/>
            </a:ln>
          </c:spPr>
        </c:majorGridlines>
        <c:title>
          <c:tx>
            <c:rich>
              <a:bodyPr rot="0"/>
              <a:lstStyle/>
              <a:p>
                <a:pPr>
                  <a:defRPr sz="1000" b="0" strike="noStrike" spc="-1">
                    <a:solidFill>
                      <a:srgbClr val="595959"/>
                    </a:solidFill>
                    <a:latin typeface="Calibri"/>
                  </a:defRPr>
                </a:pPr>
                <a:r>
                  <a:rPr sz="1000" b="0" strike="noStrike" spc="-1">
                    <a:solidFill>
                      <a:srgbClr val="595959"/>
                    </a:solidFill>
                    <a:latin typeface="Calibri"/>
                  </a:rPr>
                  <a:t>log(body size [g])</a:t>
                </a:r>
              </a:p>
            </c:rich>
          </c:tx>
          <c:overlay val="0"/>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n-US"/>
          </a:p>
        </c:txPr>
        <c:crossAx val="32930740"/>
        <c:crosses val="autoZero"/>
        <c:crossBetween val="midCat"/>
      </c:valAx>
      <c:valAx>
        <c:axId val="32930740"/>
        <c:scaling>
          <c:orientation val="minMax"/>
          <c:min val="12"/>
        </c:scaling>
        <c:delete val="0"/>
        <c:axPos val="l"/>
        <c:majorGridlines>
          <c:spPr>
            <a:ln w="9360">
              <a:solidFill>
                <a:srgbClr val="D9D9D9"/>
              </a:solidFill>
              <a:round/>
            </a:ln>
          </c:spPr>
        </c:majorGridlines>
        <c:title>
          <c:tx>
            <c:rich>
              <a:bodyPr rot="-5400000"/>
              <a:lstStyle/>
              <a:p>
                <a:pPr>
                  <a:defRPr sz="1000" b="0" strike="noStrike" spc="-1">
                    <a:solidFill>
                      <a:srgbClr val="595959"/>
                    </a:solidFill>
                    <a:latin typeface="Calibri"/>
                  </a:defRPr>
                </a:pPr>
                <a:r>
                  <a:rPr sz="1000" b="0" strike="noStrike" spc="-1">
                    <a:solidFill>
                      <a:srgbClr val="595959"/>
                    </a:solidFill>
                    <a:latin typeface="Calibri"/>
                  </a:rPr>
                  <a:t>log(biomass [g])</a:t>
                </a:r>
              </a:p>
            </c:rich>
          </c:tx>
          <c:overlay val="0"/>
        </c:title>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latin typeface="Calibri"/>
              </a:defRPr>
            </a:pPr>
            <a:endParaRPr lang="en-US"/>
          </a:p>
        </c:txPr>
        <c:crossAx val="4181383"/>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49680</xdr:colOff>
      <xdr:row>64</xdr:row>
      <xdr:rowOff>126000</xdr:rowOff>
    </xdr:to>
    <xdr:sp macro="" textlink="">
      <xdr:nvSpPr>
        <xdr:cNvPr id="2" name="CustomShape 1" hidden="1">
          <a:extLst>
            <a:ext uri="{FF2B5EF4-FFF2-40B4-BE49-F238E27FC236}">
              <a16:creationId xmlns:a16="http://schemas.microsoft.com/office/drawing/2014/main" id="{00000000-0008-0000-0100-000002000000}"/>
            </a:ext>
          </a:extLst>
        </xdr:cNvPr>
        <xdr:cNvSpPr/>
      </xdr:nvSpPr>
      <xdr:spPr>
        <a:xfrm>
          <a:off x="0" y="0"/>
          <a:ext cx="11763360" cy="129495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50040</xdr:colOff>
      <xdr:row>64</xdr:row>
      <xdr:rowOff>88200</xdr:rowOff>
    </xdr:to>
    <xdr:sp macro="" textlink="">
      <xdr:nvSpPr>
        <xdr:cNvPr id="3" name="CustomShape 1" hidden="1">
          <a:extLst>
            <a:ext uri="{FF2B5EF4-FFF2-40B4-BE49-F238E27FC236}">
              <a16:creationId xmlns:a16="http://schemas.microsoft.com/office/drawing/2014/main" id="{00000000-0008-0000-0100-000003000000}"/>
            </a:ext>
          </a:extLst>
        </xdr:cNvPr>
        <xdr:cNvSpPr/>
      </xdr:nvSpPr>
      <xdr:spPr>
        <a:xfrm>
          <a:off x="0" y="0"/>
          <a:ext cx="11763720" cy="129117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50800</xdr:colOff>
      <xdr:row>64</xdr:row>
      <xdr:rowOff>88900</xdr:rowOff>
    </xdr:to>
    <xdr:sp macro="" textlink="">
      <xdr:nvSpPr>
        <xdr:cNvPr id="1026" name="shapetype_202" hidden="1">
          <a:extLst>
            <a:ext uri="{FF2B5EF4-FFF2-40B4-BE49-F238E27FC236}">
              <a16:creationId xmlns:a16="http://schemas.microsoft.com/office/drawing/2014/main" id="{00000000-0008-0000-0100-000002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113400</xdr:colOff>
      <xdr:row>72</xdr:row>
      <xdr:rowOff>37080</xdr:rowOff>
    </xdr:to>
    <xdr:sp macro="" textlink="">
      <xdr:nvSpPr>
        <xdr:cNvPr id="2" name="CustomShape 1" hidden="1">
          <a:extLst>
            <a:ext uri="{FF2B5EF4-FFF2-40B4-BE49-F238E27FC236}">
              <a16:creationId xmlns:a16="http://schemas.microsoft.com/office/drawing/2014/main" id="{00000000-0008-0000-0300-000002000000}"/>
            </a:ext>
          </a:extLst>
        </xdr:cNvPr>
        <xdr:cNvSpPr/>
      </xdr:nvSpPr>
      <xdr:spPr>
        <a:xfrm>
          <a:off x="0" y="0"/>
          <a:ext cx="11766600" cy="128512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19</xdr:col>
      <xdr:colOff>113760</xdr:colOff>
      <xdr:row>72</xdr:row>
      <xdr:rowOff>37440</xdr:rowOff>
    </xdr:to>
    <xdr:sp macro="" textlink="">
      <xdr:nvSpPr>
        <xdr:cNvPr id="3" name="CustomShape 1" hidden="1">
          <a:extLst>
            <a:ext uri="{FF2B5EF4-FFF2-40B4-BE49-F238E27FC236}">
              <a16:creationId xmlns:a16="http://schemas.microsoft.com/office/drawing/2014/main" id="{00000000-0008-0000-0300-000003000000}"/>
            </a:ext>
          </a:extLst>
        </xdr:cNvPr>
        <xdr:cNvSpPr/>
      </xdr:nvSpPr>
      <xdr:spPr>
        <a:xfrm>
          <a:off x="0" y="0"/>
          <a:ext cx="11766960" cy="128516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19</xdr:col>
      <xdr:colOff>114300</xdr:colOff>
      <xdr:row>72</xdr:row>
      <xdr:rowOff>38100</xdr:rowOff>
    </xdr:to>
    <xdr:sp macro="" textlink="">
      <xdr:nvSpPr>
        <xdr:cNvPr id="2050" name="shapetype_202" hidden="1">
          <a:extLst>
            <a:ext uri="{FF2B5EF4-FFF2-40B4-BE49-F238E27FC236}">
              <a16:creationId xmlns:a16="http://schemas.microsoft.com/office/drawing/2014/main" id="{00000000-0008-0000-0300-00000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554400</xdr:colOff>
      <xdr:row>77</xdr:row>
      <xdr:rowOff>97560</xdr:rowOff>
    </xdr:from>
    <xdr:to>
      <xdr:col>22</xdr:col>
      <xdr:colOff>464400</xdr:colOff>
      <xdr:row>95</xdr:row>
      <xdr:rowOff>83520</xdr:rowOff>
    </xdr:to>
    <xdr:graphicFrame macro="">
      <xdr:nvGraphicFramePr>
        <xdr:cNvPr id="10" name="Chart 2">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378409</xdr:colOff>
      <xdr:row>68</xdr:row>
      <xdr:rowOff>164160</xdr:rowOff>
    </xdr:to>
    <xdr:sp macro="" textlink="">
      <xdr:nvSpPr>
        <xdr:cNvPr id="11" name="CustomShape 1" hidden="1">
          <a:extLst>
            <a:ext uri="{FF2B5EF4-FFF2-40B4-BE49-F238E27FC236}">
              <a16:creationId xmlns:a16="http://schemas.microsoft.com/office/drawing/2014/main" id="{00000000-0008-0000-0700-00000B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378409</xdr:colOff>
      <xdr:row>68</xdr:row>
      <xdr:rowOff>164160</xdr:rowOff>
    </xdr:to>
    <xdr:sp macro="" textlink="">
      <xdr:nvSpPr>
        <xdr:cNvPr id="12" name="CustomShape 1" hidden="1">
          <a:extLst>
            <a:ext uri="{FF2B5EF4-FFF2-40B4-BE49-F238E27FC236}">
              <a16:creationId xmlns:a16="http://schemas.microsoft.com/office/drawing/2014/main" id="{00000000-0008-0000-0700-00000C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378409</xdr:colOff>
      <xdr:row>68</xdr:row>
      <xdr:rowOff>164160</xdr:rowOff>
    </xdr:to>
    <xdr:sp macro="" textlink="">
      <xdr:nvSpPr>
        <xdr:cNvPr id="13" name="CustomShape 1" hidden="1">
          <a:extLst>
            <a:ext uri="{FF2B5EF4-FFF2-40B4-BE49-F238E27FC236}">
              <a16:creationId xmlns:a16="http://schemas.microsoft.com/office/drawing/2014/main" id="{00000000-0008-0000-0700-00000D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378409</xdr:colOff>
      <xdr:row>68</xdr:row>
      <xdr:rowOff>164160</xdr:rowOff>
    </xdr:to>
    <xdr:sp macro="" textlink="">
      <xdr:nvSpPr>
        <xdr:cNvPr id="14" name="CustomShape 1" hidden="1">
          <a:extLst>
            <a:ext uri="{FF2B5EF4-FFF2-40B4-BE49-F238E27FC236}">
              <a16:creationId xmlns:a16="http://schemas.microsoft.com/office/drawing/2014/main" id="{00000000-0008-0000-0700-00000E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378409</xdr:colOff>
      <xdr:row>68</xdr:row>
      <xdr:rowOff>164160</xdr:rowOff>
    </xdr:to>
    <xdr:sp macro="" textlink="">
      <xdr:nvSpPr>
        <xdr:cNvPr id="15" name="CustomShape 1" hidden="1">
          <a:extLst>
            <a:ext uri="{FF2B5EF4-FFF2-40B4-BE49-F238E27FC236}">
              <a16:creationId xmlns:a16="http://schemas.microsoft.com/office/drawing/2014/main" id="{00000000-0008-0000-0700-00000F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378409</xdr:colOff>
      <xdr:row>68</xdr:row>
      <xdr:rowOff>164160</xdr:rowOff>
    </xdr:to>
    <xdr:sp macro="" textlink="">
      <xdr:nvSpPr>
        <xdr:cNvPr id="16" name="CustomShape 1" hidden="1">
          <a:extLst>
            <a:ext uri="{FF2B5EF4-FFF2-40B4-BE49-F238E27FC236}">
              <a16:creationId xmlns:a16="http://schemas.microsoft.com/office/drawing/2014/main" id="{00000000-0008-0000-0700-000010000000}"/>
            </a:ext>
          </a:extLst>
        </xdr:cNvPr>
        <xdr:cNvSpPr/>
      </xdr:nvSpPr>
      <xdr:spPr>
        <a:xfrm>
          <a:off x="0" y="0"/>
          <a:ext cx="11760120" cy="130194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17" name="CustomShape 1" hidden="1">
          <a:extLst>
            <a:ext uri="{FF2B5EF4-FFF2-40B4-BE49-F238E27FC236}">
              <a16:creationId xmlns:a16="http://schemas.microsoft.com/office/drawing/2014/main" id="{00000000-0008-0000-0700-000011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18" name="CustomShape 1" hidden="1">
          <a:extLst>
            <a:ext uri="{FF2B5EF4-FFF2-40B4-BE49-F238E27FC236}">
              <a16:creationId xmlns:a16="http://schemas.microsoft.com/office/drawing/2014/main" id="{00000000-0008-0000-0700-000012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19" name="CustomShape 1" hidden="1">
          <a:extLst>
            <a:ext uri="{FF2B5EF4-FFF2-40B4-BE49-F238E27FC236}">
              <a16:creationId xmlns:a16="http://schemas.microsoft.com/office/drawing/2014/main" id="{00000000-0008-0000-0700-000013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20" name="CustomShape 1" hidden="1">
          <a:extLst>
            <a:ext uri="{FF2B5EF4-FFF2-40B4-BE49-F238E27FC236}">
              <a16:creationId xmlns:a16="http://schemas.microsoft.com/office/drawing/2014/main" id="{00000000-0008-0000-0700-000014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21" name="CustomShape 1" hidden="1">
          <a:extLst>
            <a:ext uri="{FF2B5EF4-FFF2-40B4-BE49-F238E27FC236}">
              <a16:creationId xmlns:a16="http://schemas.microsoft.com/office/drawing/2014/main" id="{00000000-0008-0000-0700-000015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15</xdr:col>
      <xdr:colOff>378769</xdr:colOff>
      <xdr:row>68</xdr:row>
      <xdr:rowOff>11880</xdr:rowOff>
    </xdr:to>
    <xdr:sp macro="" textlink="">
      <xdr:nvSpPr>
        <xdr:cNvPr id="22" name="CustomShape 1" hidden="1">
          <a:extLst>
            <a:ext uri="{FF2B5EF4-FFF2-40B4-BE49-F238E27FC236}">
              <a16:creationId xmlns:a16="http://schemas.microsoft.com/office/drawing/2014/main" id="{00000000-0008-0000-0700-000016000000}"/>
            </a:ext>
          </a:extLst>
        </xdr:cNvPr>
        <xdr:cNvSpPr/>
      </xdr:nvSpPr>
      <xdr:spPr>
        <a:xfrm>
          <a:off x="0" y="0"/>
          <a:ext cx="11760480" cy="128671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16</xdr:col>
      <xdr:colOff>12700</xdr:colOff>
      <xdr:row>68</xdr:row>
      <xdr:rowOff>12700</xdr:rowOff>
    </xdr:to>
    <xdr:sp macro="" textlink="">
      <xdr:nvSpPr>
        <xdr:cNvPr id="5132" name="shapetype_202" hidden="1">
          <a:extLst>
            <a:ext uri="{FF2B5EF4-FFF2-40B4-BE49-F238E27FC236}">
              <a16:creationId xmlns:a16="http://schemas.microsoft.com/office/drawing/2014/main" id="{00000000-0008-0000-0700-00000C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12700</xdr:colOff>
      <xdr:row>68</xdr:row>
      <xdr:rowOff>12700</xdr:rowOff>
    </xdr:to>
    <xdr:sp macro="" textlink="">
      <xdr:nvSpPr>
        <xdr:cNvPr id="5130" name="shapetype_202" hidden="1">
          <a:extLst>
            <a:ext uri="{FF2B5EF4-FFF2-40B4-BE49-F238E27FC236}">
              <a16:creationId xmlns:a16="http://schemas.microsoft.com/office/drawing/2014/main" id="{00000000-0008-0000-0700-00000A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12700</xdr:colOff>
      <xdr:row>68</xdr:row>
      <xdr:rowOff>12700</xdr:rowOff>
    </xdr:to>
    <xdr:sp macro="" textlink="">
      <xdr:nvSpPr>
        <xdr:cNvPr id="5128" name="shapetype_202" hidden="1">
          <a:extLst>
            <a:ext uri="{FF2B5EF4-FFF2-40B4-BE49-F238E27FC236}">
              <a16:creationId xmlns:a16="http://schemas.microsoft.com/office/drawing/2014/main" id="{00000000-0008-0000-0700-000008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12700</xdr:colOff>
      <xdr:row>68</xdr:row>
      <xdr:rowOff>12700</xdr:rowOff>
    </xdr:to>
    <xdr:sp macro="" textlink="">
      <xdr:nvSpPr>
        <xdr:cNvPr id="5126" name="shapetype_202" hidden="1">
          <a:extLst>
            <a:ext uri="{FF2B5EF4-FFF2-40B4-BE49-F238E27FC236}">
              <a16:creationId xmlns:a16="http://schemas.microsoft.com/office/drawing/2014/main" id="{00000000-0008-0000-0700-000006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12700</xdr:colOff>
      <xdr:row>68</xdr:row>
      <xdr:rowOff>12700</xdr:rowOff>
    </xdr:to>
    <xdr:sp macro="" textlink="">
      <xdr:nvSpPr>
        <xdr:cNvPr id="5124" name="shapetype_202" hidden="1">
          <a:extLst>
            <a:ext uri="{FF2B5EF4-FFF2-40B4-BE49-F238E27FC236}">
              <a16:creationId xmlns:a16="http://schemas.microsoft.com/office/drawing/2014/main" id="{00000000-0008-0000-0700-000004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12700</xdr:colOff>
      <xdr:row>68</xdr:row>
      <xdr:rowOff>12700</xdr:rowOff>
    </xdr:to>
    <xdr:sp macro="" textlink="">
      <xdr:nvSpPr>
        <xdr:cNvPr id="5122" name="shapetype_202" hidden="1">
          <a:extLst>
            <a:ext uri="{FF2B5EF4-FFF2-40B4-BE49-F238E27FC236}">
              <a16:creationId xmlns:a16="http://schemas.microsoft.com/office/drawing/2014/main" id="{00000000-0008-0000-0700-0000021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1057213</xdr:colOff>
      <xdr:row>65</xdr:row>
      <xdr:rowOff>166742</xdr:rowOff>
    </xdr:to>
    <xdr:sp macro="" textlink="">
      <xdr:nvSpPr>
        <xdr:cNvPr id="4" name="CustomShape 1" hidden="1">
          <a:extLst>
            <a:ext uri="{FF2B5EF4-FFF2-40B4-BE49-F238E27FC236}">
              <a16:creationId xmlns:a16="http://schemas.microsoft.com/office/drawing/2014/main" id="{00000000-0008-0000-0400-000004000000}"/>
            </a:ext>
          </a:extLst>
        </xdr:cNvPr>
        <xdr:cNvSpPr/>
      </xdr:nvSpPr>
      <xdr:spPr>
        <a:xfrm>
          <a:off x="0" y="0"/>
          <a:ext cx="11795760" cy="12984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1057213</xdr:colOff>
      <xdr:row>65</xdr:row>
      <xdr:rowOff>166742</xdr:rowOff>
    </xdr:to>
    <xdr:sp macro="" textlink="">
      <xdr:nvSpPr>
        <xdr:cNvPr id="5" name="CustomShape 1" hidden="1">
          <a:extLst>
            <a:ext uri="{FF2B5EF4-FFF2-40B4-BE49-F238E27FC236}">
              <a16:creationId xmlns:a16="http://schemas.microsoft.com/office/drawing/2014/main" id="{00000000-0008-0000-0400-000005000000}"/>
            </a:ext>
          </a:extLst>
        </xdr:cNvPr>
        <xdr:cNvSpPr/>
      </xdr:nvSpPr>
      <xdr:spPr>
        <a:xfrm>
          <a:off x="0" y="0"/>
          <a:ext cx="11795760" cy="12984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1057213</xdr:colOff>
      <xdr:row>65</xdr:row>
      <xdr:rowOff>166742</xdr:rowOff>
    </xdr:to>
    <xdr:sp macro="" textlink="">
      <xdr:nvSpPr>
        <xdr:cNvPr id="6" name="CustomShape 1" hidden="1">
          <a:extLst>
            <a:ext uri="{FF2B5EF4-FFF2-40B4-BE49-F238E27FC236}">
              <a16:creationId xmlns:a16="http://schemas.microsoft.com/office/drawing/2014/main" id="{00000000-0008-0000-0400-000006000000}"/>
            </a:ext>
          </a:extLst>
        </xdr:cNvPr>
        <xdr:cNvSpPr/>
      </xdr:nvSpPr>
      <xdr:spPr>
        <a:xfrm>
          <a:off x="0" y="0"/>
          <a:ext cx="11795760" cy="129844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1057573</xdr:colOff>
      <xdr:row>65</xdr:row>
      <xdr:rowOff>167102</xdr:rowOff>
    </xdr:to>
    <xdr:sp macro="" textlink="">
      <xdr:nvSpPr>
        <xdr:cNvPr id="7" name="CustomShape 1" hidden="1">
          <a:extLst>
            <a:ext uri="{FF2B5EF4-FFF2-40B4-BE49-F238E27FC236}">
              <a16:creationId xmlns:a16="http://schemas.microsoft.com/office/drawing/2014/main" id="{00000000-0008-0000-0400-000007000000}"/>
            </a:ext>
          </a:extLst>
        </xdr:cNvPr>
        <xdr:cNvSpPr/>
      </xdr:nvSpPr>
      <xdr:spPr>
        <a:xfrm>
          <a:off x="0" y="0"/>
          <a:ext cx="11796120" cy="129848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1057573</xdr:colOff>
      <xdr:row>65</xdr:row>
      <xdr:rowOff>167102</xdr:rowOff>
    </xdr:to>
    <xdr:sp macro="" textlink="">
      <xdr:nvSpPr>
        <xdr:cNvPr id="8" name="CustomShape 1" hidden="1">
          <a:extLst>
            <a:ext uri="{FF2B5EF4-FFF2-40B4-BE49-F238E27FC236}">
              <a16:creationId xmlns:a16="http://schemas.microsoft.com/office/drawing/2014/main" id="{00000000-0008-0000-0400-000008000000}"/>
            </a:ext>
          </a:extLst>
        </xdr:cNvPr>
        <xdr:cNvSpPr/>
      </xdr:nvSpPr>
      <xdr:spPr>
        <a:xfrm>
          <a:off x="0" y="0"/>
          <a:ext cx="11796120" cy="129848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10</xdr:col>
      <xdr:colOff>1057573</xdr:colOff>
      <xdr:row>65</xdr:row>
      <xdr:rowOff>167102</xdr:rowOff>
    </xdr:to>
    <xdr:sp macro="" textlink="">
      <xdr:nvSpPr>
        <xdr:cNvPr id="9" name="CustomShape 1" hidden="1">
          <a:extLst>
            <a:ext uri="{FF2B5EF4-FFF2-40B4-BE49-F238E27FC236}">
              <a16:creationId xmlns:a16="http://schemas.microsoft.com/office/drawing/2014/main" id="{00000000-0008-0000-0400-000009000000}"/>
            </a:ext>
          </a:extLst>
        </xdr:cNvPr>
        <xdr:cNvSpPr/>
      </xdr:nvSpPr>
      <xdr:spPr>
        <a:xfrm>
          <a:off x="0" y="0"/>
          <a:ext cx="11796120" cy="129848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24</xdr:col>
      <xdr:colOff>508000</xdr:colOff>
      <xdr:row>56</xdr:row>
      <xdr:rowOff>12700</xdr:rowOff>
    </xdr:to>
    <xdr:sp macro="" textlink="">
      <xdr:nvSpPr>
        <xdr:cNvPr id="3078" name="shapetype_202" hidden="1">
          <a:extLst>
            <a:ext uri="{FF2B5EF4-FFF2-40B4-BE49-F238E27FC236}">
              <a16:creationId xmlns:a16="http://schemas.microsoft.com/office/drawing/2014/main" id="{00000000-0008-0000-0400-000006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24</xdr:col>
      <xdr:colOff>508000</xdr:colOff>
      <xdr:row>56</xdr:row>
      <xdr:rowOff>12700</xdr:rowOff>
    </xdr:to>
    <xdr:sp macro="" textlink="">
      <xdr:nvSpPr>
        <xdr:cNvPr id="3076" name="shapetype_202" hidden="1">
          <a:extLst>
            <a:ext uri="{FF2B5EF4-FFF2-40B4-BE49-F238E27FC236}">
              <a16:creationId xmlns:a16="http://schemas.microsoft.com/office/drawing/2014/main" id="{00000000-0008-0000-0400-000004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24</xdr:col>
      <xdr:colOff>508000</xdr:colOff>
      <xdr:row>56</xdr:row>
      <xdr:rowOff>12700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8" Type="http://schemas.openxmlformats.org/officeDocument/2006/relationships/hyperlink" Target="https://peerj.com/articles/715/" TargetMode="External"/><Relationship Id="rId13" Type="http://schemas.openxmlformats.org/officeDocument/2006/relationships/hyperlink" Target="https://www.engineeringtoolbox.com/weigt-wood-d_821.html%20for%20wet%20weight%20to%20dry%20weight,%2050%25%20carbon%20from%20Bar-On%20and%20Fukuda%20R,%20Ogawa%20H,%20Nagata%20T,%20Koike%20I%20I%20(1998)%20Direct%20determination%20of%20carbon%20and%20nitrogen%20contents%20of%20natural%20bacterial%20assemblages%20in%20marine%20environments.%20Appl%20Environ%20Microbiol%2064(9):3352&#8211;3358." TargetMode="External"/><Relationship Id="rId18" Type="http://schemas.openxmlformats.org/officeDocument/2006/relationships/vmlDrawing" Target="../drawings/vmlDrawing4.vml"/><Relationship Id="rId3" Type="http://schemas.openxmlformats.org/officeDocument/2006/relationships/hyperlink" Target="https://doi.org/10.1146/annurev.micro.55.1.105" TargetMode="External"/><Relationship Id="rId7" Type="http://schemas.openxmlformats.org/officeDocument/2006/relationships/hyperlink" Target="https://www.fishbase.se/summary/61753%20(fishbase)" TargetMode="External"/><Relationship Id="rId12" Type="http://schemas.openxmlformats.org/officeDocument/2006/relationships/hyperlink" Target="https://onlinelibrary.wiley.com/doi/pdf/10.1111/j.1463-6409.1994.tb00379.x?casa_token=-FWUfF0fXO4AAAAA:cctyA_Zzy3bfZsxnw3uKXH-w-bBVF2qXq6BeWHalMV1YiAoEpxg7aWQGifkiSmKOdyGnN1PdoMgas2M,%20DOI:10.1017/S0025315409991408," TargetMode="External"/><Relationship Id="rId17" Type="http://schemas.openxmlformats.org/officeDocument/2006/relationships/hyperlink" Target="https://doi.org/10.1371/journal.pone.0029797" TargetMode="External"/><Relationship Id="rId2" Type="http://schemas.openxmlformats.org/officeDocument/2006/relationships/hyperlink" Target="https://microbewiki.kenyon.edu/index.php/Pelagibacter_ubique,%20doi:10.1371/journal.pone.0019725" TargetMode="External"/><Relationship Id="rId16" Type="http://schemas.openxmlformats.org/officeDocument/2006/relationships/hyperlink" Target="https://dx.doi.org/10.1371%2Fjournal.pone.0031314" TargetMode="External"/><Relationship Id="rId1" Type="http://schemas.openxmlformats.org/officeDocument/2006/relationships/hyperlink" Target="https://doi.org/10.1038/ncomms4311" TargetMode="External"/><Relationship Id="rId6" Type="http://schemas.openxmlformats.org/officeDocument/2006/relationships/hyperlink" Target="https://www.abc.net.au/science/articles/2006/01/25/1555027.htm,%20here%20is%20where%20it%20says%20the%20smallest%20fish%20was%20not%20weighed,%20but%20is%20very%20close%20in%20size%20to%20stout%20infantfish,%20so%20I%20will%20use%20the%20size%20for%20that%20fish" TargetMode="External"/><Relationship Id="rId11" Type="http://schemas.openxmlformats.org/officeDocument/2006/relationships/hyperlink" Target="https://doi.org/10.2307/3503984" TargetMode="External"/><Relationship Id="rId5" Type="http://schemas.openxmlformats.org/officeDocument/2006/relationships/hyperlink" Target="https://doi.org/10.1046/j.1365-2427.1998.00267.x" TargetMode="External"/><Relationship Id="rId15" Type="http://schemas.openxmlformats.org/officeDocument/2006/relationships/hyperlink" Target="https://doi.org/10.1073/pnas.0611046104" TargetMode="External"/><Relationship Id="rId10" Type="http://schemas.openxmlformats.org/officeDocument/2006/relationships/hyperlink" Target="https://doi.org/10.2307/3503984" TargetMode="External"/><Relationship Id="rId19" Type="http://schemas.openxmlformats.org/officeDocument/2006/relationships/comments" Target="../comments4.xml"/><Relationship Id="rId4" Type="http://schemas.openxmlformats.org/officeDocument/2006/relationships/hyperlink" Target="https://doi.org/10.1146/annurev.micro.55.1.105" TargetMode="External"/><Relationship Id="rId9" Type="http://schemas.openxmlformats.org/officeDocument/2006/relationships/hyperlink" Target="https://doi.org/10.7717/peerj.715" TargetMode="External"/><Relationship Id="rId14" Type="http://schemas.openxmlformats.org/officeDocument/2006/relationships/hyperlink" Target="https://cimioutdoored.org/kelp-forest/%20for%20mass,%20FAO.org%20for%20wet%20to%20dry%20weight,%20Carbon%20and%20nitrogen%20content%20of%20Laminaria%20saccharina%20in%20the%20eastern%20English%20Channel:%20Biometrics%20and%20seasonal%20variations%20for%20the%20average%20carbon%20content%20of%20seaweed"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jstor.org/stable/3545707" TargetMode="External"/><Relationship Id="rId3" Type="http://schemas.openxmlformats.org/officeDocument/2006/relationships/hyperlink" Target="https://www.nature.com/articles/ncomms4271" TargetMode="External"/><Relationship Id="rId7" Type="http://schemas.openxmlformats.org/officeDocument/2006/relationships/hyperlink" Target="https://www.nature.com/articles/ncomms4271" TargetMode="External"/><Relationship Id="rId2" Type="http://schemas.openxmlformats.org/officeDocument/2006/relationships/hyperlink" Target="https://www.nature.com/articles/ncomms4271" TargetMode="External"/><Relationship Id="rId1" Type="http://schemas.openxmlformats.org/officeDocument/2006/relationships/hyperlink" Target="https://www.nature.com/articles/ncomms4271" TargetMode="External"/><Relationship Id="rId6" Type="http://schemas.openxmlformats.org/officeDocument/2006/relationships/hyperlink" Target="https://www.nature.com/articles/ncomms4271" TargetMode="External"/><Relationship Id="rId5" Type="http://schemas.openxmlformats.org/officeDocument/2006/relationships/hyperlink" Target="https://www.nature.com/articles/ncomms4271" TargetMode="External"/><Relationship Id="rId4" Type="http://schemas.openxmlformats.org/officeDocument/2006/relationships/hyperlink" Target="https://www.jstor.org/stable/35457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
  <sheetViews>
    <sheetView zoomScale="90" zoomScaleNormal="90" workbookViewId="0">
      <selection activeCell="I11" sqref="I11"/>
    </sheetView>
  </sheetViews>
  <sheetFormatPr baseColWidth="10" defaultColWidth="8.83203125" defaultRowHeight="13"/>
  <cols>
    <col min="1" max="1" width="20.83203125" customWidth="1"/>
    <col min="2" max="1025" width="11.33203125" customWidth="1"/>
  </cols>
  <sheetData>
    <row r="1" spans="1:9" ht="16">
      <c r="A1" s="237" t="s">
        <v>0</v>
      </c>
      <c r="B1" s="237"/>
      <c r="C1" s="237"/>
      <c r="D1" s="237"/>
      <c r="E1" s="237"/>
      <c r="F1" s="237"/>
      <c r="G1" s="237"/>
      <c r="H1" s="237"/>
      <c r="I1" s="237"/>
    </row>
    <row r="2" spans="1:9" ht="16">
      <c r="A2" s="238" t="s">
        <v>1</v>
      </c>
      <c r="B2" s="238"/>
      <c r="C2" s="238"/>
      <c r="D2" s="238"/>
      <c r="E2" s="238"/>
      <c r="F2" s="238"/>
      <c r="G2" s="238"/>
      <c r="H2" s="238"/>
      <c r="I2" s="238"/>
    </row>
    <row r="5" spans="1:9" ht="15">
      <c r="A5" s="1" t="s">
        <v>2</v>
      </c>
    </row>
    <row r="6" spans="1:9">
      <c r="A6" t="s">
        <v>3</v>
      </c>
    </row>
    <row r="7" spans="1:9">
      <c r="A7" t="s">
        <v>4</v>
      </c>
    </row>
    <row r="9" spans="1:9">
      <c r="A9" s="2" t="s">
        <v>5</v>
      </c>
      <c r="B9" s="2" t="s">
        <v>6</v>
      </c>
    </row>
    <row r="10" spans="1:9">
      <c r="A10" t="s">
        <v>7</v>
      </c>
      <c r="B10" t="s">
        <v>8</v>
      </c>
    </row>
    <row r="11" spans="1:9">
      <c r="A11" t="s">
        <v>9</v>
      </c>
      <c r="B11" t="s">
        <v>10</v>
      </c>
    </row>
    <row r="12" spans="1:9">
      <c r="A12" t="s">
        <v>11</v>
      </c>
      <c r="B12" t="s">
        <v>12</v>
      </c>
    </row>
    <row r="13" spans="1:9">
      <c r="A13" t="s">
        <v>13</v>
      </c>
      <c r="B13" t="s">
        <v>14</v>
      </c>
    </row>
    <row r="14" spans="1:9">
      <c r="A14" t="s">
        <v>15</v>
      </c>
      <c r="B14" t="s">
        <v>16</v>
      </c>
    </row>
    <row r="15" spans="1:9">
      <c r="A15" t="s">
        <v>17</v>
      </c>
      <c r="B15" t="s">
        <v>18</v>
      </c>
    </row>
    <row r="16" spans="1:9">
      <c r="A16" t="s">
        <v>19</v>
      </c>
      <c r="B16" t="s">
        <v>20</v>
      </c>
    </row>
    <row r="17" spans="1:2" ht="14">
      <c r="A17" s="3" t="s">
        <v>21</v>
      </c>
      <c r="B17" t="s">
        <v>22</v>
      </c>
    </row>
  </sheetData>
  <mergeCells count="2">
    <mergeCell ref="A1:I1"/>
    <mergeCell ref="A2:I2"/>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048576"/>
  <sheetViews>
    <sheetView zoomScale="90" zoomScaleNormal="90" workbookViewId="0">
      <selection activeCell="I11" sqref="I11"/>
    </sheetView>
  </sheetViews>
  <sheetFormatPr baseColWidth="10" defaultColWidth="8.83203125" defaultRowHeight="13"/>
  <cols>
    <col min="1" max="1" width="9" style="4" customWidth="1"/>
    <col min="2" max="2" width="17.33203125" style="5" customWidth="1"/>
    <col min="3" max="3" width="10.33203125" style="148" customWidth="1"/>
    <col min="4" max="4" width="16.33203125" style="4" customWidth="1"/>
    <col min="5" max="5" width="17.5" style="4" customWidth="1"/>
    <col min="6" max="6" width="11" style="4" customWidth="1"/>
    <col min="7" max="7" width="16" style="4" customWidth="1"/>
    <col min="8" max="8" width="7.6640625" style="4" customWidth="1"/>
    <col min="9" max="9" width="10.33203125" style="77" customWidth="1"/>
    <col min="10" max="1025" width="7.6640625" style="4" customWidth="1"/>
  </cols>
  <sheetData>
    <row r="1" spans="1:9" s="5" customFormat="1" ht="39.5" customHeight="1">
      <c r="A1" s="68"/>
      <c r="B1" s="68"/>
      <c r="C1" s="150" t="s">
        <v>111</v>
      </c>
      <c r="D1" s="7" t="s">
        <v>88</v>
      </c>
      <c r="E1" s="7" t="s">
        <v>112</v>
      </c>
      <c r="F1" s="7" t="s">
        <v>113</v>
      </c>
      <c r="G1" s="7" t="s">
        <v>114</v>
      </c>
      <c r="I1" s="149" t="s">
        <v>318</v>
      </c>
    </row>
    <row r="2" spans="1:9" ht="30">
      <c r="A2" s="249" t="s">
        <v>29</v>
      </c>
      <c r="B2" s="9" t="s">
        <v>30</v>
      </c>
      <c r="C2" s="151">
        <f>'Table1 &amp; Fig1'!D2</f>
        <v>60</v>
      </c>
      <c r="D2" s="99">
        <v>2.2334343768208401E+30</v>
      </c>
      <c r="E2" s="100">
        <v>1E+30</v>
      </c>
      <c r="F2" s="250">
        <f>SUM(D2:D5)</f>
        <v>2.8540666010120574E+30</v>
      </c>
      <c r="G2" s="251">
        <v>1E+30</v>
      </c>
      <c r="I2" s="77">
        <f>C2*10^15/D2</f>
        <v>2.6864456203726211E-14</v>
      </c>
    </row>
    <row r="3" spans="1:9" ht="15">
      <c r="A3" s="249"/>
      <c r="B3" s="9" t="s">
        <v>31</v>
      </c>
      <c r="C3" s="152">
        <f>'Table1 &amp; Fig1'!D3</f>
        <v>1.3</v>
      </c>
      <c r="D3" s="103">
        <v>9.8546603616924193E+28</v>
      </c>
      <c r="E3" s="104">
        <v>9.9999999999999991E+28</v>
      </c>
      <c r="F3" s="250"/>
      <c r="G3" s="250"/>
      <c r="I3" s="77">
        <f t="shared" ref="I3:I25" si="0">C3*10^15/D3</f>
        <v>1.3191728099056888E-14</v>
      </c>
    </row>
    <row r="4" spans="1:9" ht="13.75" customHeight="1">
      <c r="A4" s="249"/>
      <c r="B4" s="9" t="s">
        <v>32</v>
      </c>
      <c r="C4" s="152">
        <f>'Table1 &amp; Fig1'!D4</f>
        <v>7</v>
      </c>
      <c r="D4" s="103">
        <v>2.4507659545056E+29</v>
      </c>
      <c r="E4" s="104">
        <v>9.9999999999999991E+28</v>
      </c>
      <c r="F4" s="250"/>
      <c r="G4" s="250"/>
      <c r="I4" s="77">
        <f t="shared" si="0"/>
        <v>2.8562498949077045E-14</v>
      </c>
    </row>
    <row r="5" spans="1:9" ht="30">
      <c r="A5" s="249"/>
      <c r="B5" s="9" t="s">
        <v>33</v>
      </c>
      <c r="C5" s="153">
        <f>'Table1 &amp; Fig1'!C5</f>
        <v>6.6482166029696002</v>
      </c>
      <c r="D5" s="105">
        <v>2.7700902512373301E+29</v>
      </c>
      <c r="E5" s="106">
        <v>9.9999999999999991E+28</v>
      </c>
      <c r="F5" s="250"/>
      <c r="G5" s="250"/>
      <c r="I5" s="77">
        <f t="shared" si="0"/>
        <v>2.4000000000000027E-14</v>
      </c>
    </row>
    <row r="6" spans="1:9" ht="30">
      <c r="A6" s="249" t="s">
        <v>34</v>
      </c>
      <c r="B6" s="9" t="s">
        <v>30</v>
      </c>
      <c r="C6" s="151">
        <f>'Table1 &amp; Fig1'!D6</f>
        <v>4</v>
      </c>
      <c r="D6" s="99">
        <v>1.42559641073671E+29</v>
      </c>
      <c r="E6" s="100">
        <v>9.9999999999999991E+28</v>
      </c>
      <c r="F6" s="250">
        <f>SUM(D6:D9)</f>
        <v>3.0310462329967858E+29</v>
      </c>
      <c r="G6" s="251">
        <v>9.9999999999999991E+28</v>
      </c>
      <c r="I6" s="77">
        <f t="shared" si="0"/>
        <v>2.805843203500286E-14</v>
      </c>
    </row>
    <row r="7" spans="1:9" ht="13.75" customHeight="1">
      <c r="A7" s="249"/>
      <c r="B7" s="9" t="s">
        <v>31</v>
      </c>
      <c r="C7" s="152">
        <f>'Table1 &amp; Fig1'!D7</f>
        <v>0.3</v>
      </c>
      <c r="D7" s="103">
        <v>2.4636650904231E+28</v>
      </c>
      <c r="E7" s="104">
        <v>9.9999999999999996E+27</v>
      </c>
      <c r="F7" s="250"/>
      <c r="G7" s="250"/>
      <c r="I7" s="77">
        <f t="shared" si="0"/>
        <v>1.2176979783744844E-14</v>
      </c>
    </row>
    <row r="8" spans="1:9" ht="13.75" customHeight="1">
      <c r="A8" s="249"/>
      <c r="B8" s="9" t="s">
        <v>32</v>
      </c>
      <c r="C8" s="152">
        <f>'Table1 &amp; Fig1'!D8</f>
        <v>0.5</v>
      </c>
      <c r="D8" s="103">
        <v>1.71901776973196E+28</v>
      </c>
      <c r="E8" s="104">
        <v>9.9999999999999996E+27</v>
      </c>
      <c r="F8" s="250"/>
      <c r="G8" s="250"/>
      <c r="I8" s="77">
        <f t="shared" si="0"/>
        <v>2.9086377628194218E-14</v>
      </c>
    </row>
    <row r="9" spans="1:9" ht="30">
      <c r="A9" s="249"/>
      <c r="B9" s="9" t="s">
        <v>33</v>
      </c>
      <c r="C9" s="153">
        <f>'Table1 &amp; Fig1'!D9</f>
        <v>3</v>
      </c>
      <c r="D9" s="105">
        <v>1.1871815362445699E+29</v>
      </c>
      <c r="E9" s="106">
        <v>9.9999999999999991E+28</v>
      </c>
      <c r="F9" s="250"/>
      <c r="G9" s="250"/>
      <c r="I9" s="77">
        <f t="shared" si="0"/>
        <v>2.5269934785963295E-14</v>
      </c>
    </row>
    <row r="10" spans="1:9" ht="13.75" customHeight="1">
      <c r="A10" s="249" t="s">
        <v>35</v>
      </c>
      <c r="B10" s="9" t="s">
        <v>36</v>
      </c>
      <c r="C10" s="151">
        <f>'Table1 &amp; Fig1'!D10</f>
        <v>12</v>
      </c>
      <c r="D10" s="99">
        <v>7.86800319443639E+26</v>
      </c>
      <c r="E10" s="100"/>
      <c r="F10" s="250">
        <f>SUM(D10:D11)</f>
        <v>8.0845499608654076E+26</v>
      </c>
      <c r="G10" s="251">
        <v>1E+27</v>
      </c>
      <c r="I10" s="77">
        <f t="shared" si="0"/>
        <v>1.5251646070105081E-11</v>
      </c>
    </row>
    <row r="11" spans="1:9" ht="13.75" customHeight="1">
      <c r="A11" s="249"/>
      <c r="B11" s="9" t="s">
        <v>31</v>
      </c>
      <c r="C11" s="152">
        <f>'Table1 &amp; Fig1'!D11</f>
        <v>0.3</v>
      </c>
      <c r="D11" s="103">
        <v>2.1654676642901801E+25</v>
      </c>
      <c r="F11" s="250"/>
      <c r="G11" s="250"/>
      <c r="I11" s="77">
        <f t="shared" si="0"/>
        <v>1.3853820352396589E-11</v>
      </c>
    </row>
    <row r="12" spans="1:9" ht="13.75" customHeight="1">
      <c r="A12" s="249" t="s">
        <v>37</v>
      </c>
      <c r="B12" s="9" t="s">
        <v>38</v>
      </c>
      <c r="C12" s="151">
        <f>'Table1 &amp; Fig1'!D12</f>
        <v>0.2</v>
      </c>
      <c r="D12" s="99">
        <v>7.71434503765552E+17</v>
      </c>
      <c r="E12" s="100">
        <v>1E+18</v>
      </c>
      <c r="F12" s="250">
        <f>SUM(D12:D22)</f>
        <v>5.3567696668068073E+20</v>
      </c>
      <c r="G12" s="251">
        <v>1E+21</v>
      </c>
      <c r="I12" s="77">
        <f t="shared" si="0"/>
        <v>2.5925726555365788E-4</v>
      </c>
    </row>
    <row r="13" spans="1:9" ht="30">
      <c r="A13" s="249"/>
      <c r="B13" s="9" t="s">
        <v>39</v>
      </c>
      <c r="C13" s="152">
        <f>'Table1 &amp; Fig1'!D13</f>
        <v>0.2</v>
      </c>
      <c r="D13" s="107">
        <v>1E+18</v>
      </c>
      <c r="E13" s="104">
        <v>1E+18</v>
      </c>
      <c r="F13" s="250"/>
      <c r="G13" s="250"/>
      <c r="I13" s="77">
        <f t="shared" si="0"/>
        <v>2.0000000000000001E-4</v>
      </c>
    </row>
    <row r="14" spans="1:9" ht="15">
      <c r="A14" s="249"/>
      <c r="B14" s="9" t="s">
        <v>40</v>
      </c>
      <c r="C14" s="152">
        <f>'Table1 &amp; Fig1'!D14</f>
        <v>1</v>
      </c>
      <c r="D14" s="103">
        <v>1.4115435961363001E+20</v>
      </c>
      <c r="E14" s="104">
        <v>1E+20</v>
      </c>
      <c r="F14" s="250"/>
      <c r="G14" s="250"/>
      <c r="I14" s="77">
        <f t="shared" si="0"/>
        <v>7.084442894553283E-6</v>
      </c>
    </row>
    <row r="15" spans="1:9" ht="13.75" customHeight="1">
      <c r="A15" s="249"/>
      <c r="B15" s="9" t="s">
        <v>41</v>
      </c>
      <c r="C15" s="152">
        <f>'Table1 &amp; Fig1'!D15</f>
        <v>0.1</v>
      </c>
      <c r="D15" s="103">
        <v>1.96566735744801E+16</v>
      </c>
      <c r="E15" s="104">
        <v>1E+16</v>
      </c>
      <c r="F15" s="250"/>
      <c r="G15" s="250"/>
      <c r="I15" s="77">
        <f t="shared" si="0"/>
        <v>5.0873307541632155E-3</v>
      </c>
    </row>
    <row r="16" spans="1:9" ht="13.75" customHeight="1">
      <c r="A16" s="249"/>
      <c r="B16" s="9" t="s">
        <v>42</v>
      </c>
      <c r="C16" s="152">
        <f>'Table1 &amp; Fig1'!D16</f>
        <v>0.2</v>
      </c>
      <c r="D16" s="103">
        <v>4.9723052673516602E+17</v>
      </c>
      <c r="E16" s="104">
        <v>1E+18</v>
      </c>
      <c r="F16" s="250"/>
      <c r="G16" s="250"/>
      <c r="I16" s="77">
        <f t="shared" si="0"/>
        <v>4.0222791893572462E-4</v>
      </c>
    </row>
    <row r="17" spans="1:9" ht="13.75" customHeight="1">
      <c r="A17" s="249"/>
      <c r="B17" s="9" t="s">
        <v>43</v>
      </c>
      <c r="C17" s="152">
        <f>'Table1 &amp; Fig1'!D17</f>
        <v>0.02</v>
      </c>
      <c r="D17" s="103">
        <v>3.92233169363261E+20</v>
      </c>
      <c r="E17" s="104">
        <v>1E+21</v>
      </c>
      <c r="F17" s="250"/>
      <c r="G17" s="250"/>
      <c r="I17" s="77">
        <f t="shared" si="0"/>
        <v>5.0990078254899683E-8</v>
      </c>
    </row>
    <row r="18" spans="1:9" ht="13.75" customHeight="1">
      <c r="A18" s="249"/>
      <c r="B18" s="9" t="s">
        <v>44</v>
      </c>
      <c r="C18" s="152">
        <f>'Table1 &amp; Fig1'!D18</f>
        <v>0.7</v>
      </c>
      <c r="D18" s="103">
        <v>1115687524901090</v>
      </c>
      <c r="E18" s="104">
        <v>1000000000000000</v>
      </c>
      <c r="F18" s="250"/>
      <c r="G18" s="250"/>
      <c r="I18" s="77">
        <f t="shared" si="0"/>
        <v>0.627415817042552</v>
      </c>
    </row>
    <row r="19" spans="1:9" ht="13.75" customHeight="1">
      <c r="A19" s="249"/>
      <c r="B19" s="9" t="s">
        <v>45</v>
      </c>
      <c r="C19" s="152">
        <f>'Table1 &amp; Fig1'!D19</f>
        <v>0.1</v>
      </c>
      <c r="D19" s="108">
        <v>4806634619</v>
      </c>
      <c r="E19" s="104">
        <v>10000000000</v>
      </c>
      <c r="F19" s="250"/>
      <c r="G19" s="250"/>
      <c r="I19" s="77">
        <f t="shared" si="0"/>
        <v>20804.576991293041</v>
      </c>
    </row>
    <row r="20" spans="1:9" ht="13.75" customHeight="1">
      <c r="A20" s="249"/>
      <c r="B20" s="9" t="s">
        <v>46</v>
      </c>
      <c r="C20" s="152">
        <f>'Table1 &amp; Fig1'!D20</f>
        <v>0.06</v>
      </c>
      <c r="D20" s="108">
        <v>7383008820</v>
      </c>
      <c r="E20" s="104">
        <v>10000000000</v>
      </c>
      <c r="F20" s="250"/>
      <c r="G20" s="250"/>
      <c r="I20" s="77">
        <f t="shared" si="0"/>
        <v>8126.768024096712</v>
      </c>
    </row>
    <row r="21" spans="1:9" ht="13.75" customHeight="1">
      <c r="A21" s="249"/>
      <c r="B21" s="9" t="s">
        <v>47</v>
      </c>
      <c r="C21" s="152">
        <f>'Table1 &amp; Fig1'!D21</f>
        <v>2E-3</v>
      </c>
      <c r="D21" s="108">
        <v>300000000000</v>
      </c>
      <c r="E21" s="104">
        <v>300000000000</v>
      </c>
      <c r="F21" s="250"/>
      <c r="G21" s="250"/>
      <c r="I21" s="77">
        <f t="shared" si="0"/>
        <v>6.666666666666667</v>
      </c>
    </row>
    <row r="22" spans="1:9" ht="13.75" customHeight="1">
      <c r="A22" s="249"/>
      <c r="B22" s="9" t="s">
        <v>48</v>
      </c>
      <c r="C22" s="153">
        <f>'Table1 &amp; Fig1'!D22</f>
        <v>7.0000000000000001E-3</v>
      </c>
      <c r="D22" s="109"/>
      <c r="E22" s="110"/>
      <c r="F22" s="250"/>
      <c r="G22" s="250"/>
      <c r="I22" s="77" t="e">
        <f t="shared" si="0"/>
        <v>#DIV/0!</v>
      </c>
    </row>
    <row r="23" spans="1:9" ht="13.75" customHeight="1">
      <c r="A23" s="28" t="s">
        <v>49</v>
      </c>
      <c r="B23" s="9" t="s">
        <v>49</v>
      </c>
      <c r="C23" s="151">
        <f>'Table1 &amp; Fig1'!G23</f>
        <v>4</v>
      </c>
      <c r="D23" s="99">
        <v>4.8220851112163502E+26</v>
      </c>
      <c r="E23" s="100"/>
      <c r="F23" s="101">
        <f>SUM(D23:D23)</f>
        <v>4.8220851112163502E+26</v>
      </c>
      <c r="G23" s="102">
        <v>1E+27</v>
      </c>
      <c r="I23" s="77">
        <f>C23*10^15/D23</f>
        <v>8.295166733361572E-12</v>
      </c>
    </row>
    <row r="24" spans="1:9" ht="13.75" customHeight="1">
      <c r="A24" s="28" t="s">
        <v>50</v>
      </c>
      <c r="B24" s="9" t="s">
        <v>50</v>
      </c>
      <c r="C24" s="154">
        <f>'Table1 &amp; Fig1'!D25</f>
        <v>0.2</v>
      </c>
      <c r="D24" s="111">
        <v>9.5367822521307998E+30</v>
      </c>
      <c r="E24" s="112">
        <v>9.9999999999999996E+30</v>
      </c>
      <c r="F24" s="113"/>
      <c r="G24" s="114">
        <v>9.9999999999999996E+30</v>
      </c>
      <c r="I24" s="77">
        <f t="shared" si="0"/>
        <v>2.0971434044781099E-17</v>
      </c>
    </row>
    <row r="25" spans="1:9" ht="13.75" customHeight="1">
      <c r="A25" s="28" t="s">
        <v>51</v>
      </c>
      <c r="B25" s="9" t="s">
        <v>51</v>
      </c>
      <c r="C25" s="154">
        <f>'Table1 &amp; Fig1'!D26</f>
        <v>450</v>
      </c>
      <c r="D25" s="111">
        <v>3000000000000</v>
      </c>
      <c r="E25" s="112">
        <v>10000000000000</v>
      </c>
      <c r="F25" s="113"/>
      <c r="G25" s="114">
        <v>10000000000000</v>
      </c>
      <c r="I25" s="77">
        <f t="shared" si="0"/>
        <v>150000</v>
      </c>
    </row>
    <row r="1048576" ht="12.75" customHeight="1"/>
  </sheetData>
  <mergeCells count="12">
    <mergeCell ref="A10:A11"/>
    <mergeCell ref="F10:F11"/>
    <mergeCell ref="G10:G11"/>
    <mergeCell ref="A12:A22"/>
    <mergeCell ref="F12:F22"/>
    <mergeCell ref="G12:G22"/>
    <mergeCell ref="A2:A5"/>
    <mergeCell ref="F2:F5"/>
    <mergeCell ref="G2:G5"/>
    <mergeCell ref="A6:A9"/>
    <mergeCell ref="F6:F9"/>
    <mergeCell ref="G6:G9"/>
  </mergeCells>
  <pageMargins left="0.74791666666666701" right="0.74791666666666701" top="0.98402777777777795" bottom="0.98402777777777795" header="0.51180555555555496" footer="0.51180555555555496"/>
  <pageSetup firstPageNumber="0" orientation="portrait" horizontalDpi="300" verticalDpi="300"/>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S43"/>
  <sheetViews>
    <sheetView tabSelected="1" topLeftCell="H9" zoomScaleNormal="90" workbookViewId="0">
      <selection activeCell="Q29" sqref="Q29"/>
    </sheetView>
  </sheetViews>
  <sheetFormatPr baseColWidth="10" defaultColWidth="8.83203125" defaultRowHeight="16" customHeight="1"/>
  <cols>
    <col min="1" max="1" width="23.5" style="177" customWidth="1"/>
    <col min="2" max="2" width="17.83203125" style="177" customWidth="1"/>
    <col min="3" max="5" width="13" style="177" customWidth="1"/>
    <col min="6" max="6" width="15.33203125" style="178" customWidth="1"/>
    <col min="7" max="10" width="14" style="178" customWidth="1"/>
    <col min="11" max="11" width="17.1640625" style="177" customWidth="1"/>
    <col min="12" max="12" width="10.1640625" style="177" customWidth="1"/>
    <col min="13" max="13" width="12.6640625" style="177" customWidth="1"/>
    <col min="14" max="14" width="12" style="177" customWidth="1"/>
    <col min="15" max="15" width="14.5" style="177" customWidth="1"/>
    <col min="16" max="16" width="14.33203125" style="178" customWidth="1"/>
    <col min="17" max="17" width="12.5" style="177" customWidth="1"/>
    <col min="18" max="18" width="12.1640625" style="177" customWidth="1"/>
    <col min="19" max="19" width="16.1640625" style="177" customWidth="1"/>
    <col min="20" max="20" width="13.1640625" style="177" customWidth="1"/>
    <col min="21" max="1033" width="7.6640625" style="177" customWidth="1"/>
    <col min="1034" max="16384" width="8.83203125" style="188"/>
  </cols>
  <sheetData>
    <row r="1" spans="1:21" ht="16" customHeight="1">
      <c r="A1" s="190" t="s">
        <v>36</v>
      </c>
      <c r="B1" s="191"/>
      <c r="C1" s="191"/>
      <c r="D1" s="191"/>
      <c r="E1" s="191"/>
      <c r="F1" s="191"/>
      <c r="G1" s="191"/>
      <c r="H1" s="191"/>
      <c r="I1" s="191"/>
      <c r="J1" s="191"/>
      <c r="K1" s="191"/>
      <c r="L1" s="191"/>
      <c r="M1" s="191"/>
      <c r="N1" s="194"/>
      <c r="O1" s="194"/>
      <c r="P1" s="195"/>
      <c r="Q1" s="196"/>
      <c r="R1" s="196"/>
      <c r="S1" s="196"/>
      <c r="T1" s="197"/>
    </row>
    <row r="2" spans="1:21" ht="16" customHeight="1">
      <c r="A2" s="192" t="s">
        <v>73</v>
      </c>
      <c r="B2" s="183"/>
      <c r="C2" s="183"/>
      <c r="D2" s="186"/>
      <c r="E2" s="186"/>
      <c r="F2" s="174"/>
      <c r="G2" s="174"/>
      <c r="H2" s="174"/>
      <c r="I2" s="174"/>
      <c r="J2" s="174"/>
      <c r="K2" s="189" t="s">
        <v>74</v>
      </c>
      <c r="L2" s="183"/>
      <c r="M2" s="183"/>
      <c r="P2" s="203"/>
      <c r="T2" s="198"/>
    </row>
    <row r="3" spans="1:21" ht="16" customHeight="1">
      <c r="A3" s="192" t="s">
        <v>54</v>
      </c>
      <c r="B3" s="183" t="s">
        <v>75</v>
      </c>
      <c r="C3" s="183" t="s">
        <v>25</v>
      </c>
      <c r="D3" s="183" t="s">
        <v>102</v>
      </c>
      <c r="E3" s="183" t="s">
        <v>320</v>
      </c>
      <c r="F3" s="175" t="s">
        <v>319</v>
      </c>
      <c r="G3" s="175" t="s">
        <v>321</v>
      </c>
      <c r="H3" s="175" t="s">
        <v>322</v>
      </c>
      <c r="I3" s="175" t="s">
        <v>323</v>
      </c>
      <c r="J3" s="175" t="s">
        <v>327</v>
      </c>
      <c r="K3" s="189" t="s">
        <v>54</v>
      </c>
      <c r="L3" s="183" t="s">
        <v>75</v>
      </c>
      <c r="M3" s="183" t="s">
        <v>25</v>
      </c>
      <c r="N3" s="183" t="s">
        <v>102</v>
      </c>
      <c r="O3" s="204" t="s">
        <v>320</v>
      </c>
      <c r="P3" s="204" t="s">
        <v>319</v>
      </c>
      <c r="Q3" s="175" t="s">
        <v>321</v>
      </c>
      <c r="R3" s="175" t="s">
        <v>322</v>
      </c>
      <c r="S3" s="175" t="s">
        <v>323</v>
      </c>
      <c r="T3" s="199" t="s">
        <v>327</v>
      </c>
    </row>
    <row r="4" spans="1:21" ht="16" customHeight="1">
      <c r="A4" s="233" t="s">
        <v>370</v>
      </c>
      <c r="B4" s="230">
        <v>80</v>
      </c>
      <c r="C4" s="177">
        <v>1.2</v>
      </c>
      <c r="D4" s="187">
        <v>3000000000000</v>
      </c>
      <c r="E4" s="228">
        <f>(80/337.5)*5.5*1000*PI()*(0.05/2)^2</f>
        <v>2.5598162362583508</v>
      </c>
      <c r="F4" s="228">
        <f>B4*10000000000000000/D4</f>
        <v>266666.66666666669</v>
      </c>
      <c r="G4" s="228">
        <f>2237840000*80/337.5</f>
        <v>530450962.96296299</v>
      </c>
      <c r="H4" s="188" t="s">
        <v>416</v>
      </c>
      <c r="I4" s="188" t="s">
        <v>232</v>
      </c>
      <c r="K4" s="176" t="s">
        <v>76</v>
      </c>
      <c r="L4" s="181">
        <v>7.3522978635168004</v>
      </c>
      <c r="M4" s="179">
        <f>'Table1 &amp; Fig1'!E4</f>
        <v>6.3873513138830802</v>
      </c>
      <c r="N4" s="200"/>
      <c r="O4" s="201">
        <f>((4/3)*PI()*0.0000004*(0.0002)^3)*1000000000000000*0.000000000000055</f>
        <v>7.3722707604240473E-16</v>
      </c>
      <c r="P4" s="203">
        <v>2.8562498949077045E-14</v>
      </c>
      <c r="Q4" s="201">
        <f>((4/3)*PI()*0.0000004*(0.005)^3)*1000000000000000*0.000000000000055</f>
        <v>1.1519173063162576E-11</v>
      </c>
      <c r="R4" s="188" t="s">
        <v>366</v>
      </c>
      <c r="S4" s="177" t="s">
        <v>365</v>
      </c>
      <c r="T4" s="198"/>
    </row>
    <row r="5" spans="1:21" ht="16" customHeight="1">
      <c r="A5" s="233" t="s">
        <v>371</v>
      </c>
      <c r="B5" s="231">
        <v>80</v>
      </c>
      <c r="C5" s="177">
        <v>1.2</v>
      </c>
      <c r="E5" s="228">
        <f>(80/112.5)*0.00375</f>
        <v>2.6666666666666666E-3</v>
      </c>
      <c r="F5" s="228">
        <f>(80/112.5)*2.2*1000*PI()*(50/2)^2</f>
        <v>3071779.4835100207</v>
      </c>
      <c r="G5" s="228">
        <f>(80/112.5)*2.2*1000*PI()*(880/2)^2</f>
        <v>951514412.81206393</v>
      </c>
      <c r="H5" s="188" t="s">
        <v>356</v>
      </c>
      <c r="I5" s="188" t="s">
        <v>326</v>
      </c>
      <c r="J5" s="188" t="s">
        <v>329</v>
      </c>
      <c r="K5" s="176" t="s">
        <v>77</v>
      </c>
      <c r="L5" s="202">
        <v>0.51570533091958903</v>
      </c>
      <c r="M5" s="180">
        <f>'Table1 &amp; Fig1'!E8</f>
        <v>3.64387348782425</v>
      </c>
      <c r="O5" s="178">
        <f>((4/3)*PI()*0.0000004*(0.0002)^3)*1000000000000000*0.000000000000055</f>
        <v>7.3722707604240473E-16</v>
      </c>
      <c r="P5" s="203">
        <v>2.9086377628194218E-14</v>
      </c>
      <c r="Q5" s="201">
        <f>((4/3)*PI()*0.0000004*(0.0008)^3)*1000000000000000*0.000000000000055</f>
        <v>4.7182532866713903E-14</v>
      </c>
      <c r="R5" s="177" t="s">
        <v>350</v>
      </c>
      <c r="S5" s="177" t="s">
        <v>351</v>
      </c>
      <c r="T5" s="198"/>
      <c r="U5" s="205"/>
    </row>
    <row r="6" spans="1:21" ht="16" customHeight="1">
      <c r="A6" s="193" t="s">
        <v>372</v>
      </c>
      <c r="B6" s="184">
        <f>4.9-L6*0.2</f>
        <v>2.5395990416690801</v>
      </c>
      <c r="C6" s="177">
        <v>2</v>
      </c>
      <c r="E6" s="178">
        <f>((4/3)*PI()*0.0000004*(0.005)^3)*1000000000000000*0.000000000000055</f>
        <v>1.1519173063162576E-11</v>
      </c>
      <c r="F6" s="178">
        <f>0.87*((4/3)*PI()*0.0000004*(0.015)^3)*1000000000000000*0.000000000000055+0.13*((4/3)*PI()*0.0000004*(0.005)^3)*1000000000000000*0.000000000000055</f>
        <v>2.7208286775189993E-10</v>
      </c>
      <c r="G6" s="178">
        <f>2.2*1000*PI()*(0.225/2)^2</f>
        <v>87.473720448390807</v>
      </c>
      <c r="H6" s="178" t="s">
        <v>369</v>
      </c>
      <c r="I6" s="188" t="s">
        <v>417</v>
      </c>
      <c r="J6" s="178" t="s">
        <v>368</v>
      </c>
      <c r="K6" s="176" t="s">
        <v>78</v>
      </c>
      <c r="L6" s="202">
        <v>11.8020047916546</v>
      </c>
      <c r="M6" s="180">
        <f>'Table1 &amp; Fig1'!E10</f>
        <v>3.4597511474140199</v>
      </c>
      <c r="O6" s="201">
        <f>((4/3)*PI()*0.0000004*(0.002)^3)*1000000000000000*0.000000000000055</f>
        <v>7.372270760424047E-13</v>
      </c>
      <c r="P6" s="203">
        <v>1.5251646070105081E-11</v>
      </c>
      <c r="Q6" s="178">
        <v>9700000</v>
      </c>
      <c r="R6" s="177" t="s">
        <v>337</v>
      </c>
      <c r="S6" s="177" t="s">
        <v>340</v>
      </c>
      <c r="T6" s="198" t="s">
        <v>349</v>
      </c>
    </row>
    <row r="7" spans="1:21" ht="16" customHeight="1">
      <c r="A7" s="193"/>
      <c r="E7" s="178"/>
      <c r="K7" s="176" t="s">
        <v>79</v>
      </c>
      <c r="L7" s="181">
        <v>1.6054762159650899</v>
      </c>
      <c r="M7" s="180">
        <f>'Table1 &amp; Fig1'!E24</f>
        <v>3.73047280407657</v>
      </c>
      <c r="N7" s="177">
        <f>1.5E+22+3E+25+1.5E+24+4E+23</f>
        <v>3.1914999999999999E+25</v>
      </c>
      <c r="O7" s="178">
        <f>((4/3)*PI()*0.0000004*(0.002)^3)*1000000000000000*0.000000000000055</f>
        <v>7.372270760424047E-13</v>
      </c>
      <c r="P7" s="178">
        <f>L7*10^15/N7</f>
        <v>5.0304753751060319E-11</v>
      </c>
      <c r="Q7" s="178">
        <f>((4/3)*PI()*0.0000004*(2)^3)*1000000000000000*0.000000000000055</f>
        <v>7.3722707604240471E-4</v>
      </c>
      <c r="R7" s="177" t="s">
        <v>352</v>
      </c>
      <c r="S7" s="188" t="s">
        <v>353</v>
      </c>
      <c r="T7" s="198"/>
    </row>
    <row r="8" spans="1:21" ht="16" customHeight="1">
      <c r="A8" s="193"/>
      <c r="E8" s="178"/>
      <c r="K8" s="176" t="s">
        <v>39</v>
      </c>
      <c r="L8" s="181">
        <v>0.21156795039780801</v>
      </c>
      <c r="M8" s="180">
        <f>'Table1 &amp; Fig1'!E13</f>
        <v>14.8813474357469</v>
      </c>
      <c r="O8" s="178">
        <f>0.0001*0.3*0.5</f>
        <v>1.5E-5</v>
      </c>
      <c r="P8" s="203">
        <v>2.0000000000000001E-4</v>
      </c>
      <c r="Q8" s="178">
        <f>4000*0.3*0.5</f>
        <v>600</v>
      </c>
      <c r="R8" s="177" t="s">
        <v>330</v>
      </c>
      <c r="S8" s="177" t="s">
        <v>331</v>
      </c>
      <c r="T8" s="198"/>
    </row>
    <row r="9" spans="1:21" ht="16" customHeight="1">
      <c r="A9" s="193"/>
      <c r="K9" s="176" t="s">
        <v>46</v>
      </c>
      <c r="L9" s="181">
        <v>5.5372566149999997E-2</v>
      </c>
      <c r="M9" s="177">
        <v>1.1000000000000001</v>
      </c>
      <c r="O9" s="178">
        <f>25000*0.3*0.5</f>
        <v>3750</v>
      </c>
      <c r="P9" s="203">
        <v>8126.768024096712</v>
      </c>
      <c r="Q9" s="178">
        <f>75000*0.3*0.5</f>
        <v>11250</v>
      </c>
      <c r="R9" s="177" t="s">
        <v>336</v>
      </c>
      <c r="T9" s="198"/>
    </row>
    <row r="10" spans="1:21" ht="16" customHeight="1">
      <c r="A10" s="193"/>
      <c r="K10" s="176" t="s">
        <v>45</v>
      </c>
      <c r="L10" s="181">
        <v>0.10714686353151</v>
      </c>
      <c r="M10" s="177">
        <v>1.1000000000000001</v>
      </c>
      <c r="O10" s="178">
        <f>1800*0.3*0.5</f>
        <v>270</v>
      </c>
      <c r="P10" s="203">
        <v>20804.576991293041</v>
      </c>
      <c r="Q10" s="178">
        <f>1500000*0.3*0.5</f>
        <v>225000</v>
      </c>
      <c r="R10" s="177" t="s">
        <v>338</v>
      </c>
      <c r="S10" s="177" t="s">
        <v>335</v>
      </c>
      <c r="T10" s="198"/>
    </row>
    <row r="11" spans="1:21" ht="16" customHeight="1">
      <c r="A11" s="193"/>
      <c r="K11" s="176" t="s">
        <v>57</v>
      </c>
      <c r="L11" s="181">
        <v>2.89064584032944E-3</v>
      </c>
      <c r="M11" s="180">
        <f>Fig2A!D9</f>
        <v>3.6917824251731002</v>
      </c>
      <c r="O11" s="178">
        <f>0.255*0.3*0.5</f>
        <v>3.8249999999999999E-2</v>
      </c>
      <c r="P11" s="203">
        <f>16840*0.3*0.5</f>
        <v>2526</v>
      </c>
      <c r="Q11" s="178">
        <f>11000000*0.3*0.5</f>
        <v>1650000</v>
      </c>
      <c r="R11" s="188" t="s">
        <v>261</v>
      </c>
      <c r="S11" s="177" t="s">
        <v>334</v>
      </c>
      <c r="T11" s="198" t="s">
        <v>357</v>
      </c>
    </row>
    <row r="12" spans="1:21" ht="16" customHeight="1">
      <c r="A12" s="193"/>
      <c r="K12" s="176" t="s">
        <v>47</v>
      </c>
      <c r="L12" s="181">
        <v>1.6580191678722701E-3</v>
      </c>
      <c r="M12" s="177">
        <v>10</v>
      </c>
      <c r="O12" s="178">
        <f>1.8*0.3*0.5</f>
        <v>0.27</v>
      </c>
      <c r="P12" s="203">
        <v>6.666666666666667</v>
      </c>
      <c r="Q12" s="178">
        <f>100000*0.3*0.5</f>
        <v>15000</v>
      </c>
      <c r="R12" s="177" t="s">
        <v>333</v>
      </c>
      <c r="S12" s="177" t="s">
        <v>293</v>
      </c>
      <c r="T12" s="198"/>
    </row>
    <row r="13" spans="1:21" ht="16" customHeight="1">
      <c r="A13" s="193"/>
      <c r="K13" s="176" t="s">
        <v>38</v>
      </c>
      <c r="L13" s="181">
        <v>0.19850644723722199</v>
      </c>
      <c r="M13" s="177">
        <v>10</v>
      </c>
      <c r="N13" s="187"/>
      <c r="O13" s="201">
        <f>10^(((-1.956+-2.697)/2)+((2.753+4.051)/2)*(LOG10(0.14*(0.5))))*0.5*0.15</f>
        <v>4.1647102859783435E-8</v>
      </c>
      <c r="P13" s="203">
        <v>2.5925726555365788E-4</v>
      </c>
      <c r="Q13" s="178">
        <f>1500*0.3*0.5</f>
        <v>225</v>
      </c>
      <c r="R13" s="177" t="s">
        <v>339</v>
      </c>
      <c r="S13" s="177" t="s">
        <v>332</v>
      </c>
      <c r="T13" s="198"/>
    </row>
    <row r="14" spans="1:21" ht="16" customHeight="1">
      <c r="A14" s="193"/>
      <c r="K14" s="176" t="s">
        <v>374</v>
      </c>
      <c r="L14" s="181">
        <v>5.6116584681630399E-3</v>
      </c>
      <c r="M14" s="177">
        <v>10</v>
      </c>
      <c r="N14" s="187"/>
      <c r="O14" s="201">
        <f>10^(((-1.956+-2.697)/2)+((2.753+4.051)/2)*(LOG10(0.14*(0.0189))))*0.5*0.15</f>
        <v>6.0285365535615137E-13</v>
      </c>
      <c r="P14" s="203">
        <f>0.05*10^-6</f>
        <v>4.9999999999999998E-8</v>
      </c>
      <c r="Q14" s="178">
        <f>10^(((-1.956+-2.697)/2)+((2.753+4.051)/2)*(LOG10(0.14*(0.6))))*0.5*0.15</f>
        <v>7.7438939098575471E-8</v>
      </c>
      <c r="R14" s="177" t="s">
        <v>354</v>
      </c>
      <c r="S14" s="177" t="s">
        <v>355</v>
      </c>
      <c r="T14" s="198" t="s">
        <v>375</v>
      </c>
    </row>
    <row r="15" spans="1:21" ht="16" customHeight="1">
      <c r="A15" s="193"/>
      <c r="K15" s="225" t="s">
        <v>264</v>
      </c>
      <c r="L15" s="181">
        <v>3.0000000000000001E-3</v>
      </c>
      <c r="M15" s="177">
        <v>100</v>
      </c>
      <c r="N15" s="187"/>
      <c r="O15" s="201">
        <f>0.18*0.3*0.5</f>
        <v>2.7E-2</v>
      </c>
      <c r="P15" s="203">
        <f>0.3*0.5*7*10^2</f>
        <v>105</v>
      </c>
      <c r="Q15" s="201">
        <f>1200000*0.5*0.3</f>
        <v>180000</v>
      </c>
      <c r="R15" s="188" t="s">
        <v>361</v>
      </c>
      <c r="S15" s="177" t="s">
        <v>362</v>
      </c>
      <c r="T15" s="198" t="s">
        <v>364</v>
      </c>
    </row>
    <row r="16" spans="1:21" ht="16" customHeight="1" thickBot="1">
      <c r="A16" s="213"/>
      <c r="B16" s="214"/>
      <c r="C16" s="214"/>
      <c r="D16" s="214"/>
      <c r="E16" s="214"/>
      <c r="F16" s="215"/>
      <c r="G16" s="215"/>
      <c r="H16" s="215"/>
      <c r="I16" s="215"/>
      <c r="J16" s="215"/>
      <c r="K16" s="226" t="s">
        <v>265</v>
      </c>
      <c r="L16" s="216">
        <f>5501134700000*0.1/10^15</f>
        <v>5.5011347000000004E-4</v>
      </c>
      <c r="M16" s="214">
        <v>100</v>
      </c>
      <c r="N16" s="224"/>
      <c r="O16" s="223">
        <f>((10^-4.462)*7.7^3.201)*0.3*0.5</f>
        <v>3.5624441982982941E-3</v>
      </c>
      <c r="P16" s="222">
        <v>1</v>
      </c>
      <c r="Q16" s="223">
        <f>50000*0.5*0.3</f>
        <v>7500</v>
      </c>
      <c r="R16" s="218" t="s">
        <v>363</v>
      </c>
      <c r="S16" s="218" t="s">
        <v>360</v>
      </c>
      <c r="T16" s="220" t="s">
        <v>402</v>
      </c>
    </row>
    <row r="17" spans="1:27" ht="16" customHeight="1" thickBot="1">
      <c r="N17" s="187"/>
      <c r="O17" s="187"/>
      <c r="P17" s="203"/>
    </row>
    <row r="18" spans="1:27" ht="16" customHeight="1">
      <c r="A18" s="190" t="s">
        <v>31</v>
      </c>
      <c r="B18" s="191"/>
      <c r="C18" s="191"/>
      <c r="D18" s="191"/>
      <c r="E18" s="191"/>
      <c r="F18" s="191"/>
      <c r="G18" s="191"/>
      <c r="H18" s="191"/>
      <c r="I18" s="191"/>
      <c r="J18" s="191"/>
      <c r="K18" s="191"/>
      <c r="L18" s="191"/>
      <c r="M18" s="191"/>
      <c r="N18" s="194"/>
      <c r="O18" s="194"/>
      <c r="P18" s="195"/>
      <c r="Q18" s="196"/>
      <c r="R18" s="196"/>
      <c r="S18" s="196"/>
      <c r="T18" s="197"/>
    </row>
    <row r="19" spans="1:27" ht="16" customHeight="1">
      <c r="A19" s="192" t="s">
        <v>73</v>
      </c>
      <c r="B19" s="183"/>
      <c r="C19" s="183"/>
      <c r="D19" s="186"/>
      <c r="E19" s="186"/>
      <c r="F19" s="174"/>
      <c r="G19" s="174"/>
      <c r="H19" s="174"/>
      <c r="I19" s="174"/>
      <c r="J19" s="174"/>
      <c r="K19" s="189" t="s">
        <v>74</v>
      </c>
      <c r="L19" s="183"/>
      <c r="M19" s="183"/>
      <c r="N19" s="187"/>
      <c r="O19" s="187"/>
      <c r="P19" s="203"/>
      <c r="T19" s="198"/>
    </row>
    <row r="20" spans="1:27" ht="16" customHeight="1">
      <c r="A20" s="192" t="s">
        <v>54</v>
      </c>
      <c r="B20" s="183" t="s">
        <v>75</v>
      </c>
      <c r="C20" s="183" t="s">
        <v>25</v>
      </c>
      <c r="D20" s="183" t="s">
        <v>102</v>
      </c>
      <c r="E20" s="183" t="s">
        <v>320</v>
      </c>
      <c r="F20" s="175" t="s">
        <v>319</v>
      </c>
      <c r="G20" s="175" t="s">
        <v>321</v>
      </c>
      <c r="H20" s="175" t="s">
        <v>322</v>
      </c>
      <c r="I20" s="175" t="s">
        <v>323</v>
      </c>
      <c r="J20" s="175" t="s">
        <v>327</v>
      </c>
      <c r="K20" s="189" t="s">
        <v>54</v>
      </c>
      <c r="L20" s="183" t="s">
        <v>75</v>
      </c>
      <c r="M20" s="183" t="s">
        <v>25</v>
      </c>
      <c r="N20" s="183" t="s">
        <v>102</v>
      </c>
      <c r="O20" s="204" t="s">
        <v>320</v>
      </c>
      <c r="P20" s="175" t="s">
        <v>319</v>
      </c>
      <c r="Q20" s="175" t="s">
        <v>321</v>
      </c>
      <c r="R20" s="175" t="s">
        <v>322</v>
      </c>
      <c r="S20" s="175" t="s">
        <v>323</v>
      </c>
      <c r="T20" s="199" t="s">
        <v>327</v>
      </c>
    </row>
    <row r="21" spans="1:27" ht="16" customHeight="1">
      <c r="A21" s="233" t="s">
        <v>367</v>
      </c>
      <c r="B21" s="229">
        <v>0.8</v>
      </c>
      <c r="C21" s="177">
        <v>1.4</v>
      </c>
      <c r="D21" s="183"/>
      <c r="E21" s="228">
        <f>(16.5*1000*PI()*(1.5/2)^2)*3.95/(3.95-1.11)*(0.8/3.95)</f>
        <v>8213.4948777831742</v>
      </c>
      <c r="F21" s="228">
        <f>(16.5*1000*PI()*(6/2)^2)*3.95/(3.95-1.11)*(0.8/3.95)</f>
        <v>131415.91804453079</v>
      </c>
      <c r="G21" s="228">
        <f>(16.5*1000*PI()*(40/2)^2)*3.95/(3.95-1.11)*(0.8/3.95)</f>
        <v>5840707.4686458139</v>
      </c>
      <c r="H21" s="178" t="s">
        <v>378</v>
      </c>
      <c r="I21" s="178" t="s">
        <v>379</v>
      </c>
      <c r="J21" s="178" t="s">
        <v>380</v>
      </c>
      <c r="K21" s="176" t="s">
        <v>81</v>
      </c>
      <c r="L21" s="181">
        <v>1.3269340958024201</v>
      </c>
      <c r="M21" s="184">
        <f>'Table1 &amp; Fig1'!E3</f>
        <v>1.8112294863262299</v>
      </c>
      <c r="N21" s="200"/>
      <c r="O21" s="211">
        <v>5.4999999999999996E-16</v>
      </c>
      <c r="P21" s="178">
        <v>1.3191728099056888E-14</v>
      </c>
      <c r="Q21" s="178">
        <v>1.1E-4</v>
      </c>
      <c r="R21" s="188" t="s">
        <v>185</v>
      </c>
      <c r="S21" s="188" t="s">
        <v>236</v>
      </c>
      <c r="T21" s="198"/>
    </row>
    <row r="22" spans="1:27" ht="16" customHeight="1">
      <c r="A22" s="193" t="s">
        <v>80</v>
      </c>
      <c r="B22" s="206">
        <v>0.1125</v>
      </c>
      <c r="C22" s="177">
        <v>10</v>
      </c>
      <c r="E22" s="178">
        <f>(0.25*0.03)*0.35</f>
        <v>2.6249999999999997E-3</v>
      </c>
      <c r="F22" s="178">
        <f>((2514000/10000)*PI()*(33/2)^2)*0.35</f>
        <v>75257.723808704861</v>
      </c>
      <c r="G22" s="178">
        <f>((2514000/10000)*PI()*(1000/2)^2)*0.35</f>
        <v>69107184.397341475</v>
      </c>
      <c r="H22" s="177" t="s">
        <v>345</v>
      </c>
      <c r="I22" s="188" t="s">
        <v>328</v>
      </c>
      <c r="J22" s="188" t="s">
        <v>412</v>
      </c>
      <c r="K22" s="176" t="s">
        <v>82</v>
      </c>
      <c r="L22" s="181">
        <v>0.33173352395060401</v>
      </c>
      <c r="M22" s="180">
        <f>'Table1 &amp; Fig1'!E7</f>
        <v>2.6880343242440601</v>
      </c>
      <c r="N22" s="200"/>
      <c r="O22" s="211">
        <v>1.4744541520848091E-17</v>
      </c>
      <c r="P22" s="178">
        <v>1.2176979783744844E-14</v>
      </c>
      <c r="Q22" s="178">
        <v>9.8999999999999994E-11</v>
      </c>
      <c r="R22" s="188" t="s">
        <v>239</v>
      </c>
      <c r="S22" s="188" t="s">
        <v>241</v>
      </c>
      <c r="T22" s="198"/>
    </row>
    <row r="23" spans="1:27" ht="16" customHeight="1">
      <c r="A23" s="193" t="s">
        <v>401</v>
      </c>
      <c r="B23" s="206">
        <v>0.138293166859394</v>
      </c>
      <c r="C23" s="177">
        <v>10</v>
      </c>
      <c r="E23" s="178">
        <f>(100000*0.003/60)*0.1*0.27</f>
        <v>0.13500000000000001</v>
      </c>
      <c r="F23" s="203">
        <v>2</v>
      </c>
      <c r="G23" s="178">
        <f>100000*0.1*0.27</f>
        <v>2700</v>
      </c>
      <c r="H23" s="178" t="s">
        <v>346</v>
      </c>
      <c r="I23" s="178" t="s">
        <v>376</v>
      </c>
      <c r="J23" s="177" t="s">
        <v>382</v>
      </c>
      <c r="K23" s="176" t="s">
        <v>63</v>
      </c>
      <c r="L23" s="202">
        <v>1.0583457350294649</v>
      </c>
      <c r="M23" s="180">
        <f>'Table1 &amp; Fig1'!E23</f>
        <v>10</v>
      </c>
      <c r="N23" s="200">
        <f>5E+26-N7</f>
        <v>4.6808500000000001E+26</v>
      </c>
      <c r="O23" s="178">
        <f>((4/3)*PI()*0.0000004*(0.0025)^3)*1000000000000000*0.000000000000055</f>
        <v>1.439896632895322E-12</v>
      </c>
      <c r="P23" s="178">
        <f>(L23*10^15)/N23</f>
        <v>2.2610118568838247E-12</v>
      </c>
      <c r="Q23" s="178">
        <f>((4/3)*PI()*0.0000004*(2)^3)*1000000000000000*0.000000000000055</f>
        <v>7.3722707604240471E-4</v>
      </c>
      <c r="R23" s="188" t="s">
        <v>413</v>
      </c>
      <c r="S23" s="207" t="s">
        <v>377</v>
      </c>
      <c r="T23" s="198"/>
    </row>
    <row r="24" spans="1:27" ht="16" customHeight="1">
      <c r="A24" s="193" t="s">
        <v>83</v>
      </c>
      <c r="B24" s="206">
        <v>0.12570215220039599</v>
      </c>
      <c r="C24" s="177">
        <v>10</v>
      </c>
      <c r="E24" s="178">
        <f>50*0.000000000000001</f>
        <v>5.0000000000000002E-14</v>
      </c>
      <c r="F24" s="178">
        <f>2*E24/0.6</f>
        <v>1.6666666666666667E-13</v>
      </c>
      <c r="G24" s="178">
        <f>10^(LOG10(F24)+(LOG10(F24)-LOG10(E24)))</f>
        <v>5.5555555555555438E-13</v>
      </c>
      <c r="H24" s="177" t="s">
        <v>347</v>
      </c>
      <c r="I24" s="178" t="s">
        <v>423</v>
      </c>
      <c r="J24" s="178" t="s">
        <v>348</v>
      </c>
      <c r="K24" s="176" t="s">
        <v>40</v>
      </c>
      <c r="L24" s="181">
        <v>0.94035514834451595</v>
      </c>
      <c r="M24" s="180">
        <f>'Table1 &amp; Fig1'!E14</f>
        <v>10</v>
      </c>
      <c r="N24" s="200"/>
      <c r="O24" s="211">
        <v>3.5374178274597891E-8</v>
      </c>
      <c r="P24" s="178">
        <v>7.084442894553283E-6</v>
      </c>
      <c r="Q24" s="201">
        <f>(20000)*0.3*0.5</f>
        <v>3000</v>
      </c>
      <c r="R24" s="188" t="s">
        <v>242</v>
      </c>
      <c r="S24" s="188" t="s">
        <v>245</v>
      </c>
      <c r="T24" s="198"/>
    </row>
    <row r="25" spans="1:27" ht="16" customHeight="1">
      <c r="A25" s="193" t="s">
        <v>383</v>
      </c>
      <c r="B25" s="206">
        <v>0.29761805756993898</v>
      </c>
      <c r="C25" s="177">
        <v>10</v>
      </c>
      <c r="E25" s="178">
        <v>1.0524335389525807E-13</v>
      </c>
      <c r="F25" s="178">
        <f>2*E25/1</f>
        <v>2.1048670779051614E-13</v>
      </c>
      <c r="G25" s="178">
        <f>10^(LOG10(F25)+(LOG10(F25)-LOG10(E25)))</f>
        <v>4.2097341558103182E-13</v>
      </c>
      <c r="H25" s="178" t="s">
        <v>302</v>
      </c>
      <c r="I25" s="178" t="s">
        <v>423</v>
      </c>
      <c r="J25" s="178" t="s">
        <v>348</v>
      </c>
      <c r="K25" s="176" t="s">
        <v>44</v>
      </c>
      <c r="L25" s="181">
        <v>0.66761088353510201</v>
      </c>
      <c r="M25" s="180">
        <f>'Table1 &amp; Fig1'!E18</f>
        <v>8.2532992370814799</v>
      </c>
      <c r="O25" s="178">
        <v>1.4999999999999999E-4</v>
      </c>
      <c r="P25" s="178">
        <v>0.627415817042552</v>
      </c>
      <c r="Q25" s="178">
        <v>4626000</v>
      </c>
      <c r="R25" s="188" t="s">
        <v>254</v>
      </c>
      <c r="S25" s="188" t="s">
        <v>324</v>
      </c>
      <c r="T25" s="198"/>
    </row>
    <row r="26" spans="1:27" ht="16" customHeight="1">
      <c r="A26" s="193" t="s">
        <v>84</v>
      </c>
      <c r="B26" s="182">
        <v>0.30659419433511798</v>
      </c>
      <c r="C26" s="177">
        <v>10</v>
      </c>
      <c r="E26" s="178">
        <f>46*0.000000000001</f>
        <v>4.5999999999999996E-11</v>
      </c>
      <c r="F26" s="203">
        <f>9075*0.000000000001</f>
        <v>9.0750000000000002E-9</v>
      </c>
      <c r="G26" s="178">
        <f>0.001*GEOMEAN(48.7, 34.4)*1000000</f>
        <v>40930.184460859695</v>
      </c>
      <c r="H26" s="178" t="s">
        <v>414</v>
      </c>
      <c r="I26" s="178" t="s">
        <v>415</v>
      </c>
      <c r="J26" s="188" t="s">
        <v>381</v>
      </c>
      <c r="K26" s="176" t="s">
        <v>42</v>
      </c>
      <c r="L26" s="181">
        <v>0.181984847615171</v>
      </c>
      <c r="M26" s="180">
        <v>10</v>
      </c>
      <c r="N26" s="182"/>
      <c r="O26" s="178">
        <v>1.3297347072630188E-2</v>
      </c>
      <c r="P26" s="178">
        <v>4.0222791893572462E-4</v>
      </c>
      <c r="Q26" s="178">
        <v>39798</v>
      </c>
      <c r="R26" s="188" t="s">
        <v>275</v>
      </c>
      <c r="S26" s="188" t="s">
        <v>325</v>
      </c>
      <c r="T26" s="198"/>
    </row>
    <row r="27" spans="1:27" ht="16" customHeight="1">
      <c r="A27" s="193" t="s">
        <v>85</v>
      </c>
      <c r="B27" s="182">
        <v>0.27946377224964197</v>
      </c>
      <c r="C27" s="177">
        <v>10</v>
      </c>
      <c r="E27" s="201">
        <f>((4/3)*PI()*0.0000004*(0.005)^3)*1000000000000000*0.000000000000055</f>
        <v>1.1519173063162576E-11</v>
      </c>
      <c r="F27" s="178">
        <f>AVERAGE(((4/3)*PI()*0.0000004*(2)^3)*1000000000000000*0.000000000000055,((4/3)*PI()*0.0000004*(1.5)^3)*1000000000000000*0.000000000000055)</f>
        <v>5.2412237437389703E-4</v>
      </c>
      <c r="G27" s="201">
        <f>((4/3)*PI()*0.0000004*(8)^3)*1000000000000000*0.000000000000055</f>
        <v>4.7182532866713901E-2</v>
      </c>
      <c r="H27" s="178" t="s">
        <v>420</v>
      </c>
      <c r="I27" s="178" t="s">
        <v>418</v>
      </c>
      <c r="J27" s="178" t="s">
        <v>419</v>
      </c>
      <c r="K27" s="176" t="s">
        <v>62</v>
      </c>
      <c r="L27" s="181">
        <v>0.04</v>
      </c>
      <c r="M27" s="180">
        <v>10</v>
      </c>
      <c r="O27" s="178">
        <v>1.0053096491487338E-5</v>
      </c>
      <c r="P27" s="178">
        <v>5.0873307541632155E-3</v>
      </c>
      <c r="Q27" s="178">
        <v>100000</v>
      </c>
      <c r="R27" s="188" t="s">
        <v>294</v>
      </c>
      <c r="S27" s="188" t="s">
        <v>298</v>
      </c>
      <c r="T27" s="198"/>
    </row>
    <row r="28" spans="1:27" ht="16" customHeight="1">
      <c r="A28" s="212"/>
      <c r="B28" s="208"/>
      <c r="C28" s="185"/>
      <c r="D28" s="185"/>
      <c r="E28" s="185"/>
      <c r="F28" s="209"/>
      <c r="G28" s="209"/>
      <c r="H28" s="209"/>
      <c r="I28" s="209"/>
      <c r="J28" s="209"/>
      <c r="K28" s="234" t="s">
        <v>342</v>
      </c>
      <c r="L28" s="232">
        <v>0.05</v>
      </c>
      <c r="M28" s="235">
        <v>10</v>
      </c>
      <c r="O28" s="228">
        <f>(0.05/0.603)*1.62*1.54^3</f>
        <v>0.49060262686567174</v>
      </c>
      <c r="P28" s="228">
        <f>(0.05/0.603)*GEOMEAN((11.08*EXP(-1.57+1.375*LN(2.7^2))*1.51+4.77*EXP(-1.57+1.375*LN(4.45^2))*1.73+4.22*EXP(-0.579+1.375*LN(3.56^2))*1.62+9.8*EXP(-0.579+1.375*LN(8.57^2))*1.54)*0.12/29.87, (11.08*EXP(-1.57+1.375*LN(259^2))*1.51+4.77*EXP(-1.57+1.375*LN(106^2))*1.73+4.22*EXP(-0.579+1.375*LN(249^2))*1.62+9.8*EXP(-0.579+1.375*LN(138^2))*1.54)*0.12/29.87)</f>
        <v>118.20720689937238</v>
      </c>
      <c r="Q28" s="228">
        <f>(0.05/0.603)*0.12*129*10^6</f>
        <v>1283582.089552239</v>
      </c>
      <c r="R28" s="188" t="s">
        <v>344</v>
      </c>
      <c r="S28" s="188" t="s">
        <v>341</v>
      </c>
      <c r="T28" s="198" t="s">
        <v>343</v>
      </c>
      <c r="Z28" s="206"/>
      <c r="AA28" s="206"/>
    </row>
    <row r="29" spans="1:27" ht="16" customHeight="1">
      <c r="A29" s="212"/>
      <c r="B29" s="210"/>
      <c r="C29" s="185"/>
      <c r="D29" s="185"/>
      <c r="E29" s="185"/>
      <c r="F29" s="209"/>
      <c r="G29" s="209"/>
      <c r="H29" s="209"/>
      <c r="I29" s="209"/>
      <c r="J29" s="209"/>
      <c r="K29" s="176" t="s">
        <v>64</v>
      </c>
      <c r="L29" s="181">
        <v>4.4536080000000004E-3</v>
      </c>
      <c r="M29" s="184">
        <f>Fig2A!D23</f>
        <v>1.4375</v>
      </c>
      <c r="N29" s="177">
        <f>60*10^6</f>
        <v>60000000</v>
      </c>
      <c r="O29" s="178">
        <f>0.027*0.3*0.5*10^6</f>
        <v>4050</v>
      </c>
      <c r="P29" s="178">
        <f>L29*10^15/N29</f>
        <v>74226.8</v>
      </c>
      <c r="Q29" s="201">
        <f>199000000*0.3*0.5</f>
        <v>29850000</v>
      </c>
      <c r="R29" s="177" t="s">
        <v>358</v>
      </c>
      <c r="S29" s="188" t="s">
        <v>260</v>
      </c>
      <c r="T29" s="198" t="s">
        <v>359</v>
      </c>
    </row>
    <row r="30" spans="1:27" ht="16" customHeight="1">
      <c r="A30" s="212"/>
      <c r="B30" s="210"/>
      <c r="C30" s="185"/>
      <c r="D30" s="185"/>
      <c r="E30" s="185"/>
      <c r="F30" s="209"/>
      <c r="G30" s="209"/>
      <c r="H30" s="209"/>
      <c r="I30" s="209"/>
      <c r="J30" s="209"/>
      <c r="K30" s="176" t="s">
        <v>373</v>
      </c>
      <c r="L30" s="181">
        <v>1.4E-2</v>
      </c>
      <c r="M30" s="180">
        <v>10</v>
      </c>
      <c r="O30" s="201">
        <f>0.3*0.5*0.05*10^-6</f>
        <v>7.4999999999999993E-9</v>
      </c>
      <c r="P30" s="201">
        <f>0.3*0.5*1.2*10^-6</f>
        <v>1.8E-7</v>
      </c>
      <c r="Q30" s="201">
        <f>0.3*0.5*80*10^-6</f>
        <v>1.2E-5</v>
      </c>
      <c r="R30" s="177" t="s">
        <v>421</v>
      </c>
      <c r="S30" s="177" t="s">
        <v>422</v>
      </c>
      <c r="T30" s="198" t="s">
        <v>386</v>
      </c>
    </row>
    <row r="31" spans="1:27" ht="16" customHeight="1" thickBot="1">
      <c r="A31" s="213"/>
      <c r="B31" s="214"/>
      <c r="C31" s="214"/>
      <c r="D31" s="214"/>
      <c r="E31" s="214"/>
      <c r="F31" s="215"/>
      <c r="G31" s="215"/>
      <c r="H31" s="215"/>
      <c r="I31" s="215"/>
      <c r="J31" s="215"/>
      <c r="K31" s="227" t="s">
        <v>384</v>
      </c>
      <c r="L31" s="216">
        <v>0.32482014964352601</v>
      </c>
      <c r="M31" s="217">
        <v>10</v>
      </c>
      <c r="N31" s="214"/>
      <c r="O31" s="223">
        <f>((4/3)*PI()*0.0000004*(0.004)^3)*1000000000000000*0.000000000000055</f>
        <v>5.8978166083392376E-12</v>
      </c>
      <c r="P31" s="215">
        <v>1.3853820352396589E-11</v>
      </c>
      <c r="Q31" s="215">
        <f>0.3*0.5*10^-3.9</f>
        <v>1.8883881176912506E-5</v>
      </c>
      <c r="R31" s="219" t="s">
        <v>385</v>
      </c>
      <c r="S31" s="214" t="s">
        <v>424</v>
      </c>
      <c r="T31" s="220"/>
    </row>
    <row r="32" spans="1:27" ht="16" customHeight="1" thickBot="1"/>
    <row r="33" spans="1:20" ht="16" customHeight="1">
      <c r="K33" s="190" t="s">
        <v>387</v>
      </c>
      <c r="L33" s="191"/>
      <c r="M33" s="191"/>
      <c r="N33" s="196"/>
      <c r="O33" s="196"/>
      <c r="P33" s="195"/>
      <c r="Q33" s="196"/>
      <c r="R33" s="196"/>
      <c r="S33" s="196"/>
      <c r="T33" s="197"/>
    </row>
    <row r="34" spans="1:20" ht="16" customHeight="1">
      <c r="K34" s="192" t="s">
        <v>54</v>
      </c>
      <c r="L34" s="183" t="s">
        <v>75</v>
      </c>
      <c r="M34" s="183" t="s">
        <v>25</v>
      </c>
      <c r="N34" s="183" t="s">
        <v>102</v>
      </c>
      <c r="O34" s="204" t="s">
        <v>320</v>
      </c>
      <c r="P34" s="204" t="s">
        <v>319</v>
      </c>
      <c r="Q34" s="175" t="s">
        <v>321</v>
      </c>
      <c r="R34" s="175" t="s">
        <v>322</v>
      </c>
      <c r="S34" s="175" t="s">
        <v>323</v>
      </c>
      <c r="T34" s="199" t="s">
        <v>327</v>
      </c>
    </row>
    <row r="35" spans="1:20" ht="16" customHeight="1">
      <c r="K35" s="193" t="s">
        <v>389</v>
      </c>
      <c r="L35" s="230">
        <v>0</v>
      </c>
      <c r="M35" s="179"/>
      <c r="N35" s="211"/>
      <c r="O35" s="188"/>
      <c r="P35" s="203"/>
      <c r="Q35" s="201"/>
      <c r="R35" s="188"/>
      <c r="T35" s="198"/>
    </row>
    <row r="36" spans="1:20" ht="16" customHeight="1" thickBot="1">
      <c r="A36" s="178"/>
      <c r="K36" s="213" t="s">
        <v>388</v>
      </c>
      <c r="L36" s="236">
        <v>0</v>
      </c>
      <c r="M36" s="217"/>
      <c r="N36" s="221"/>
      <c r="O36" s="218"/>
      <c r="P36" s="222"/>
      <c r="Q36" s="223"/>
      <c r="R36" s="214"/>
      <c r="S36" s="214"/>
      <c r="T36" s="220"/>
    </row>
    <row r="37" spans="1:20" ht="16" customHeight="1">
      <c r="A37" s="178"/>
    </row>
    <row r="38" spans="1:20" ht="16" customHeight="1">
      <c r="A38" s="178"/>
      <c r="B38" s="188"/>
    </row>
    <row r="42" spans="1:20" ht="16" customHeight="1">
      <c r="A42" s="188"/>
    </row>
    <row r="43" spans="1:20" ht="16" customHeight="1">
      <c r="A43" s="188"/>
      <c r="B43" s="188"/>
      <c r="C43" s="188"/>
    </row>
  </sheetData>
  <pageMargins left="0.74791666666666701" right="0.74791666666666701" top="0.98402777777777795" bottom="0.98402777777777795" header="0.51180555555555496" footer="0.51180555555555496"/>
  <pageSetup firstPageNumber="0" orientation="portrait" horizontalDpi="300" verticalDpi="300"/>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8"/>
  <sheetViews>
    <sheetView zoomScaleNormal="100" workbookViewId="0">
      <pane xSplit="8" ySplit="16" topLeftCell="T17" activePane="bottomRight" state="frozen"/>
      <selection activeCell="I11" sqref="I11"/>
      <selection pane="topRight" activeCell="I11" sqref="I11"/>
      <selection pane="bottomLeft" activeCell="I11" sqref="I11"/>
      <selection pane="bottomRight" activeCell="I11" sqref="I11"/>
    </sheetView>
  </sheetViews>
  <sheetFormatPr baseColWidth="10" defaultColWidth="8.83203125" defaultRowHeight="13"/>
  <cols>
    <col min="1" max="1" width="30.33203125" customWidth="1"/>
    <col min="2" max="12" width="10.6640625" customWidth="1"/>
    <col min="13" max="13" width="16" customWidth="1"/>
    <col min="14" max="15" width="12.33203125" customWidth="1"/>
    <col min="16" max="16" width="12.83203125" customWidth="1"/>
    <col min="17" max="17" width="16.6640625" customWidth="1"/>
    <col min="18" max="18" width="20.33203125" customWidth="1"/>
    <col min="19" max="19" width="60.5" customWidth="1"/>
    <col min="20" max="20" width="14.1640625" customWidth="1"/>
    <col min="21" max="21" width="124.83203125" customWidth="1"/>
    <col min="22" max="22" width="67" bestFit="1" customWidth="1"/>
    <col min="23" max="23" width="24.33203125" bestFit="1" customWidth="1"/>
    <col min="24" max="1025" width="10.6640625" customWidth="1"/>
  </cols>
  <sheetData>
    <row r="1" spans="1:23" ht="14">
      <c r="A1" s="123" t="s">
        <v>222</v>
      </c>
      <c r="B1" s="123" t="s">
        <v>90</v>
      </c>
      <c r="C1" s="123" t="s">
        <v>91</v>
      </c>
      <c r="D1" s="123" t="s">
        <v>92</v>
      </c>
      <c r="E1" s="123" t="s">
        <v>317</v>
      </c>
      <c r="F1" s="123" t="s">
        <v>87</v>
      </c>
      <c r="G1" s="123" t="s">
        <v>102</v>
      </c>
      <c r="H1" s="123" t="s">
        <v>103</v>
      </c>
      <c r="I1" s="127" t="s">
        <v>104</v>
      </c>
      <c r="J1" s="123" t="s">
        <v>105</v>
      </c>
      <c r="K1" s="123" t="s">
        <v>106</v>
      </c>
      <c r="L1" s="123"/>
      <c r="M1" s="123" t="s">
        <v>107</v>
      </c>
      <c r="N1" s="123" t="s">
        <v>90</v>
      </c>
      <c r="O1" s="123" t="s">
        <v>91</v>
      </c>
      <c r="P1" s="123" t="s">
        <v>317</v>
      </c>
      <c r="Q1" s="142" t="s">
        <v>223</v>
      </c>
      <c r="R1" s="142" t="s">
        <v>224</v>
      </c>
      <c r="S1" s="142" t="s">
        <v>225</v>
      </c>
      <c r="T1" s="142" t="s">
        <v>226</v>
      </c>
      <c r="U1" s="142" t="s">
        <v>227</v>
      </c>
      <c r="V1" s="142" t="s">
        <v>228</v>
      </c>
      <c r="W1" s="142" t="s">
        <v>267</v>
      </c>
    </row>
    <row r="2" spans="1:23" ht="14">
      <c r="A2" s="131" t="s">
        <v>51</v>
      </c>
      <c r="B2" s="131">
        <v>200</v>
      </c>
      <c r="C2" s="131">
        <v>3000000</v>
      </c>
      <c r="D2" s="131">
        <v>150000</v>
      </c>
      <c r="E2" s="147">
        <f>LOG10(C2)-LOG10(B2)</f>
        <v>4.1760912590556813</v>
      </c>
      <c r="F2" s="131">
        <v>1.5E+17</v>
      </c>
      <c r="G2" s="131">
        <v>3000000000000</v>
      </c>
      <c r="H2" s="131">
        <v>400000</v>
      </c>
      <c r="I2" s="136">
        <v>30</v>
      </c>
      <c r="J2" s="131"/>
      <c r="K2" s="131"/>
      <c r="L2" s="131"/>
      <c r="M2" s="136">
        <v>375000000000</v>
      </c>
      <c r="N2" t="s">
        <v>288</v>
      </c>
      <c r="O2" s="143">
        <f>5594600000*0.8*0.5</f>
        <v>2237840000</v>
      </c>
      <c r="P2" s="147" t="e">
        <f>LOG10(O2)-LOG10(N2)</f>
        <v>#VALUE!</v>
      </c>
      <c r="Q2" s="122" t="s">
        <v>229</v>
      </c>
      <c r="R2" s="122" t="s">
        <v>230</v>
      </c>
      <c r="S2" s="144" t="s">
        <v>231</v>
      </c>
      <c r="T2" s="122" t="s">
        <v>232</v>
      </c>
      <c r="U2" s="122" t="s">
        <v>233</v>
      </c>
      <c r="V2" t="s">
        <v>234</v>
      </c>
      <c r="W2" s="145" t="s">
        <v>273</v>
      </c>
    </row>
    <row r="3" spans="1:23" ht="14">
      <c r="A3" s="172" t="s">
        <v>29</v>
      </c>
      <c r="B3" s="131">
        <v>4E-14</v>
      </c>
      <c r="C3" s="131">
        <v>3.9999999999999998E-11</v>
      </c>
      <c r="D3" s="131">
        <v>2.57165485674385E-14</v>
      </c>
      <c r="E3" s="147">
        <f t="shared" ref="E3:E18" si="0">LOG10(C3)-LOG10(B3)</f>
        <v>3</v>
      </c>
      <c r="F3" s="136">
        <f>73396742359630700-'major taxa to remove'!G21</f>
        <v>7.3240742359630704E+16</v>
      </c>
      <c r="G3" s="131">
        <v>2.8540666010120602E+30</v>
      </c>
      <c r="H3" s="131">
        <f>10358-'major taxa to remove'!I21</f>
        <v>10357</v>
      </c>
      <c r="I3" s="136">
        <v>1</v>
      </c>
      <c r="J3" s="131"/>
      <c r="K3" s="131"/>
      <c r="L3" s="131"/>
      <c r="M3" s="136">
        <v>7085995593708.3096</v>
      </c>
      <c r="N3" s="131">
        <f>0.000000000000055*0.01</f>
        <v>5.4999999999999996E-16</v>
      </c>
      <c r="O3">
        <f>0.000000000000055*2000000000</f>
        <v>1.1E-4</v>
      </c>
      <c r="P3" s="147">
        <f t="shared" ref="P3:P18" si="1">LOG10(O3)-LOG10(N3)</f>
        <v>11.301029995663981</v>
      </c>
      <c r="Q3" s="122" t="s">
        <v>185</v>
      </c>
      <c r="R3" s="122" t="s">
        <v>271</v>
      </c>
      <c r="S3" s="171" t="s">
        <v>235</v>
      </c>
      <c r="T3" s="122" t="s">
        <v>236</v>
      </c>
      <c r="U3" t="s">
        <v>237</v>
      </c>
      <c r="V3" s="144" t="s">
        <v>238</v>
      </c>
      <c r="W3" t="s">
        <v>270</v>
      </c>
    </row>
    <row r="4" spans="1:23" ht="14">
      <c r="A4" s="172" t="s">
        <v>34</v>
      </c>
      <c r="B4" s="131">
        <v>4E-14</v>
      </c>
      <c r="C4" s="131">
        <v>3.9999999999999998E-11</v>
      </c>
      <c r="D4" s="131">
        <v>2.44246528778713E-14</v>
      </c>
      <c r="E4" s="147">
        <f t="shared" si="0"/>
        <v>3</v>
      </c>
      <c r="F4" s="131">
        <v>7403225209772600</v>
      </c>
      <c r="G4" s="131">
        <v>3.03104623299679E+29</v>
      </c>
      <c r="H4" s="131">
        <v>502</v>
      </c>
      <c r="I4" s="136">
        <v>1</v>
      </c>
      <c r="J4" s="131"/>
      <c r="K4" s="131"/>
      <c r="L4" s="131"/>
      <c r="M4" s="136">
        <v>14747460577236.301</v>
      </c>
      <c r="N4">
        <f>((4/3)*PI()*0.0000004^3)*1000000000000000*0.000000000000055</f>
        <v>1.4744541520848091E-17</v>
      </c>
      <c r="O4">
        <f>1800*0.000000000000055</f>
        <v>9.8999999999999994E-11</v>
      </c>
      <c r="P4" s="147">
        <f t="shared" si="1"/>
        <v>6.8270039218169849</v>
      </c>
      <c r="Q4" s="122" t="s">
        <v>239</v>
      </c>
      <c r="R4" s="122" t="s">
        <v>272</v>
      </c>
      <c r="S4" s="122" t="s">
        <v>240</v>
      </c>
      <c r="T4" s="122" t="s">
        <v>241</v>
      </c>
      <c r="U4" t="s">
        <v>237</v>
      </c>
      <c r="V4" s="144" t="s">
        <v>238</v>
      </c>
      <c r="W4" t="s">
        <v>270</v>
      </c>
    </row>
    <row r="5" spans="1:23" ht="14">
      <c r="A5" s="131" t="s">
        <v>35</v>
      </c>
      <c r="B5" s="131">
        <v>1.5E-11</v>
      </c>
      <c r="C5" s="131">
        <v>5000</v>
      </c>
      <c r="D5" s="131">
        <v>1.5E-11</v>
      </c>
      <c r="E5" s="147">
        <f t="shared" si="0"/>
        <v>14.522878745280337</v>
      </c>
      <c r="F5" s="131">
        <v>1.21268249412981E+16</v>
      </c>
      <c r="G5" s="131">
        <v>8.0845499608654103E+26</v>
      </c>
      <c r="H5" s="131">
        <v>1000000</v>
      </c>
      <c r="I5" s="136">
        <v>7</v>
      </c>
      <c r="J5" s="131"/>
      <c r="K5" s="131"/>
      <c r="L5" s="131"/>
      <c r="M5" s="136">
        <v>12126824941.2981</v>
      </c>
      <c r="N5" t="s">
        <v>288</v>
      </c>
      <c r="O5" t="s">
        <v>288</v>
      </c>
      <c r="P5" s="147" t="e">
        <f>LOG10(O5)-LOG10(N5)</f>
        <v>#VALUE!</v>
      </c>
      <c r="Q5" s="122"/>
      <c r="R5" s="122"/>
      <c r="S5" s="122"/>
      <c r="T5" s="122"/>
    </row>
    <row r="6" spans="1:23" ht="14">
      <c r="A6" s="172" t="s">
        <v>72</v>
      </c>
      <c r="B6" s="131">
        <v>3.0000000000000001E-6</v>
      </c>
      <c r="C6" s="131">
        <v>900</v>
      </c>
      <c r="D6" s="131">
        <v>8.1607334119568608E-6</v>
      </c>
      <c r="E6" s="147">
        <f t="shared" si="0"/>
        <v>8.4771212547196626</v>
      </c>
      <c r="F6" s="136">
        <f>1151923098742320-'major taxa to remove'!G36-'major taxa to remove'!G31-'major taxa to remove'!G32-'major taxa to remove'!G33</f>
        <v>539923098742320</v>
      </c>
      <c r="G6" s="131">
        <v>1.4115435961363001E+20</v>
      </c>
      <c r="H6" s="131">
        <f>943383-SUM('major taxa to remove'!I36,'major taxa to remove'!I31,'major taxa to remove'!I32,'major taxa to remove'!I33)</f>
        <v>940583</v>
      </c>
      <c r="I6" s="136">
        <v>50</v>
      </c>
      <c r="J6" s="131"/>
      <c r="K6" s="131"/>
      <c r="L6" s="131"/>
      <c r="M6" s="136">
        <v>1221055603.86643</v>
      </c>
      <c r="N6">
        <f>(EXP(2.7+2.6*(LN(0.001))))*0.3*0.5</f>
        <v>3.5374178274597891E-8</v>
      </c>
      <c r="O6">
        <f>(20000)*0.3*0.5</f>
        <v>3000</v>
      </c>
      <c r="P6" s="147">
        <f t="shared" si="1"/>
        <v>10.928434894525202</v>
      </c>
      <c r="Q6" s="122" t="s">
        <v>242</v>
      </c>
      <c r="R6" s="122" t="s">
        <v>243</v>
      </c>
      <c r="S6" s="144" t="s">
        <v>244</v>
      </c>
      <c r="T6" s="122" t="s">
        <v>245</v>
      </c>
      <c r="U6" s="122" t="s">
        <v>246</v>
      </c>
      <c r="W6" s="122" t="s">
        <v>269</v>
      </c>
    </row>
    <row r="7" spans="1:23" ht="14">
      <c r="A7" s="131" t="s">
        <v>38</v>
      </c>
      <c r="B7" s="131">
        <v>1E-4</v>
      </c>
      <c r="C7" s="131">
        <v>100</v>
      </c>
      <c r="D7" s="131">
        <v>2.57321193527468E-4</v>
      </c>
      <c r="E7" s="147">
        <f t="shared" si="0"/>
        <v>6</v>
      </c>
      <c r="F7" s="136">
        <f>198506447237222-'major taxa to remove'!G34</f>
        <v>27506447237222</v>
      </c>
      <c r="G7" s="131">
        <v>7.71434503765552E+17</v>
      </c>
      <c r="H7" s="131">
        <f>13199-'major taxa to remove'!I34</f>
        <v>6199</v>
      </c>
      <c r="I7" s="136"/>
      <c r="J7" s="131"/>
      <c r="K7" s="131"/>
      <c r="L7" s="131"/>
      <c r="M7" s="136">
        <v>15039506571.4995</v>
      </c>
      <c r="N7">
        <f>10^(((-1.956+-2.697)/2)+((2.753+4.051)/2)*(LOG10(0.14)))*0.5*0.15</f>
        <v>4.4023933194425574E-7</v>
      </c>
      <c r="O7" s="143">
        <f>15000*0.5*0.15</f>
        <v>1125</v>
      </c>
      <c r="P7" s="147">
        <f t="shared" si="1"/>
        <v>9.4074636816783155</v>
      </c>
      <c r="Q7" t="s">
        <v>266</v>
      </c>
      <c r="R7" s="122" t="s">
        <v>281</v>
      </c>
      <c r="S7" s="145" t="s">
        <v>280</v>
      </c>
      <c r="T7" s="122" t="s">
        <v>247</v>
      </c>
      <c r="U7" t="s">
        <v>248</v>
      </c>
      <c r="W7" t="s">
        <v>268</v>
      </c>
    </row>
    <row r="8" spans="1:23" ht="14" customHeight="1">
      <c r="A8" s="172" t="s">
        <v>42</v>
      </c>
      <c r="B8" s="131">
        <v>1E-3</v>
      </c>
      <c r="C8" s="131">
        <v>10000</v>
      </c>
      <c r="D8" s="131">
        <v>3.6599693267042602E-4</v>
      </c>
      <c r="E8" s="147">
        <f t="shared" si="0"/>
        <v>7</v>
      </c>
      <c r="F8" s="131">
        <v>181984847615171</v>
      </c>
      <c r="G8" s="131">
        <v>4.9723052673516602E+17</v>
      </c>
      <c r="H8" s="131">
        <v>41642</v>
      </c>
      <c r="I8" s="136"/>
      <c r="J8" s="131"/>
      <c r="K8" s="131"/>
      <c r="L8" s="131"/>
      <c r="M8" s="136">
        <v>4370223515.0850296</v>
      </c>
      <c r="N8">
        <f>(EXP(0.867*0.32-3.664)*0.4)</f>
        <v>1.352993376980121E-2</v>
      </c>
      <c r="O8" s="143">
        <f>495000*0.201*0.4</f>
        <v>39798</v>
      </c>
      <c r="P8" s="147">
        <f t="shared" si="1"/>
        <v>6.4685655769883335</v>
      </c>
      <c r="Q8" s="122" t="s">
        <v>275</v>
      </c>
      <c r="R8" s="122" t="s">
        <v>276</v>
      </c>
      <c r="S8" s="122"/>
      <c r="T8" s="122" t="s">
        <v>249</v>
      </c>
      <c r="U8" t="s">
        <v>250</v>
      </c>
      <c r="V8" s="3" t="s">
        <v>251</v>
      </c>
      <c r="W8" s="122" t="s">
        <v>274</v>
      </c>
    </row>
    <row r="9" spans="1:23" ht="14">
      <c r="A9" s="172" t="s">
        <v>41</v>
      </c>
      <c r="B9" s="131">
        <v>2E-3</v>
      </c>
      <c r="C9" s="131">
        <v>20</v>
      </c>
      <c r="D9" s="131">
        <v>4.5591045536693096E-3</v>
      </c>
      <c r="E9" s="147">
        <f t="shared" si="0"/>
        <v>4</v>
      </c>
      <c r="F9" s="131">
        <v>89616830003403.5</v>
      </c>
      <c r="G9" s="131">
        <v>1.96566735744801E+16</v>
      </c>
      <c r="H9" s="131">
        <v>11490</v>
      </c>
      <c r="I9" s="136">
        <v>11</v>
      </c>
      <c r="J9" s="131"/>
      <c r="K9" s="131"/>
      <c r="L9" s="131"/>
      <c r="M9" s="136">
        <v>7799550043.8123102</v>
      </c>
      <c r="N9">
        <f>((4/3)*PI()*(0.02)^3)*0.001*0.12</f>
        <v>4.0212385965949359E-9</v>
      </c>
      <c r="O9">
        <f>1000000*0.1</f>
        <v>100000</v>
      </c>
      <c r="P9" s="147">
        <f t="shared" si="1"/>
        <v>13.395640157657997</v>
      </c>
      <c r="Q9" s="122" t="s">
        <v>294</v>
      </c>
      <c r="R9" t="s">
        <v>297</v>
      </c>
      <c r="S9" s="122" t="s">
        <v>296</v>
      </c>
      <c r="T9" s="122" t="s">
        <v>298</v>
      </c>
      <c r="U9" t="s">
        <v>299</v>
      </c>
      <c r="W9" t="s">
        <v>295</v>
      </c>
    </row>
    <row r="10" spans="1:23" ht="14">
      <c r="A10" s="131" t="s">
        <v>44</v>
      </c>
      <c r="B10" s="131">
        <v>0.01</v>
      </c>
      <c r="C10" s="131">
        <v>1000000</v>
      </c>
      <c r="D10" s="131">
        <v>0.59838518279953701</v>
      </c>
      <c r="E10" s="147">
        <f t="shared" si="0"/>
        <v>8</v>
      </c>
      <c r="F10" s="131">
        <v>667610883535102</v>
      </c>
      <c r="G10" s="131">
        <v>1115687524901090</v>
      </c>
      <c r="H10" s="131">
        <v>18223</v>
      </c>
      <c r="I10" s="136">
        <v>120</v>
      </c>
      <c r="J10" s="131"/>
      <c r="K10" s="131"/>
      <c r="L10" s="131"/>
      <c r="M10" s="136">
        <v>36635618917.582298</v>
      </c>
      <c r="N10" s="143">
        <f>0.001*0.3*0.5</f>
        <v>1.4999999999999999E-4</v>
      </c>
      <c r="O10" s="143">
        <f>30840000*0.3*0.5</f>
        <v>4626000</v>
      </c>
      <c r="P10" s="147">
        <f t="shared" si="1"/>
        <v>10.489114369378919</v>
      </c>
      <c r="Q10" s="122" t="s">
        <v>254</v>
      </c>
      <c r="R10" s="145" t="s">
        <v>252</v>
      </c>
      <c r="S10" s="145" t="s">
        <v>253</v>
      </c>
      <c r="T10" s="122" t="s">
        <v>256</v>
      </c>
      <c r="U10" t="s">
        <v>257</v>
      </c>
      <c r="V10" s="145" t="s">
        <v>255</v>
      </c>
      <c r="W10" s="122" t="s">
        <v>277</v>
      </c>
    </row>
    <row r="11" spans="1:23" ht="14">
      <c r="A11" s="131" t="s">
        <v>43</v>
      </c>
      <c r="B11" s="131">
        <v>5.0000000000000097E-8</v>
      </c>
      <c r="C11" s="131">
        <v>100</v>
      </c>
      <c r="D11" s="131">
        <v>5.0000000000000097E-8</v>
      </c>
      <c r="E11" s="147">
        <f t="shared" si="0"/>
        <v>9.3010299956639813</v>
      </c>
      <c r="F11" s="131">
        <v>19611658468163.102</v>
      </c>
      <c r="G11" s="131">
        <v>3.92233169363261E+20</v>
      </c>
      <c r="H11" s="131">
        <v>9984</v>
      </c>
      <c r="I11" s="136">
        <v>50</v>
      </c>
      <c r="J11" s="131"/>
      <c r="K11" s="131"/>
      <c r="L11" s="131"/>
      <c r="M11" s="136">
        <v>1964308740.80159</v>
      </c>
      <c r="N11">
        <f>((306*35/1.7)^2)*1.13*0.000001/1000000*0.15*0.5</f>
        <v>3.3637274999999995E-6</v>
      </c>
      <c r="O11" s="143" t="s">
        <v>289</v>
      </c>
      <c r="P11" s="147" t="e">
        <f t="shared" si="1"/>
        <v>#VALUE!</v>
      </c>
      <c r="Q11" s="122" t="s">
        <v>278</v>
      </c>
      <c r="R11" s="122" t="s">
        <v>282</v>
      </c>
      <c r="S11" s="122" t="s">
        <v>279</v>
      </c>
      <c r="T11" s="122" t="s">
        <v>283</v>
      </c>
      <c r="U11" s="122" t="s">
        <v>284</v>
      </c>
    </row>
    <row r="12" spans="1:23" ht="14">
      <c r="A12" s="131" t="s">
        <v>46</v>
      </c>
      <c r="B12" s="131">
        <v>6818.1818181818198</v>
      </c>
      <c r="C12" s="131">
        <v>10000</v>
      </c>
      <c r="D12" s="131">
        <v>7500</v>
      </c>
      <c r="E12" s="147">
        <f t="shared" si="0"/>
        <v>0.16633142176652482</v>
      </c>
      <c r="F12" s="131">
        <v>55372566150000</v>
      </c>
      <c r="G12" s="131">
        <v>7383008820</v>
      </c>
      <c r="H12" s="131">
        <v>1</v>
      </c>
      <c r="I12" s="136">
        <v>120</v>
      </c>
      <c r="J12" s="131"/>
      <c r="K12" s="131"/>
      <c r="L12" s="131"/>
      <c r="M12" s="136">
        <v>55372566150000</v>
      </c>
      <c r="N12">
        <f>57700*0.3*0.5</f>
        <v>8655</v>
      </c>
      <c r="O12">
        <f>80700*0.3*0.5</f>
        <v>12105</v>
      </c>
      <c r="P12" s="147">
        <f t="shared" si="1"/>
        <v>0.14569772156633887</v>
      </c>
      <c r="Q12" s="122"/>
      <c r="R12" s="122" t="s">
        <v>285</v>
      </c>
      <c r="S12" s="146" t="s">
        <v>286</v>
      </c>
      <c r="T12" s="122"/>
      <c r="U12" t="s">
        <v>285</v>
      </c>
      <c r="V12" s="146" t="s">
        <v>286</v>
      </c>
      <c r="W12" s="122" t="s">
        <v>287</v>
      </c>
    </row>
    <row r="13" spans="1:23" ht="14">
      <c r="A13" s="131" t="s">
        <v>45</v>
      </c>
      <c r="B13" s="131">
        <v>10000</v>
      </c>
      <c r="C13" s="131">
        <v>100000</v>
      </c>
      <c r="D13" s="131">
        <v>22291.4517171687</v>
      </c>
      <c r="E13" s="147">
        <f t="shared" si="0"/>
        <v>1</v>
      </c>
      <c r="F13" s="131">
        <v>107146863531510</v>
      </c>
      <c r="G13" s="131">
        <v>4806634619</v>
      </c>
      <c r="H13" s="131">
        <v>3</v>
      </c>
      <c r="I13" s="136">
        <v>120</v>
      </c>
      <c r="J13" s="131"/>
      <c r="K13" s="131"/>
      <c r="L13" s="131"/>
      <c r="M13" s="136">
        <v>35715621177170</v>
      </c>
      <c r="N13" t="s">
        <v>288</v>
      </c>
      <c r="O13" t="s">
        <v>288</v>
      </c>
      <c r="P13" s="147" t="e">
        <f t="shared" si="1"/>
        <v>#VALUE!</v>
      </c>
      <c r="Q13" s="122"/>
      <c r="R13" s="122"/>
      <c r="S13" s="122"/>
      <c r="T13" s="122"/>
    </row>
    <row r="14" spans="1:23" ht="14">
      <c r="A14" s="131" t="s">
        <v>49</v>
      </c>
      <c r="B14" s="131">
        <v>7.6174518753425694E-12</v>
      </c>
      <c r="C14" s="131">
        <v>2.0000000000000001E-4</v>
      </c>
      <c r="D14" s="131">
        <v>7.6174518753425694E-12</v>
      </c>
      <c r="E14" s="147">
        <f t="shared" si="0"/>
        <v>7.419220276496107</v>
      </c>
      <c r="F14" s="131">
        <v>3673200127349650</v>
      </c>
      <c r="G14" s="131">
        <v>4.8220851112163502E+26</v>
      </c>
      <c r="H14" s="131">
        <v>100000</v>
      </c>
      <c r="I14" s="136"/>
      <c r="J14" s="131"/>
      <c r="K14" s="131"/>
      <c r="L14" s="131"/>
      <c r="M14" s="136">
        <v>36732001273.496498</v>
      </c>
      <c r="N14">
        <f>((4/3)*PI()*0.5^3)*0.000000000000201</f>
        <v>1.0524335389525807E-13</v>
      </c>
      <c r="O14">
        <f>100000*0.1*0.27</f>
        <v>2700</v>
      </c>
      <c r="P14" s="147">
        <f t="shared" si="1"/>
        <v>16.409169084428008</v>
      </c>
      <c r="Q14" t="s">
        <v>302</v>
      </c>
      <c r="R14" s="122" t="s">
        <v>303</v>
      </c>
      <c r="S14" s="122"/>
      <c r="T14" s="122" t="s">
        <v>300</v>
      </c>
      <c r="U14" s="145" t="s">
        <v>301</v>
      </c>
    </row>
    <row r="15" spans="1:23" ht="14">
      <c r="A15" s="131" t="s">
        <v>47</v>
      </c>
      <c r="B15" s="131">
        <v>3</v>
      </c>
      <c r="C15" s="131">
        <v>100000</v>
      </c>
      <c r="D15" s="131">
        <v>5.5267305595742302</v>
      </c>
      <c r="E15" s="147">
        <f t="shared" si="0"/>
        <v>4.5228787452803374</v>
      </c>
      <c r="F15" s="131">
        <v>1658019167872.27</v>
      </c>
      <c r="G15" s="131">
        <v>300000000000</v>
      </c>
      <c r="H15" s="131">
        <v>18043</v>
      </c>
      <c r="I15" s="136"/>
      <c r="J15" s="131"/>
      <c r="K15" s="131"/>
      <c r="L15" s="131"/>
      <c r="M15" s="136">
        <v>91892654.651236996</v>
      </c>
      <c r="N15">
        <f>2.28*0.3*0.5</f>
        <v>0.34199999999999997</v>
      </c>
      <c r="O15">
        <f>130000*0.3*0.5</f>
        <v>19500</v>
      </c>
      <c r="P15" s="147">
        <f t="shared" si="1"/>
        <v>4.756008505306383</v>
      </c>
      <c r="Q15" s="122" t="s">
        <v>290</v>
      </c>
      <c r="R15" s="122" t="s">
        <v>291</v>
      </c>
      <c r="S15" s="145" t="s">
        <v>304</v>
      </c>
      <c r="T15" s="122" t="s">
        <v>293</v>
      </c>
      <c r="U15" t="s">
        <v>292</v>
      </c>
      <c r="W15" s="122" t="s">
        <v>287</v>
      </c>
    </row>
    <row r="16" spans="1:23" ht="14">
      <c r="A16" s="131" t="s">
        <v>48</v>
      </c>
      <c r="B16" s="131">
        <v>3</v>
      </c>
      <c r="C16" s="131">
        <v>100000000</v>
      </c>
      <c r="D16" s="131">
        <v>6454.8660478831798</v>
      </c>
      <c r="E16" s="147">
        <f t="shared" si="0"/>
        <v>7.5228787452803374</v>
      </c>
      <c r="F16" s="131">
        <v>700000000000000</v>
      </c>
      <c r="G16" s="131">
        <v>130000000000</v>
      </c>
      <c r="H16" s="131">
        <v>49693</v>
      </c>
      <c r="I16" s="136">
        <v>120</v>
      </c>
      <c r="J16" s="131"/>
      <c r="K16" s="131"/>
      <c r="L16" s="131"/>
      <c r="M16" s="136">
        <v>14086491055.078199</v>
      </c>
      <c r="N16">
        <f>1.7*0.3*0.5</f>
        <v>0.255</v>
      </c>
      <c r="O16" s="143">
        <f>199000000*0.3*0.5</f>
        <v>29850000</v>
      </c>
      <c r="P16" s="147">
        <f t="shared" si="1"/>
        <v>8.0684041550314323</v>
      </c>
      <c r="Q16" s="122" t="s">
        <v>261</v>
      </c>
      <c r="R16" s="145" t="s">
        <v>263</v>
      </c>
      <c r="S16" s="145" t="s">
        <v>262</v>
      </c>
      <c r="T16" s="122" t="s">
        <v>260</v>
      </c>
      <c r="U16" t="s">
        <v>258</v>
      </c>
      <c r="V16" s="145" t="s">
        <v>259</v>
      </c>
      <c r="W16" s="122" t="s">
        <v>287</v>
      </c>
    </row>
    <row r="17" spans="1:23" ht="14">
      <c r="A17" s="131" t="s">
        <v>264</v>
      </c>
      <c r="E17" s="147" t="e">
        <f t="shared" si="0"/>
        <v>#NUM!</v>
      </c>
      <c r="N17">
        <f>0.18*0.3*0.5</f>
        <v>2.7E-2</v>
      </c>
      <c r="O17">
        <f>1200000*0.5*0.3</f>
        <v>180000</v>
      </c>
      <c r="P17" s="147">
        <f t="shared" si="1"/>
        <v>6.8239087409443187</v>
      </c>
      <c r="Q17" s="122" t="s">
        <v>307</v>
      </c>
      <c r="R17" t="s">
        <v>305</v>
      </c>
      <c r="S17" s="145" t="s">
        <v>306</v>
      </c>
      <c r="T17" t="s">
        <v>314</v>
      </c>
      <c r="U17" t="s">
        <v>315</v>
      </c>
      <c r="W17" s="122" t="s">
        <v>316</v>
      </c>
    </row>
    <row r="18" spans="1:23" ht="14">
      <c r="A18" s="131" t="s">
        <v>265</v>
      </c>
      <c r="E18" s="147" t="e">
        <f t="shared" si="0"/>
        <v>#NUM!</v>
      </c>
      <c r="N18" t="s">
        <v>288</v>
      </c>
      <c r="O18">
        <f>50000*0.5*0.3</f>
        <v>7500</v>
      </c>
      <c r="P18" s="147" t="e">
        <f t="shared" si="1"/>
        <v>#VALUE!</v>
      </c>
      <c r="Q18" t="s">
        <v>312</v>
      </c>
      <c r="R18" t="s">
        <v>310</v>
      </c>
      <c r="S18" s="145" t="s">
        <v>311</v>
      </c>
      <c r="T18" t="s">
        <v>313</v>
      </c>
      <c r="U18" t="s">
        <v>308</v>
      </c>
      <c r="V18" t="s">
        <v>309</v>
      </c>
      <c r="W18" s="122" t="s">
        <v>316</v>
      </c>
    </row>
  </sheetData>
  <hyperlinks>
    <hyperlink ref="S2" r:id="rId1" xr:uid="{00000000-0004-0000-0A00-000000000000}"/>
    <hyperlink ref="S3" r:id="rId2" xr:uid="{00000000-0004-0000-0A00-000001000000}"/>
    <hyperlink ref="V3" r:id="rId3" xr:uid="{00000000-0004-0000-0A00-000002000000}"/>
    <hyperlink ref="V4" r:id="rId4" xr:uid="{00000000-0004-0000-0A00-000003000000}"/>
    <hyperlink ref="S6" r:id="rId5" xr:uid="{00000000-0004-0000-0A00-000004000000}"/>
    <hyperlink ref="R10" r:id="rId6" display="https://www.abc.net.au/science/articles/2006/01/25/1555027.htm, here is where it says the smallest fish was not weighed, but is very close in size to stout infantfish, so I will use the size for that fish" xr:uid="{B01AFF76-EC33-954F-A21E-EC62B4EF595B}"/>
    <hyperlink ref="S10" r:id="rId7" display="https://www.fishbase.se/summary/61753 (fishbase)" xr:uid="{6F1D69CC-4CC7-4240-81CD-6B948F5E06A6}"/>
    <hyperlink ref="V10" r:id="rId8" location="table-1 ," xr:uid="{8AB11A65-37F7-8243-8F26-EFC63158EE51}"/>
    <hyperlink ref="V16" r:id="rId9" display="https://doi.org/10.7717/peerj.715" xr:uid="{1678B171-EEE0-1F41-B8CA-CCC004F2611A}"/>
    <hyperlink ref="R16" r:id="rId10" display="https://doi.org/10.2307/3503984" xr:uid="{20A75A01-130F-8243-A601-8EB6C801BF3F}"/>
    <hyperlink ref="S16" r:id="rId11" xr:uid="{C9C4A0E2-153D-9E49-8082-FF0876A52AAF}"/>
    <hyperlink ref="S7" r:id="rId12" xr:uid="{158A9114-9E28-E748-B49C-ACF8C044137A}"/>
    <hyperlink ref="W2" r:id="rId13" display="https://www.engineeringtoolbox.com/weigt-wood-d_821.html for wet weight to dry weight, 50% carbon from Bar-On and Fukuda R, Ogawa H, Nagata T, Koike I I (1998) Direct determination of carbon and nitrogen contents of natural bacterial assemblages in marine environments. Appl Environ Microbiol 64(9):3352–3358." xr:uid="{CC72F446-FDF6-3048-B27A-C8F15392283B}"/>
    <hyperlink ref="U14" r:id="rId14" xr:uid="{8CE4343A-844F-C941-BA20-845AC933BE2D}"/>
    <hyperlink ref="S15" r:id="rId15" xr:uid="{010BAB26-C271-EE45-81E1-6AFCFD74D849}"/>
    <hyperlink ref="S17" r:id="rId16" display="https://dx.doi.org/10.1371%2Fjournal.pone.0031314" xr:uid="{41C234A3-1560-9741-A1A5-C96401C8251D}"/>
    <hyperlink ref="S18" r:id="rId17" xr:uid="{442C1BF0-64E6-3C49-A0C9-94C06CA61E7F}"/>
  </hyperlinks>
  <pageMargins left="0.7" right="0.7" top="0.75" bottom="0.75" header="0.51180555555555496" footer="0.51180555555555496"/>
  <pageSetup firstPageNumber="0" orientation="portrait" horizontalDpi="300" verticalDpi="300"/>
  <legacyDrawing r:id="rId1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2742E-D2E7-064A-98D9-CAA0E9E1B1AA}">
  <dimension ref="A1:K24"/>
  <sheetViews>
    <sheetView workbookViewId="0">
      <selection activeCell="I11" sqref="I11"/>
    </sheetView>
  </sheetViews>
  <sheetFormatPr baseColWidth="10" defaultRowHeight="13"/>
  <cols>
    <col min="1" max="1" width="19.6640625" customWidth="1"/>
    <col min="2" max="2" width="20.1640625" customWidth="1"/>
  </cols>
  <sheetData>
    <row r="1" spans="1:11">
      <c r="A1" s="155" t="s">
        <v>390</v>
      </c>
    </row>
    <row r="4" spans="1:11">
      <c r="A4" s="160" t="s">
        <v>391</v>
      </c>
      <c r="B4" s="161" t="s">
        <v>395</v>
      </c>
      <c r="C4" s="161">
        <v>1</v>
      </c>
      <c r="D4" s="161">
        <v>2</v>
      </c>
      <c r="E4" s="161">
        <v>3</v>
      </c>
      <c r="F4" s="161">
        <v>4</v>
      </c>
      <c r="G4" s="161">
        <v>5</v>
      </c>
      <c r="H4" s="161">
        <v>6</v>
      </c>
      <c r="I4" s="161">
        <v>7</v>
      </c>
      <c r="J4" s="161">
        <v>8</v>
      </c>
      <c r="K4" s="162">
        <v>9</v>
      </c>
    </row>
    <row r="5" spans="1:11">
      <c r="A5" s="163" t="s">
        <v>392</v>
      </c>
      <c r="B5" s="164" t="s">
        <v>394</v>
      </c>
      <c r="C5" s="165">
        <v>-16.8</v>
      </c>
      <c r="D5" s="165">
        <v>-13.6</v>
      </c>
      <c r="E5" s="165">
        <v>-10.6</v>
      </c>
      <c r="F5" s="165">
        <v>-8.3000000000000007</v>
      </c>
      <c r="G5" s="165">
        <v>-2.6</v>
      </c>
      <c r="H5" s="165">
        <v>6.1</v>
      </c>
      <c r="I5" s="165">
        <v>11</v>
      </c>
      <c r="J5" s="165"/>
      <c r="K5" s="166"/>
    </row>
    <row r="6" spans="1:11">
      <c r="A6" s="163"/>
      <c r="B6" s="164" t="s">
        <v>393</v>
      </c>
      <c r="C6" s="165">
        <v>0</v>
      </c>
      <c r="D6" s="165">
        <v>163</v>
      </c>
      <c r="E6" s="165">
        <v>1.2</v>
      </c>
      <c r="F6" s="165">
        <v>2.7</v>
      </c>
      <c r="G6" s="165">
        <v>1.4</v>
      </c>
      <c r="H6" s="165">
        <v>106</v>
      </c>
      <c r="I6" s="165">
        <v>0</v>
      </c>
      <c r="J6" s="165"/>
      <c r="K6" s="166"/>
    </row>
    <row r="7" spans="1:11">
      <c r="A7" s="167" t="s">
        <v>397</v>
      </c>
      <c r="B7" s="158" t="s">
        <v>394</v>
      </c>
      <c r="C7" s="159">
        <v>-16.8</v>
      </c>
      <c r="D7" s="159">
        <v>-12.8</v>
      </c>
      <c r="E7" s="159">
        <v>-10.6</v>
      </c>
      <c r="F7" s="159">
        <v>-8.3000000000000007</v>
      </c>
      <c r="G7" s="159">
        <v>-2.6</v>
      </c>
      <c r="H7" s="159">
        <v>6.1</v>
      </c>
      <c r="I7" s="159">
        <v>11</v>
      </c>
      <c r="J7" s="159"/>
      <c r="K7" s="168"/>
    </row>
    <row r="8" spans="1:11">
      <c r="A8" s="167"/>
      <c r="B8" s="158" t="s">
        <v>393</v>
      </c>
      <c r="C8" s="159">
        <v>0</v>
      </c>
      <c r="D8" s="159">
        <v>4.4000000000000004</v>
      </c>
      <c r="E8" s="159">
        <v>1.2</v>
      </c>
      <c r="F8" s="159">
        <v>2.7</v>
      </c>
      <c r="G8" s="159">
        <v>1.4</v>
      </c>
      <c r="H8" s="159">
        <v>106</v>
      </c>
      <c r="I8" s="159">
        <v>0</v>
      </c>
      <c r="J8" s="159"/>
      <c r="K8" s="168"/>
    </row>
    <row r="9" spans="1:11">
      <c r="A9" s="163" t="s">
        <v>36</v>
      </c>
      <c r="B9" s="164" t="s">
        <v>394</v>
      </c>
      <c r="C9" s="165">
        <v>-15.7</v>
      </c>
      <c r="D9" s="165">
        <v>-13.9</v>
      </c>
      <c r="E9" s="165">
        <v>-10.8</v>
      </c>
      <c r="F9" s="165">
        <v>-8.1999999999999993</v>
      </c>
      <c r="G9" s="165">
        <v>-2.5</v>
      </c>
      <c r="H9" s="165">
        <v>6.2</v>
      </c>
      <c r="I9" s="165">
        <v>11</v>
      </c>
      <c r="J9" s="165"/>
      <c r="K9" s="166"/>
    </row>
    <row r="10" spans="1:11">
      <c r="A10" s="163"/>
      <c r="B10" s="164" t="s">
        <v>393</v>
      </c>
      <c r="C10" s="165">
        <v>0</v>
      </c>
      <c r="D10" s="165">
        <v>4.2</v>
      </c>
      <c r="E10" s="165">
        <v>0.42</v>
      </c>
      <c r="F10" s="165">
        <v>2.2999999999999998</v>
      </c>
      <c r="G10" s="165">
        <v>1.1000000000000001</v>
      </c>
      <c r="H10" s="165">
        <v>104</v>
      </c>
      <c r="I10" s="165">
        <v>0</v>
      </c>
      <c r="J10" s="165"/>
      <c r="K10" s="166"/>
    </row>
    <row r="11" spans="1:11">
      <c r="A11" s="167" t="s">
        <v>396</v>
      </c>
      <c r="B11" s="158" t="s">
        <v>394</v>
      </c>
      <c r="C11" s="159">
        <v>-9.5</v>
      </c>
      <c r="D11" s="159">
        <v>-7.9</v>
      </c>
      <c r="E11" s="159">
        <v>-3.6</v>
      </c>
      <c r="F11" s="159">
        <v>6.2</v>
      </c>
      <c r="G11" s="159">
        <v>11</v>
      </c>
      <c r="H11" s="159"/>
      <c r="I11" s="159"/>
      <c r="J11" s="159"/>
      <c r="K11" s="168"/>
    </row>
    <row r="12" spans="1:11">
      <c r="A12" s="167"/>
      <c r="B12" s="158" t="s">
        <v>393</v>
      </c>
      <c r="C12" s="159">
        <v>0</v>
      </c>
      <c r="D12" s="159">
        <v>0.54</v>
      </c>
      <c r="E12" s="159">
        <v>0.26</v>
      </c>
      <c r="F12" s="159">
        <v>104</v>
      </c>
      <c r="G12" s="159">
        <v>0</v>
      </c>
      <c r="H12" s="159"/>
      <c r="I12" s="159"/>
      <c r="J12" s="159"/>
      <c r="K12" s="168"/>
    </row>
    <row r="13" spans="1:11">
      <c r="A13" s="163" t="s">
        <v>398</v>
      </c>
      <c r="B13" s="164" t="s">
        <v>394</v>
      </c>
      <c r="C13" s="165">
        <v>-15.7</v>
      </c>
      <c r="D13" s="165">
        <v>-13.9</v>
      </c>
      <c r="E13" s="165">
        <v>-10.8</v>
      </c>
      <c r="F13" s="165">
        <v>-9.3000000000000007</v>
      </c>
      <c r="G13" s="165">
        <v>3.4</v>
      </c>
      <c r="H13" s="165">
        <v>4</v>
      </c>
      <c r="I13" s="165">
        <v>8.6</v>
      </c>
      <c r="J13" s="165"/>
      <c r="K13" s="166"/>
    </row>
    <row r="14" spans="1:11">
      <c r="A14" s="163"/>
      <c r="B14" s="164" t="s">
        <v>393</v>
      </c>
      <c r="C14" s="165">
        <v>0</v>
      </c>
      <c r="D14" s="165">
        <v>4.2</v>
      </c>
      <c r="E14" s="165">
        <v>0.42</v>
      </c>
      <c r="F14" s="165">
        <v>1.9</v>
      </c>
      <c r="G14" s="165">
        <v>0.1</v>
      </c>
      <c r="H14" s="165">
        <v>0.37</v>
      </c>
      <c r="I14" s="165">
        <v>0</v>
      </c>
      <c r="J14" s="165"/>
      <c r="K14" s="166"/>
    </row>
    <row r="15" spans="1:11">
      <c r="A15" s="167" t="s">
        <v>31</v>
      </c>
      <c r="B15" s="158" t="s">
        <v>394</v>
      </c>
      <c r="C15" s="159">
        <v>-16.8</v>
      </c>
      <c r="D15" s="159">
        <v>-12.8</v>
      </c>
      <c r="E15" s="159">
        <v>-11.9</v>
      </c>
      <c r="F15" s="159">
        <v>-11.2</v>
      </c>
      <c r="G15" s="159">
        <v>-5.7</v>
      </c>
      <c r="H15" s="159">
        <v>-2.4</v>
      </c>
      <c r="I15" s="159">
        <v>4.3</v>
      </c>
      <c r="J15" s="159">
        <v>5.7</v>
      </c>
      <c r="K15" s="168">
        <v>8.1999999999999993</v>
      </c>
    </row>
    <row r="16" spans="1:11">
      <c r="A16" s="167"/>
      <c r="B16" s="158" t="s">
        <v>393</v>
      </c>
      <c r="C16" s="159">
        <v>0</v>
      </c>
      <c r="D16" s="159">
        <v>2.5</v>
      </c>
      <c r="E16" s="159">
        <v>0.37</v>
      </c>
      <c r="F16" s="159">
        <v>1.2</v>
      </c>
      <c r="G16" s="159">
        <v>7.0000000000000007E-2</v>
      </c>
      <c r="H16" s="159">
        <v>0.35</v>
      </c>
      <c r="I16" s="159">
        <v>0.16</v>
      </c>
      <c r="J16" s="159">
        <v>3</v>
      </c>
      <c r="K16" s="168">
        <v>0</v>
      </c>
    </row>
    <row r="17" spans="1:11">
      <c r="A17" s="163" t="s">
        <v>165</v>
      </c>
      <c r="B17" s="164" t="s">
        <v>394</v>
      </c>
      <c r="C17" s="165">
        <v>-13.4</v>
      </c>
      <c r="D17" s="165">
        <v>-12.8</v>
      </c>
      <c r="E17" s="165">
        <v>-12.4</v>
      </c>
      <c r="F17" s="165">
        <v>-11.2</v>
      </c>
      <c r="G17" s="165">
        <v>-3.1</v>
      </c>
      <c r="H17" s="165">
        <v>5.7</v>
      </c>
      <c r="I17" s="165">
        <v>8.1</v>
      </c>
      <c r="J17" s="165"/>
      <c r="K17" s="166"/>
    </row>
    <row r="18" spans="1:11">
      <c r="A18" s="163"/>
      <c r="B18" s="164" t="s">
        <v>393</v>
      </c>
      <c r="C18" s="165">
        <v>0</v>
      </c>
      <c r="D18" s="165">
        <v>2.1</v>
      </c>
      <c r="E18" s="165">
        <v>0</v>
      </c>
      <c r="F18" s="165">
        <v>0.48</v>
      </c>
      <c r="G18" s="165">
        <v>0</v>
      </c>
      <c r="H18" s="165">
        <v>3</v>
      </c>
      <c r="I18" s="165">
        <v>0</v>
      </c>
      <c r="J18" s="165"/>
      <c r="K18" s="166"/>
    </row>
    <row r="19" spans="1:11">
      <c r="A19" s="167" t="s">
        <v>166</v>
      </c>
      <c r="B19" s="158" t="s">
        <v>394</v>
      </c>
      <c r="C19" s="159">
        <v>-16.8</v>
      </c>
      <c r="D19" s="159">
        <v>-11.6</v>
      </c>
      <c r="E19" s="159">
        <v>-5.7</v>
      </c>
      <c r="F19" s="159">
        <v>-2.4</v>
      </c>
      <c r="G19" s="159">
        <v>0.82</v>
      </c>
      <c r="H19" s="159">
        <v>2.4</v>
      </c>
      <c r="I19" s="159">
        <v>7.4</v>
      </c>
      <c r="J19" s="159"/>
      <c r="K19" s="168"/>
    </row>
    <row r="20" spans="1:11">
      <c r="A20" s="167"/>
      <c r="B20" s="158" t="s">
        <v>393</v>
      </c>
      <c r="C20" s="159">
        <v>0</v>
      </c>
      <c r="D20" s="159">
        <v>0.75</v>
      </c>
      <c r="E20" s="159">
        <v>0.06</v>
      </c>
      <c r="F20" s="159">
        <v>0.35</v>
      </c>
      <c r="G20" s="159">
        <v>0.14000000000000001</v>
      </c>
      <c r="H20" s="159">
        <v>0.26</v>
      </c>
      <c r="I20" s="159">
        <v>0</v>
      </c>
      <c r="J20" s="159"/>
      <c r="K20" s="168"/>
    </row>
    <row r="21" spans="1:11">
      <c r="A21" s="163" t="s">
        <v>399</v>
      </c>
      <c r="B21" s="164" t="s">
        <v>394</v>
      </c>
      <c r="C21" s="165">
        <v>-13.4</v>
      </c>
      <c r="D21" s="165">
        <v>-12.8</v>
      </c>
      <c r="E21" s="165">
        <v>-12.4</v>
      </c>
      <c r="F21" s="165">
        <v>-11.2</v>
      </c>
      <c r="G21" s="165">
        <v>-10.199999999999999</v>
      </c>
      <c r="H21" s="165">
        <v>-8</v>
      </c>
      <c r="I21" s="165">
        <v>-3.6</v>
      </c>
      <c r="J21" s="165">
        <v>6.1</v>
      </c>
      <c r="K21" s="166">
        <v>11</v>
      </c>
    </row>
    <row r="22" spans="1:11">
      <c r="A22" s="163"/>
      <c r="B22" s="164" t="s">
        <v>393</v>
      </c>
      <c r="C22" s="165">
        <v>0</v>
      </c>
      <c r="D22" s="165">
        <v>2.1</v>
      </c>
      <c r="E22" s="165">
        <v>0</v>
      </c>
      <c r="F22" s="165">
        <v>0.48</v>
      </c>
      <c r="G22" s="165">
        <v>0.01</v>
      </c>
      <c r="H22" s="165">
        <v>0.66</v>
      </c>
      <c r="I22" s="165">
        <v>0.26</v>
      </c>
      <c r="J22" s="165">
        <v>106</v>
      </c>
      <c r="K22" s="166">
        <v>0</v>
      </c>
    </row>
    <row r="23" spans="1:11">
      <c r="A23" s="167" t="s">
        <v>400</v>
      </c>
      <c r="B23" s="158" t="s">
        <v>394</v>
      </c>
      <c r="C23" s="159">
        <v>-16.8</v>
      </c>
      <c r="D23" s="159">
        <v>-13.9</v>
      </c>
      <c r="E23" s="159">
        <v>-10.7</v>
      </c>
      <c r="F23" s="159">
        <v>-9.4</v>
      </c>
      <c r="G23" s="159">
        <v>3.6</v>
      </c>
      <c r="H23" s="159">
        <v>4</v>
      </c>
      <c r="I23" s="159">
        <v>8.9</v>
      </c>
      <c r="J23" s="159"/>
      <c r="K23" s="168"/>
    </row>
    <row r="24" spans="1:11">
      <c r="A24" s="169"/>
      <c r="B24" s="156" t="s">
        <v>393</v>
      </c>
      <c r="C24" s="157">
        <v>0</v>
      </c>
      <c r="D24" s="157">
        <v>4.3</v>
      </c>
      <c r="E24" s="157">
        <v>1.1000000000000001</v>
      </c>
      <c r="F24" s="157">
        <v>2.4</v>
      </c>
      <c r="G24" s="157">
        <v>0.28999999999999998</v>
      </c>
      <c r="H24" s="157">
        <v>0.51</v>
      </c>
      <c r="I24" s="157">
        <v>0</v>
      </c>
      <c r="J24" s="157"/>
      <c r="K24" s="17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7"/>
  <sheetViews>
    <sheetView zoomScale="90" zoomScaleNormal="90" workbookViewId="0">
      <selection activeCell="I11" sqref="I11"/>
    </sheetView>
  </sheetViews>
  <sheetFormatPr baseColWidth="10" defaultColWidth="8.83203125" defaultRowHeight="13"/>
  <cols>
    <col min="1" max="1" width="12.5" style="4" customWidth="1"/>
    <col min="2" max="2" width="18.1640625" style="5" customWidth="1"/>
    <col min="3" max="3" width="9.5" style="4" customWidth="1"/>
    <col min="4" max="4" width="10.6640625" style="4" customWidth="1"/>
    <col min="5" max="5" width="16.6640625" style="4" customWidth="1"/>
    <col min="6" max="6" width="15.33203125" style="4" customWidth="1"/>
    <col min="7" max="7" width="16" style="4" customWidth="1"/>
    <col min="8" max="8" width="13.5" style="4" customWidth="1"/>
    <col min="9" max="1025" width="7.6640625" style="4" customWidth="1"/>
  </cols>
  <sheetData>
    <row r="1" spans="1:26" s="5" customFormat="1" ht="42" customHeight="1">
      <c r="A1" s="6"/>
      <c r="B1" s="6"/>
      <c r="C1" s="7" t="s">
        <v>23</v>
      </c>
      <c r="D1" s="7" t="s">
        <v>24</v>
      </c>
      <c r="E1" s="7" t="s">
        <v>25</v>
      </c>
      <c r="F1" s="7" t="s">
        <v>26</v>
      </c>
      <c r="G1" s="7" t="s">
        <v>27</v>
      </c>
      <c r="H1" s="7" t="s">
        <v>28</v>
      </c>
      <c r="I1" s="8"/>
      <c r="J1" s="8" t="s">
        <v>403</v>
      </c>
      <c r="K1" s="8" t="s">
        <v>404</v>
      </c>
      <c r="L1" s="8" t="s">
        <v>405</v>
      </c>
      <c r="M1" s="8" t="s">
        <v>406</v>
      </c>
      <c r="N1" s="8" t="s">
        <v>407</v>
      </c>
      <c r="O1" s="8" t="s">
        <v>408</v>
      </c>
      <c r="P1" s="8" t="s">
        <v>409</v>
      </c>
      <c r="Q1" s="8" t="s">
        <v>410</v>
      </c>
      <c r="R1" s="8" t="s">
        <v>411</v>
      </c>
      <c r="S1" s="8"/>
      <c r="T1" s="8"/>
      <c r="U1" s="8"/>
      <c r="V1" s="8"/>
      <c r="W1" s="8"/>
      <c r="X1" s="8"/>
      <c r="Y1" s="8"/>
      <c r="Z1" s="8"/>
    </row>
    <row r="2" spans="1:26" ht="28.5" customHeight="1">
      <c r="A2" s="239" t="s">
        <v>29</v>
      </c>
      <c r="B2" s="9" t="s">
        <v>30</v>
      </c>
      <c r="C2" s="10">
        <v>58.069293797341899</v>
      </c>
      <c r="D2" s="11">
        <v>60</v>
      </c>
      <c r="E2" s="12">
        <v>20.746505519739301</v>
      </c>
      <c r="F2" s="240">
        <v>73.396742359630693</v>
      </c>
      <c r="G2" s="241">
        <v>70</v>
      </c>
      <c r="H2" s="242">
        <v>9.7564688059009601</v>
      </c>
      <c r="J2" s="4">
        <f>C2/E2</f>
        <v>2.7989915574982862</v>
      </c>
      <c r="K2" s="4">
        <f>C2*E2</f>
        <v>1204.7349242939169</v>
      </c>
    </row>
    <row r="3" spans="1:26" ht="15.75" customHeight="1">
      <c r="A3" s="239"/>
      <c r="B3" s="9" t="s">
        <v>31</v>
      </c>
      <c r="C3" s="13">
        <v>1.3269340958024201</v>
      </c>
      <c r="D3" s="14">
        <v>1.3</v>
      </c>
      <c r="E3" s="13">
        <v>1.8112294863262299</v>
      </c>
      <c r="F3" s="240"/>
      <c r="G3" s="240"/>
      <c r="H3" s="240"/>
    </row>
    <row r="4" spans="1:26" ht="15.75" customHeight="1">
      <c r="A4" s="239"/>
      <c r="B4" s="9" t="s">
        <v>32</v>
      </c>
      <c r="C4" s="15">
        <v>7.3522978635168004</v>
      </c>
      <c r="D4" s="14">
        <v>7</v>
      </c>
      <c r="E4" s="15">
        <v>6.3873513138830802</v>
      </c>
      <c r="F4" s="240"/>
      <c r="G4" s="240"/>
      <c r="H4" s="240"/>
    </row>
    <row r="5" spans="1:26" ht="28.5" customHeight="1">
      <c r="A5" s="239"/>
      <c r="B5" s="9" t="s">
        <v>33</v>
      </c>
      <c r="C5" s="16">
        <v>6.6482166029696002</v>
      </c>
      <c r="D5" s="17">
        <v>7</v>
      </c>
      <c r="E5" s="16">
        <v>7.6430745647235199</v>
      </c>
      <c r="F5" s="240"/>
      <c r="G5" s="240"/>
      <c r="H5" s="240"/>
      <c r="J5" s="4">
        <f>C5/E5</f>
        <v>0.86983537144257761</v>
      </c>
      <c r="K5" s="4">
        <f>C5*E5</f>
        <v>50.812815218929558</v>
      </c>
      <c r="L5" s="173">
        <f>C2+C5</f>
        <v>64.717510400311497</v>
      </c>
      <c r="M5" s="4">
        <f>J2+J5</f>
        <v>3.6688269289408639</v>
      </c>
      <c r="N5" s="4">
        <f>K2+K5</f>
        <v>1255.5477395128464</v>
      </c>
      <c r="O5" s="4">
        <f>L5/M5</f>
        <v>17.639837379572025</v>
      </c>
      <c r="P5" s="4">
        <f>N5/L5</f>
        <v>19.400433232777804</v>
      </c>
      <c r="Q5" s="4">
        <f>AVERAGE(O5:P5)</f>
        <v>18.520135306174915</v>
      </c>
      <c r="R5" s="4">
        <f>ROUND(Q5,0)</f>
        <v>19</v>
      </c>
    </row>
    <row r="6" spans="1:26" ht="28.5" customHeight="1">
      <c r="A6" s="239" t="s">
        <v>34</v>
      </c>
      <c r="B6" s="9" t="s">
        <v>30</v>
      </c>
      <c r="C6" s="12">
        <v>3.7065506679154399</v>
      </c>
      <c r="D6" s="11">
        <v>4</v>
      </c>
      <c r="E6" s="12">
        <v>62.0115692516205</v>
      </c>
      <c r="F6" s="240">
        <v>7.4032252097726001</v>
      </c>
      <c r="G6" s="241">
        <v>7</v>
      </c>
      <c r="H6" s="242">
        <v>13.0983425029663</v>
      </c>
      <c r="J6" s="4">
        <f>C6/E6</f>
        <v>5.9771921798585662E-2</v>
      </c>
      <c r="K6" s="4">
        <f>C6*E6</f>
        <v>229.84902342807851</v>
      </c>
    </row>
    <row r="7" spans="1:26" ht="15.75" customHeight="1">
      <c r="A7" s="239"/>
      <c r="B7" s="9" t="s">
        <v>31</v>
      </c>
      <c r="C7" s="13">
        <v>0.33173352395060401</v>
      </c>
      <c r="D7" s="14">
        <v>0.3</v>
      </c>
      <c r="E7" s="15">
        <v>2.6880343242440601</v>
      </c>
      <c r="F7" s="240"/>
      <c r="G7" s="240"/>
      <c r="H7" s="240"/>
    </row>
    <row r="8" spans="1:26" ht="15.75" customHeight="1">
      <c r="A8" s="239"/>
      <c r="B8" s="9" t="s">
        <v>32</v>
      </c>
      <c r="C8" s="13">
        <v>0.51570533091958903</v>
      </c>
      <c r="D8" s="14">
        <v>0.5</v>
      </c>
      <c r="E8" s="15">
        <v>3.64387348782425</v>
      </c>
      <c r="F8" s="240"/>
      <c r="G8" s="240"/>
      <c r="H8" s="240"/>
    </row>
    <row r="9" spans="1:26" ht="28.5" customHeight="1">
      <c r="A9" s="239"/>
      <c r="B9" s="9" t="s">
        <v>33</v>
      </c>
      <c r="C9" s="16">
        <v>2.8492356869869702</v>
      </c>
      <c r="D9" s="17">
        <v>3</v>
      </c>
      <c r="E9" s="16">
        <v>7.93154470620712</v>
      </c>
      <c r="F9" s="240"/>
      <c r="G9" s="240"/>
      <c r="H9" s="240"/>
      <c r="J9" s="4">
        <f>C9/E9</f>
        <v>0.35922834611991744</v>
      </c>
      <c r="K9" s="4">
        <f>C9*E9</f>
        <v>22.59884022985791</v>
      </c>
      <c r="L9" s="173">
        <f>C6+C9</f>
        <v>6.55578635490241</v>
      </c>
      <c r="M9" s="4">
        <f>J6+J9</f>
        <v>0.41900026791850309</v>
      </c>
      <c r="N9" s="4">
        <f>K6+K9</f>
        <v>252.44786365793641</v>
      </c>
      <c r="O9" s="4">
        <f>L9/M9</f>
        <v>15.646258145537825</v>
      </c>
      <c r="P9" s="4">
        <f>N9/L9</f>
        <v>38.50764042503554</v>
      </c>
      <c r="Q9" s="4">
        <f>AVERAGE(O9:P9)</f>
        <v>27.07694928528668</v>
      </c>
      <c r="R9" s="4">
        <f>ROUND(Q9,0)</f>
        <v>27</v>
      </c>
    </row>
    <row r="10" spans="1:26" ht="15.75" customHeight="1">
      <c r="A10" s="239" t="s">
        <v>35</v>
      </c>
      <c r="B10" s="9" t="s">
        <v>36</v>
      </c>
      <c r="C10" s="12">
        <v>11.8020047916546</v>
      </c>
      <c r="D10" s="11">
        <v>12</v>
      </c>
      <c r="E10" s="12">
        <v>3.4597511474140199</v>
      </c>
      <c r="F10" s="240">
        <f>SUM(C10:C11)</f>
        <v>12.126824941298127</v>
      </c>
      <c r="G10" s="241">
        <v>12</v>
      </c>
      <c r="H10" s="242">
        <v>3.3224209485010001</v>
      </c>
    </row>
    <row r="11" spans="1:26" ht="15.75" customHeight="1">
      <c r="A11" s="239"/>
      <c r="B11" s="9" t="s">
        <v>31</v>
      </c>
      <c r="C11" s="13">
        <v>0.32482014964352601</v>
      </c>
      <c r="D11" s="18">
        <v>0.3</v>
      </c>
      <c r="E11" s="15">
        <v>10</v>
      </c>
      <c r="F11" s="240"/>
      <c r="G11" s="240"/>
      <c r="H11" s="240"/>
    </row>
    <row r="12" spans="1:26" ht="15.75" customHeight="1">
      <c r="A12" s="239" t="s">
        <v>37</v>
      </c>
      <c r="B12" s="9" t="s">
        <v>38</v>
      </c>
      <c r="C12" s="19">
        <v>0.19850644723722199</v>
      </c>
      <c r="D12" s="11">
        <v>0.2</v>
      </c>
      <c r="E12" s="20"/>
      <c r="F12" s="243">
        <v>2.4807754682911001</v>
      </c>
      <c r="G12" s="241">
        <v>2</v>
      </c>
      <c r="H12" s="242">
        <v>4.8465615873682202</v>
      </c>
    </row>
    <row r="13" spans="1:26" ht="30">
      <c r="A13" s="239"/>
      <c r="B13" s="9" t="s">
        <v>39</v>
      </c>
      <c r="C13" s="13">
        <v>0.21156795039780801</v>
      </c>
      <c r="D13" s="14">
        <v>0.2</v>
      </c>
      <c r="E13" s="15">
        <v>14.8813474357469</v>
      </c>
      <c r="F13" s="243"/>
      <c r="G13" s="243"/>
      <c r="H13" s="243"/>
    </row>
    <row r="14" spans="1:26" ht="15">
      <c r="A14" s="239"/>
      <c r="B14" s="9" t="s">
        <v>40</v>
      </c>
      <c r="C14" s="13">
        <v>0.94035514834451595</v>
      </c>
      <c r="D14" s="14">
        <v>1</v>
      </c>
      <c r="E14" s="15">
        <v>10</v>
      </c>
      <c r="F14" s="243"/>
      <c r="G14" s="243"/>
      <c r="H14" s="243"/>
      <c r="L14" s="21"/>
    </row>
    <row r="15" spans="1:26" ht="15.75" customHeight="1">
      <c r="A15" s="239"/>
      <c r="B15" s="9" t="s">
        <v>41</v>
      </c>
      <c r="C15" s="13">
        <v>8.9616830003403494E-2</v>
      </c>
      <c r="D15" s="14">
        <v>0.1</v>
      </c>
      <c r="E15" s="22"/>
      <c r="F15" s="243"/>
      <c r="G15" s="243"/>
      <c r="H15" s="243"/>
    </row>
    <row r="16" spans="1:26" ht="15.75" customHeight="1">
      <c r="A16" s="239"/>
      <c r="B16" s="9" t="s">
        <v>42</v>
      </c>
      <c r="C16" s="13">
        <v>0.181984847615171</v>
      </c>
      <c r="D16" s="14">
        <v>0.2</v>
      </c>
      <c r="E16" s="22"/>
      <c r="F16" s="243"/>
      <c r="G16" s="243"/>
      <c r="H16" s="243"/>
    </row>
    <row r="17" spans="1:8" ht="15.75" customHeight="1">
      <c r="A17" s="239"/>
      <c r="B17" s="9" t="s">
        <v>43</v>
      </c>
      <c r="C17" s="23">
        <v>1.9611658468163099E-2</v>
      </c>
      <c r="D17" s="14">
        <v>0.02</v>
      </c>
      <c r="E17" s="22"/>
      <c r="F17" s="243"/>
      <c r="G17" s="243"/>
      <c r="H17" s="243"/>
    </row>
    <row r="18" spans="1:8" ht="15.75" customHeight="1">
      <c r="A18" s="239"/>
      <c r="B18" s="9" t="s">
        <v>44</v>
      </c>
      <c r="C18" s="13">
        <v>0.66761088353510201</v>
      </c>
      <c r="D18" s="14">
        <v>0.7</v>
      </c>
      <c r="E18" s="15">
        <v>8.2532992370814799</v>
      </c>
      <c r="F18" s="243"/>
      <c r="G18" s="243"/>
      <c r="H18" s="243"/>
    </row>
    <row r="19" spans="1:8" ht="15.75" customHeight="1">
      <c r="A19" s="239"/>
      <c r="B19" s="9" t="s">
        <v>45</v>
      </c>
      <c r="C19" s="13">
        <v>0.10714686353151</v>
      </c>
      <c r="D19" s="14">
        <v>0.1</v>
      </c>
      <c r="E19" s="22"/>
      <c r="F19" s="243"/>
      <c r="G19" s="243"/>
      <c r="H19" s="243"/>
    </row>
    <row r="20" spans="1:8" ht="15.75" customHeight="1">
      <c r="A20" s="239"/>
      <c r="B20" s="9" t="s">
        <v>46</v>
      </c>
      <c r="C20" s="23">
        <v>5.5372566149999997E-2</v>
      </c>
      <c r="D20" s="14">
        <v>0.06</v>
      </c>
      <c r="E20" s="22"/>
      <c r="F20" s="243"/>
      <c r="G20" s="243"/>
      <c r="H20" s="243"/>
    </row>
    <row r="21" spans="1:8" ht="15.75" customHeight="1">
      <c r="A21" s="239"/>
      <c r="B21" s="9" t="s">
        <v>47</v>
      </c>
      <c r="C21" s="24">
        <v>1.6580191678722701E-3</v>
      </c>
      <c r="D21" s="14">
        <v>2E-3</v>
      </c>
      <c r="E21" s="22"/>
      <c r="F21" s="243"/>
      <c r="G21" s="243"/>
      <c r="H21" s="243"/>
    </row>
    <row r="22" spans="1:8" ht="15.75" customHeight="1">
      <c r="A22" s="239"/>
      <c r="B22" s="9" t="s">
        <v>48</v>
      </c>
      <c r="C22" s="25">
        <v>7.34425384032944E-3</v>
      </c>
      <c r="D22" s="26">
        <v>7.0000000000000001E-3</v>
      </c>
      <c r="E22" s="27">
        <v>1.8101750084986099</v>
      </c>
      <c r="F22" s="243"/>
      <c r="G22" s="243"/>
      <c r="H22" s="243"/>
    </row>
    <row r="23" spans="1:8" ht="15.75" customHeight="1">
      <c r="A23" s="239" t="s">
        <v>49</v>
      </c>
      <c r="B23" s="9" t="s">
        <v>31</v>
      </c>
      <c r="C23" s="19">
        <v>2.0677239113845598</v>
      </c>
      <c r="D23" s="11">
        <v>2</v>
      </c>
      <c r="E23" s="12">
        <v>10</v>
      </c>
      <c r="F23" s="240">
        <f>SUM(C23:C24)</f>
        <v>3.6732001273496495</v>
      </c>
      <c r="G23" s="241">
        <v>4</v>
      </c>
      <c r="H23" s="242">
        <v>4.4764443052644696</v>
      </c>
    </row>
    <row r="24" spans="1:8" ht="15.75" customHeight="1">
      <c r="A24" s="239"/>
      <c r="B24" s="9" t="s">
        <v>36</v>
      </c>
      <c r="C24" s="13">
        <v>1.6054762159650899</v>
      </c>
      <c r="D24" s="18">
        <v>1.6</v>
      </c>
      <c r="E24" s="15">
        <v>3.73047280407657</v>
      </c>
      <c r="F24" s="240"/>
      <c r="G24" s="240"/>
      <c r="H24" s="240"/>
    </row>
    <row r="25" spans="1:8" ht="15.75" customHeight="1">
      <c r="A25" s="28" t="s">
        <v>50</v>
      </c>
      <c r="B25" s="9" t="s">
        <v>50</v>
      </c>
      <c r="C25" s="29">
        <v>0.220215672587211</v>
      </c>
      <c r="D25" s="30">
        <v>0.2</v>
      </c>
      <c r="E25" s="31">
        <v>20</v>
      </c>
      <c r="F25" s="32"/>
      <c r="G25" s="30"/>
      <c r="H25" s="33">
        <v>20</v>
      </c>
    </row>
    <row r="26" spans="1:8" ht="15.75" customHeight="1">
      <c r="A26" s="28" t="s">
        <v>51</v>
      </c>
      <c r="B26" s="9" t="s">
        <v>51</v>
      </c>
      <c r="C26" s="34">
        <v>450</v>
      </c>
      <c r="D26" s="30">
        <v>450</v>
      </c>
      <c r="E26" s="31">
        <v>1.1939546048290499</v>
      </c>
      <c r="F26" s="32"/>
      <c r="G26" s="30"/>
      <c r="H26" s="29">
        <v>1.1939546048290499</v>
      </c>
    </row>
    <row r="27" spans="1:8" ht="28.5" customHeight="1">
      <c r="A27" s="28" t="s">
        <v>52</v>
      </c>
      <c r="B27" s="9" t="s">
        <v>52</v>
      </c>
      <c r="C27" s="18"/>
      <c r="D27" s="18"/>
      <c r="E27" s="18"/>
      <c r="F27" s="35">
        <f>SUM(C2:C27)</f>
        <v>549.30098377892944</v>
      </c>
      <c r="G27" s="14">
        <v>550</v>
      </c>
      <c r="H27" s="36">
        <v>1.6869241642070201</v>
      </c>
    </row>
  </sheetData>
  <mergeCells count="20">
    <mergeCell ref="A23:A24"/>
    <mergeCell ref="F23:F24"/>
    <mergeCell ref="G23:G24"/>
    <mergeCell ref="H23:H24"/>
    <mergeCell ref="A10:A11"/>
    <mergeCell ref="F10:F11"/>
    <mergeCell ref="G10:G11"/>
    <mergeCell ref="H10:H11"/>
    <mergeCell ref="A12:A22"/>
    <mergeCell ref="F12:F22"/>
    <mergeCell ref="G12:G22"/>
    <mergeCell ref="H12:H22"/>
    <mergeCell ref="A2:A5"/>
    <mergeCell ref="F2:F5"/>
    <mergeCell ref="G2:G5"/>
    <mergeCell ref="H2:H5"/>
    <mergeCell ref="A6:A9"/>
    <mergeCell ref="F6:F9"/>
    <mergeCell ref="G6:G9"/>
    <mergeCell ref="H6:H9"/>
  </mergeCells>
  <pageMargins left="0.74791666666666701" right="0.74791666666666701" top="0.98402777777777795" bottom="0.98402777777777795" header="0.51180555555555496" footer="0.51180555555555496"/>
  <pageSetup firstPageNumber="0" orientation="portrait" horizontalDpi="300" verticalDpi="30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32"/>
  <sheetViews>
    <sheetView topLeftCell="A10" zoomScale="90" zoomScaleNormal="90" workbookViewId="0">
      <selection activeCell="I11" sqref="I11"/>
    </sheetView>
  </sheetViews>
  <sheetFormatPr baseColWidth="10" defaultColWidth="8.83203125" defaultRowHeight="13"/>
  <cols>
    <col min="1" max="1" width="15.1640625" style="4" customWidth="1"/>
    <col min="2" max="2" width="15.83203125" style="5" customWidth="1"/>
    <col min="3" max="3" width="10.33203125" style="4" customWidth="1"/>
    <col min="4" max="4" width="12.83203125" style="4" customWidth="1"/>
    <col min="5" max="5" width="15.33203125" style="4" customWidth="1"/>
    <col min="6" max="1025" width="7.6640625" style="4" customWidth="1"/>
  </cols>
  <sheetData>
    <row r="1" spans="1:6" ht="27" customHeight="1">
      <c r="A1" s="37" t="s">
        <v>53</v>
      </c>
      <c r="B1" s="7" t="s">
        <v>54</v>
      </c>
      <c r="C1" s="7" t="s">
        <v>23</v>
      </c>
      <c r="D1" s="7" t="s">
        <v>25</v>
      </c>
      <c r="E1" s="7" t="s">
        <v>24</v>
      </c>
      <c r="F1" s="38"/>
    </row>
    <row r="2" spans="1:6" ht="13.75" customHeight="1">
      <c r="A2" s="239" t="s">
        <v>36</v>
      </c>
      <c r="B2" s="9" t="s">
        <v>51</v>
      </c>
      <c r="C2" s="39">
        <f>'Table1 &amp; Fig1'!C26</f>
        <v>450</v>
      </c>
      <c r="D2" s="40">
        <f>'Table1 &amp; Fig1'!E26</f>
        <v>1.1939546048290499</v>
      </c>
      <c r="E2" s="41"/>
      <c r="F2" s="42"/>
    </row>
    <row r="3" spans="1:6" ht="13.75" customHeight="1">
      <c r="A3" s="239"/>
      <c r="B3" s="9" t="s">
        <v>55</v>
      </c>
      <c r="C3" s="43">
        <f>'Table1 &amp; Fig1'!C4</f>
        <v>7.3522978635168004</v>
      </c>
      <c r="D3" s="44">
        <f>'Table1 &amp; Fig1'!E4</f>
        <v>6.3873513138830802</v>
      </c>
      <c r="E3" s="45"/>
      <c r="F3" s="42"/>
    </row>
    <row r="4" spans="1:6" ht="13.75" customHeight="1">
      <c r="A4" s="239"/>
      <c r="B4" s="9" t="s">
        <v>56</v>
      </c>
      <c r="C4" s="46">
        <f>'Table1 &amp; Fig1'!C8</f>
        <v>0.51570533091958903</v>
      </c>
      <c r="D4" s="44">
        <f>'Table1 &amp; Fig1'!E8</f>
        <v>3.64387348782425</v>
      </c>
      <c r="E4" s="45"/>
      <c r="F4" s="42"/>
    </row>
    <row r="5" spans="1:6" ht="13.75" customHeight="1">
      <c r="A5" s="239"/>
      <c r="B5" s="9" t="s">
        <v>35</v>
      </c>
      <c r="C5" s="43">
        <f>'Table1 &amp; Fig1'!C10</f>
        <v>11.8020047916546</v>
      </c>
      <c r="D5" s="44">
        <f>'Table1 &amp; Fig1'!E10</f>
        <v>3.4597511474140199</v>
      </c>
      <c r="E5" s="45"/>
      <c r="F5" s="42"/>
    </row>
    <row r="6" spans="1:6" ht="28.5" customHeight="1">
      <c r="A6" s="239"/>
      <c r="B6" s="9" t="s">
        <v>39</v>
      </c>
      <c r="C6" s="46">
        <f>'Table1 &amp; Fig1'!C13</f>
        <v>0.21156795039780801</v>
      </c>
      <c r="D6" s="44"/>
      <c r="E6" s="45"/>
      <c r="F6" s="42"/>
    </row>
    <row r="7" spans="1:6" ht="13.75" customHeight="1">
      <c r="A7" s="239"/>
      <c r="B7" s="9" t="s">
        <v>46</v>
      </c>
      <c r="C7" s="47">
        <f>'Table1 &amp; Fig1'!C20</f>
        <v>5.5372566149999997E-2</v>
      </c>
      <c r="D7" s="44"/>
      <c r="E7" s="45"/>
      <c r="F7" s="42"/>
    </row>
    <row r="8" spans="1:6" ht="13.75" customHeight="1">
      <c r="A8" s="239"/>
      <c r="B8" s="9" t="s">
        <v>45</v>
      </c>
      <c r="C8" s="46">
        <f>'Table1 &amp; Fig1'!C19</f>
        <v>0.10714686353151</v>
      </c>
      <c r="D8" s="44"/>
      <c r="E8" s="45"/>
      <c r="F8" s="42"/>
    </row>
    <row r="9" spans="1:6" ht="28.5" customHeight="1">
      <c r="A9" s="239"/>
      <c r="B9" s="9" t="s">
        <v>57</v>
      </c>
      <c r="C9" s="48">
        <v>2.89064584032944E-3</v>
      </c>
      <c r="D9" s="44">
        <v>3.6917824251731002</v>
      </c>
      <c r="E9" s="45"/>
      <c r="F9" s="42"/>
    </row>
    <row r="10" spans="1:6" ht="13.75" customHeight="1">
      <c r="A10" s="239"/>
      <c r="B10" s="9" t="s">
        <v>47</v>
      </c>
      <c r="C10" s="48">
        <f>'Table1 &amp; Fig1'!C21</f>
        <v>1.6580191678722701E-3</v>
      </c>
      <c r="D10" s="44"/>
      <c r="E10" s="45"/>
      <c r="F10" s="42"/>
    </row>
    <row r="11" spans="1:6" ht="13.75" customHeight="1">
      <c r="A11" s="239"/>
      <c r="B11" s="9" t="s">
        <v>38</v>
      </c>
      <c r="C11" s="46">
        <f>'Table1 &amp; Fig1'!C12</f>
        <v>0.19850644723722199</v>
      </c>
      <c r="D11" s="44"/>
      <c r="E11" s="45"/>
      <c r="F11" s="42"/>
    </row>
    <row r="12" spans="1:6" ht="13.75" customHeight="1">
      <c r="A12" s="239"/>
      <c r="B12" s="9" t="s">
        <v>43</v>
      </c>
      <c r="C12" s="48">
        <v>5.6116584681630399E-3</v>
      </c>
      <c r="D12" s="44"/>
      <c r="E12" s="45"/>
      <c r="F12" s="42"/>
    </row>
    <row r="13" spans="1:6" ht="28.5" customHeight="1">
      <c r="A13" s="239"/>
      <c r="B13" s="9" t="s">
        <v>58</v>
      </c>
      <c r="C13" s="46">
        <f>'Table1 &amp; Fig1'!C24</f>
        <v>1.6054762159650899</v>
      </c>
      <c r="D13" s="44">
        <f>'Table1 &amp; Fig1'!E24</f>
        <v>3.73047280407657</v>
      </c>
      <c r="E13" s="45"/>
      <c r="F13" s="42"/>
    </row>
    <row r="14" spans="1:6" ht="13.75" customHeight="1">
      <c r="A14" s="239"/>
      <c r="B14" s="9" t="s">
        <v>59</v>
      </c>
      <c r="C14" s="49">
        <f>SUM(C2:C13)</f>
        <v>471.85823835284907</v>
      </c>
      <c r="D14" s="50"/>
      <c r="E14" s="51">
        <v>470</v>
      </c>
      <c r="F14" s="42"/>
    </row>
    <row r="15" spans="1:6" ht="27" customHeight="1">
      <c r="A15" s="37" t="s">
        <v>53</v>
      </c>
      <c r="B15" s="7" t="s">
        <v>54</v>
      </c>
      <c r="C15" s="7" t="s">
        <v>23</v>
      </c>
      <c r="D15" s="7" t="s">
        <v>25</v>
      </c>
      <c r="E15" s="7" t="s">
        <v>24</v>
      </c>
    </row>
    <row r="16" spans="1:6" ht="28.5" customHeight="1">
      <c r="A16" s="239" t="s">
        <v>31</v>
      </c>
      <c r="B16" s="9" t="s">
        <v>60</v>
      </c>
      <c r="C16" s="46">
        <f>'Table1 &amp; Fig1'!C3</f>
        <v>1.3269340958024201</v>
      </c>
      <c r="D16" s="40">
        <f>'Table1 &amp; Fig1'!E3</f>
        <v>1.8112294863262299</v>
      </c>
      <c r="E16" s="52"/>
      <c r="F16" s="42"/>
    </row>
    <row r="17" spans="1:6" ht="28.5" customHeight="1">
      <c r="A17" s="239"/>
      <c r="B17" s="9" t="s">
        <v>61</v>
      </c>
      <c r="C17" s="46">
        <f>'Table1 &amp; Fig1'!C7</f>
        <v>0.33173352395060401</v>
      </c>
      <c r="D17" s="44">
        <f>'Table1 &amp; Fig1'!E7</f>
        <v>2.6880343242440601</v>
      </c>
      <c r="E17" s="52"/>
      <c r="F17" s="53"/>
    </row>
    <row r="18" spans="1:6" ht="28.5" customHeight="1">
      <c r="A18" s="239"/>
      <c r="B18" s="9" t="s">
        <v>40</v>
      </c>
      <c r="C18" s="46">
        <f>'Table1 &amp; Fig1'!C14</f>
        <v>0.94035514834451595</v>
      </c>
      <c r="D18" s="50">
        <f>'Table1 &amp; Fig1'!E14</f>
        <v>10</v>
      </c>
      <c r="E18" s="52"/>
      <c r="F18" s="53"/>
    </row>
    <row r="19" spans="1:6" ht="13.75" customHeight="1">
      <c r="A19" s="239"/>
      <c r="B19" s="9" t="s">
        <v>42</v>
      </c>
      <c r="C19" s="46">
        <f>'Table1 &amp; Fig1'!C16</f>
        <v>0.181984847615171</v>
      </c>
      <c r="D19" s="50"/>
      <c r="E19" s="52"/>
      <c r="F19" s="42"/>
    </row>
    <row r="20" spans="1:6" ht="13.75" customHeight="1">
      <c r="A20" s="239"/>
      <c r="B20" s="9" t="s">
        <v>62</v>
      </c>
      <c r="C20" s="46">
        <f>'Table1 &amp; Fig1'!C15</f>
        <v>8.9616830003403494E-2</v>
      </c>
      <c r="D20" s="50"/>
      <c r="E20" s="52"/>
      <c r="F20" s="42"/>
    </row>
    <row r="21" spans="1:6" ht="13.75" customHeight="1">
      <c r="A21" s="239"/>
      <c r="B21" s="9" t="s">
        <v>63</v>
      </c>
      <c r="C21" s="46">
        <f>'Table1 &amp; Fig1'!C23</f>
        <v>2.0677239113845598</v>
      </c>
      <c r="D21" s="50">
        <f>'Table1 &amp; Fig1'!E23</f>
        <v>10</v>
      </c>
      <c r="E21" s="52"/>
      <c r="F21" s="42"/>
    </row>
    <row r="22" spans="1:6" ht="13.75" customHeight="1">
      <c r="A22" s="239"/>
      <c r="B22" s="9" t="s">
        <v>44</v>
      </c>
      <c r="C22" s="46">
        <f>'Table1 &amp; Fig1'!C18</f>
        <v>0.66761088353510201</v>
      </c>
      <c r="D22" s="50"/>
      <c r="E22" s="52"/>
      <c r="F22" s="42"/>
    </row>
    <row r="23" spans="1:6" ht="28.5" customHeight="1">
      <c r="A23" s="239"/>
      <c r="B23" s="9" t="s">
        <v>64</v>
      </c>
      <c r="C23" s="48">
        <v>4.4536080000000004E-3</v>
      </c>
      <c r="D23" s="40">
        <v>1.4375</v>
      </c>
      <c r="E23" s="52"/>
      <c r="F23" s="42"/>
    </row>
    <row r="24" spans="1:6" ht="13.75" customHeight="1">
      <c r="A24" s="239"/>
      <c r="B24" s="9" t="s">
        <v>43</v>
      </c>
      <c r="C24" s="47">
        <v>1.4E-2</v>
      </c>
      <c r="D24" s="50"/>
      <c r="E24" s="52"/>
      <c r="F24" s="42"/>
    </row>
    <row r="25" spans="1:6" ht="13.75" customHeight="1">
      <c r="A25" s="239"/>
      <c r="B25" s="9" t="s">
        <v>35</v>
      </c>
      <c r="C25" s="46">
        <f>'Table1 &amp; Fig1'!C11</f>
        <v>0.32482014964352601</v>
      </c>
      <c r="D25" s="50">
        <f>'Table1 &amp; Fig1'!E11</f>
        <v>10</v>
      </c>
      <c r="E25" s="52"/>
      <c r="F25" s="42"/>
    </row>
    <row r="26" spans="1:6" ht="13.75" customHeight="1">
      <c r="A26" s="239"/>
      <c r="B26" s="9" t="s">
        <v>59</v>
      </c>
      <c r="C26" s="49">
        <f>SUM(C16:C25)</f>
        <v>5.9492329982793022</v>
      </c>
      <c r="D26" s="50"/>
      <c r="E26" s="54">
        <v>6</v>
      </c>
      <c r="F26" s="42"/>
    </row>
    <row r="27" spans="1:6" ht="27" customHeight="1">
      <c r="A27" s="37" t="s">
        <v>53</v>
      </c>
      <c r="B27" s="7" t="s">
        <v>54</v>
      </c>
      <c r="C27" s="7" t="s">
        <v>23</v>
      </c>
      <c r="D27" s="7" t="s">
        <v>25</v>
      </c>
      <c r="E27" s="7" t="s">
        <v>24</v>
      </c>
      <c r="F27" s="42"/>
    </row>
    <row r="28" spans="1:6" ht="28.5" customHeight="1">
      <c r="A28" s="244" t="s">
        <v>65</v>
      </c>
      <c r="B28" s="9" t="s">
        <v>66</v>
      </c>
      <c r="C28" s="43">
        <f>'Table1 &amp; Fig1'!C5</f>
        <v>6.6482166029696002</v>
      </c>
      <c r="D28" s="44">
        <f>'Table1 &amp; Fig1'!E5</f>
        <v>7.6430745647235199</v>
      </c>
      <c r="E28" s="52"/>
      <c r="F28" s="42"/>
    </row>
    <row r="29" spans="1:6" ht="28.5" customHeight="1">
      <c r="A29" s="244"/>
      <c r="B29" s="9" t="s">
        <v>67</v>
      </c>
      <c r="C29" s="43">
        <f>'Table1 &amp; Fig1'!C2</f>
        <v>58.069293797341899</v>
      </c>
      <c r="D29" s="44">
        <f>'Table1 &amp; Fig1'!E2</f>
        <v>20.746505519739301</v>
      </c>
      <c r="E29" s="52"/>
      <c r="F29" s="42"/>
    </row>
    <row r="30" spans="1:6" ht="28.5" customHeight="1">
      <c r="A30" s="244"/>
      <c r="B30" s="9" t="s">
        <v>68</v>
      </c>
      <c r="C30" s="43">
        <f>'Table1 &amp; Fig1'!C9</f>
        <v>2.8492356869869702</v>
      </c>
      <c r="D30" s="44">
        <f>'Table1 &amp; Fig1'!E9</f>
        <v>7.93154470620712</v>
      </c>
      <c r="E30" s="52"/>
      <c r="F30" s="42"/>
    </row>
    <row r="31" spans="1:6" ht="28.5" customHeight="1">
      <c r="A31" s="244"/>
      <c r="B31" s="9" t="s">
        <v>69</v>
      </c>
      <c r="C31" s="43">
        <f>'Table1 &amp; Fig1'!C6</f>
        <v>3.7065506679154399</v>
      </c>
      <c r="D31" s="44">
        <f>'Table1 &amp; Fig1'!E6</f>
        <v>62.0115692516205</v>
      </c>
      <c r="E31" s="52"/>
      <c r="F31" s="42"/>
    </row>
    <row r="32" spans="1:6" ht="13.75" customHeight="1">
      <c r="A32" s="244"/>
      <c r="B32" s="9" t="s">
        <v>59</v>
      </c>
      <c r="C32" s="55">
        <f>SUM(C28:C31)</f>
        <v>71.273296755213906</v>
      </c>
      <c r="D32" s="56"/>
      <c r="E32" s="57">
        <v>70</v>
      </c>
    </row>
  </sheetData>
  <mergeCells count="3">
    <mergeCell ref="A2:A14"/>
    <mergeCell ref="A16:A26"/>
    <mergeCell ref="A28:A32"/>
  </mergeCells>
  <pageMargins left="0.74791666666666701" right="0.74791666666666701" top="0.98402777777777795" bottom="0.9840277777777779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17"/>
  <sheetViews>
    <sheetView zoomScale="90" zoomScaleNormal="90" workbookViewId="0">
      <selection activeCell="I11" sqref="I11"/>
    </sheetView>
  </sheetViews>
  <sheetFormatPr baseColWidth="10" defaultColWidth="8.83203125" defaultRowHeight="13"/>
  <cols>
    <col min="1" max="1" width="7.6640625" style="4" customWidth="1"/>
    <col min="2" max="2" width="16" style="4" customWidth="1"/>
    <col min="3" max="3" width="11" style="4" customWidth="1"/>
    <col min="4" max="4" width="8.1640625" style="4" customWidth="1"/>
    <col min="5" max="5" width="12.5" style="4" customWidth="1"/>
    <col min="6" max="6" width="10.1640625" style="4" customWidth="1"/>
    <col min="7" max="1025" width="7.6640625" style="4" customWidth="1"/>
  </cols>
  <sheetData>
    <row r="1" spans="1:6" ht="42" customHeight="1">
      <c r="A1" s="245" t="s">
        <v>54</v>
      </c>
      <c r="B1" s="245"/>
      <c r="C1" s="58" t="s">
        <v>36</v>
      </c>
      <c r="D1" s="58" t="s">
        <v>31</v>
      </c>
      <c r="E1" s="59" t="s">
        <v>65</v>
      </c>
      <c r="F1" s="60" t="s">
        <v>70</v>
      </c>
    </row>
    <row r="2" spans="1:6" ht="15.75" customHeight="1">
      <c r="A2" s="245" t="s">
        <v>51</v>
      </c>
      <c r="B2" s="245"/>
      <c r="C2" s="61">
        <f>'Table1 &amp; Fig1'!C26</f>
        <v>450</v>
      </c>
      <c r="D2" s="46">
        <f>Fig2C!B22+Fig2C!B23+0.12</f>
        <v>0.37079316685939401</v>
      </c>
      <c r="E2" s="61"/>
      <c r="F2" s="45" t="s">
        <v>71</v>
      </c>
    </row>
    <row r="3" spans="1:6" ht="15.75" customHeight="1">
      <c r="A3" s="245" t="s">
        <v>35</v>
      </c>
      <c r="B3" s="245"/>
      <c r="C3" s="43">
        <f>'Table1 &amp; Fig1'!C10</f>
        <v>11.8020047916546</v>
      </c>
      <c r="D3" s="46">
        <f>'Table1 &amp; Fig1'!C11</f>
        <v>0.32482014964352601</v>
      </c>
      <c r="E3" s="61"/>
      <c r="F3" s="45"/>
    </row>
    <row r="4" spans="1:6" ht="15.75" customHeight="1">
      <c r="A4" s="245" t="s">
        <v>49</v>
      </c>
      <c r="B4" s="245"/>
      <c r="C4" s="46">
        <f>'Table1 &amp; Fig1'!C24</f>
        <v>1.6054762159650899</v>
      </c>
      <c r="D4" s="46">
        <f>'Table1 &amp; Fig1'!C23</f>
        <v>2.0677239113845598</v>
      </c>
      <c r="E4" s="61"/>
      <c r="F4" s="45"/>
    </row>
    <row r="5" spans="1:6" ht="15.75" customHeight="1">
      <c r="A5" s="246" t="s">
        <v>37</v>
      </c>
      <c r="B5" s="62" t="s">
        <v>72</v>
      </c>
      <c r="C5" s="46">
        <f>'Table1 &amp; Fig1'!C13</f>
        <v>0.21156795039780801</v>
      </c>
      <c r="D5" s="63">
        <f>'Table1 &amp; Fig1'!C14</f>
        <v>0.94035514834451595</v>
      </c>
      <c r="E5" s="21"/>
      <c r="F5" s="45"/>
    </row>
    <row r="6" spans="1:6" ht="15.75" customHeight="1">
      <c r="A6" s="246"/>
      <c r="B6" s="62" t="s">
        <v>45</v>
      </c>
      <c r="C6" s="46">
        <f>'Table1 &amp; Fig1'!C19</f>
        <v>0.10714686353151</v>
      </c>
      <c r="D6" s="21"/>
      <c r="E6" s="21"/>
      <c r="F6" s="45"/>
    </row>
    <row r="7" spans="1:6" ht="15.75" customHeight="1">
      <c r="A7" s="246"/>
      <c r="B7" s="62" t="s">
        <v>46</v>
      </c>
      <c r="C7" s="47">
        <f>'Table1 &amp; Fig1'!C20</f>
        <v>5.5372566149999997E-2</v>
      </c>
      <c r="D7" s="21"/>
      <c r="E7" s="21"/>
      <c r="F7" s="45"/>
    </row>
    <row r="8" spans="1:6" ht="15.75" customHeight="1">
      <c r="A8" s="246"/>
      <c r="B8" s="62" t="s">
        <v>48</v>
      </c>
      <c r="C8" s="48">
        <f>Fig2A!C9</f>
        <v>2.89064584032944E-3</v>
      </c>
      <c r="D8" s="64">
        <f>Fig2A!C23</f>
        <v>4.4536080000000004E-3</v>
      </c>
      <c r="E8" s="21"/>
      <c r="F8" s="45"/>
    </row>
    <row r="9" spans="1:6" ht="15.75" customHeight="1">
      <c r="A9" s="246"/>
      <c r="B9" s="62" t="s">
        <v>47</v>
      </c>
      <c r="C9" s="48">
        <f>'Table1 &amp; Fig1'!C21</f>
        <v>1.6580191678722701E-3</v>
      </c>
      <c r="D9" s="21"/>
      <c r="E9" s="21"/>
      <c r="F9" s="45"/>
    </row>
    <row r="10" spans="1:6" ht="15.75" customHeight="1">
      <c r="A10" s="246"/>
      <c r="B10" s="62" t="s">
        <v>38</v>
      </c>
      <c r="C10" s="46">
        <f>'Table1 &amp; Fig1'!C12</f>
        <v>0.19850644723722199</v>
      </c>
      <c r="D10" s="21"/>
      <c r="E10" s="21"/>
      <c r="F10" s="45"/>
    </row>
    <row r="11" spans="1:6" ht="15.75" customHeight="1">
      <c r="A11" s="246"/>
      <c r="B11" s="62" t="s">
        <v>43</v>
      </c>
      <c r="C11" s="48">
        <f>Fig2A!C12</f>
        <v>5.6116584681630399E-3</v>
      </c>
      <c r="D11" s="65">
        <f>Fig2A!C24</f>
        <v>1.4E-2</v>
      </c>
      <c r="E11" s="21"/>
      <c r="F11" s="45"/>
    </row>
    <row r="12" spans="1:6" ht="15.75" customHeight="1">
      <c r="A12" s="246"/>
      <c r="B12" s="62" t="s">
        <v>44</v>
      </c>
      <c r="C12" s="21"/>
      <c r="D12" s="46">
        <f>'Table1 &amp; Fig1'!C18</f>
        <v>0.66761088353510201</v>
      </c>
      <c r="E12" s="21"/>
      <c r="F12" s="45"/>
    </row>
    <row r="13" spans="1:6" ht="15.75" customHeight="1">
      <c r="A13" s="246"/>
      <c r="B13" s="62" t="s">
        <v>42</v>
      </c>
      <c r="C13" s="21"/>
      <c r="D13" s="46">
        <f>'Table1 &amp; Fig1'!C16</f>
        <v>0.181984847615171</v>
      </c>
      <c r="E13" s="21"/>
      <c r="F13" s="45"/>
    </row>
    <row r="14" spans="1:6" ht="15.75" customHeight="1">
      <c r="A14" s="246"/>
      <c r="B14" s="62" t="s">
        <v>62</v>
      </c>
      <c r="C14" s="21"/>
      <c r="D14" s="46">
        <f>'Table1 &amp; Fig1'!C15</f>
        <v>8.9616830003403494E-2</v>
      </c>
      <c r="E14" s="21"/>
      <c r="F14" s="45"/>
    </row>
    <row r="15" spans="1:6" ht="15.75" customHeight="1">
      <c r="A15" s="246"/>
      <c r="B15" s="62" t="s">
        <v>59</v>
      </c>
      <c r="C15" s="63">
        <f>SUM(C5:C14)</f>
        <v>0.58275415079290471</v>
      </c>
      <c r="D15" s="63">
        <f>SUM(D5:D14)</f>
        <v>1.8980213174981926</v>
      </c>
      <c r="E15" s="21"/>
      <c r="F15" s="45"/>
    </row>
    <row r="16" spans="1:6" ht="15.75" customHeight="1">
      <c r="A16" s="245" t="s">
        <v>29</v>
      </c>
      <c r="B16" s="245"/>
      <c r="C16" s="66">
        <f>'Table1 &amp; Fig1'!C4</f>
        <v>7.3522978635168004</v>
      </c>
      <c r="D16" s="63">
        <f>'Table1 &amp; Fig1'!C3</f>
        <v>1.3269340958024201</v>
      </c>
      <c r="E16" s="66">
        <f>'Table1 &amp; Fig1'!C2+'Table1 &amp; Fig1'!C5</f>
        <v>64.717510400311497</v>
      </c>
      <c r="F16" s="45"/>
    </row>
    <row r="17" spans="1:6" ht="15.75" customHeight="1">
      <c r="A17" s="245" t="s">
        <v>34</v>
      </c>
      <c r="B17" s="245"/>
      <c r="C17" s="67">
        <f>'Table1 &amp; Fig1'!C8</f>
        <v>0.51570533091958903</v>
      </c>
      <c r="D17" s="67">
        <f>'Table1 &amp; Fig1'!C7</f>
        <v>0.33173352395060401</v>
      </c>
      <c r="E17" s="49">
        <f>'Table1 &amp; Fig1'!C6+'Table1 &amp; Fig1'!C9</f>
        <v>6.55578635490241</v>
      </c>
      <c r="F17" s="51"/>
    </row>
  </sheetData>
  <mergeCells count="7">
    <mergeCell ref="A16:B16"/>
    <mergeCell ref="A17:B17"/>
    <mergeCell ref="A1:B1"/>
    <mergeCell ref="A2:B2"/>
    <mergeCell ref="A3:B3"/>
    <mergeCell ref="A4:B4"/>
    <mergeCell ref="A5:A15"/>
  </mergeCells>
  <pageMargins left="0.74791666666666701" right="0.74791666666666701" top="0.98402777777777795" bottom="0.98402777777777795" header="0.51180555555555496" footer="0.51180555555555496"/>
  <pageSetup firstPageNumber="0" orientation="portrait" horizontalDpi="300" verticalDpi="300"/>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2"/>
  <sheetViews>
    <sheetView zoomScale="90" zoomScaleNormal="90" workbookViewId="0">
      <selection activeCell="I11" sqref="I11"/>
    </sheetView>
  </sheetViews>
  <sheetFormatPr baseColWidth="10" defaultColWidth="8.83203125" defaultRowHeight="14"/>
  <cols>
    <col min="1" max="1" width="10.1640625" style="50" customWidth="1"/>
    <col min="2" max="2" width="14.1640625" style="50" customWidth="1"/>
    <col min="3" max="3" width="17.83203125" style="50" customWidth="1"/>
    <col min="4" max="4" width="12.5" style="50" customWidth="1"/>
    <col min="5" max="5" width="10.6640625" style="50" customWidth="1"/>
    <col min="6" max="1025" width="7.6640625" style="50" customWidth="1"/>
  </cols>
  <sheetData>
    <row r="1" spans="1:5" ht="55.5" customHeight="1">
      <c r="A1" s="37"/>
      <c r="B1" s="37"/>
      <c r="C1" s="7" t="s">
        <v>23</v>
      </c>
      <c r="D1" s="7" t="s">
        <v>26</v>
      </c>
      <c r="E1" s="7" t="s">
        <v>27</v>
      </c>
    </row>
    <row r="2" spans="1:5" ht="15.75" customHeight="1">
      <c r="A2" s="239" t="s">
        <v>29</v>
      </c>
      <c r="B2" s="28" t="s">
        <v>31</v>
      </c>
      <c r="C2" s="69">
        <f>'Table1 &amp; Fig1'!C3</f>
        <v>1.3269340958024201</v>
      </c>
      <c r="D2" s="247">
        <f>SUM(C2:C3)</f>
        <v>8.6792319593192211</v>
      </c>
      <c r="E2" s="248">
        <v>9</v>
      </c>
    </row>
    <row r="3" spans="1:5" ht="15.75" customHeight="1">
      <c r="A3" s="239"/>
      <c r="B3" s="28" t="s">
        <v>32</v>
      </c>
      <c r="C3" s="71">
        <f>'Table1 &amp; Fig1'!C4</f>
        <v>7.3522978635168004</v>
      </c>
      <c r="D3" s="247"/>
      <c r="E3" s="247"/>
    </row>
    <row r="4" spans="1:5" ht="15.75" customHeight="1">
      <c r="A4" s="239" t="s">
        <v>34</v>
      </c>
      <c r="B4" s="28" t="s">
        <v>31</v>
      </c>
      <c r="C4" s="69">
        <f>'Table1 &amp; Fig1'!C7</f>
        <v>0.33173352395060401</v>
      </c>
      <c r="D4" s="247">
        <f>SUM(C4:C5)</f>
        <v>0.84743885487019299</v>
      </c>
      <c r="E4" s="248">
        <v>1</v>
      </c>
    </row>
    <row r="5" spans="1:5" ht="15.75" customHeight="1">
      <c r="A5" s="239"/>
      <c r="B5" s="28" t="s">
        <v>32</v>
      </c>
      <c r="C5" s="72">
        <f>'Table1 &amp; Fig1'!C8</f>
        <v>0.51570533091958903</v>
      </c>
      <c r="D5" s="247"/>
      <c r="E5" s="247"/>
    </row>
    <row r="6" spans="1:5" ht="15.75" customHeight="1">
      <c r="A6" s="239" t="s">
        <v>35</v>
      </c>
      <c r="B6" s="28" t="s">
        <v>36</v>
      </c>
      <c r="C6" s="70">
        <f>'Table1 &amp; Fig1'!C10</f>
        <v>11.8020047916546</v>
      </c>
      <c r="D6" s="247">
        <f>SUM(C6:C7)</f>
        <v>12.126824941298127</v>
      </c>
      <c r="E6" s="248">
        <v>12</v>
      </c>
    </row>
    <row r="7" spans="1:5" ht="15.75" customHeight="1">
      <c r="A7" s="239"/>
      <c r="B7" s="28" t="s">
        <v>31</v>
      </c>
      <c r="C7" s="72">
        <f>'Table1 &amp; Fig1'!C11</f>
        <v>0.32482014964352601</v>
      </c>
      <c r="D7" s="247"/>
      <c r="E7" s="247"/>
    </row>
    <row r="8" spans="1:5" ht="15.75" customHeight="1">
      <c r="A8" s="239" t="s">
        <v>37</v>
      </c>
      <c r="B8" s="28" t="s">
        <v>38</v>
      </c>
      <c r="C8" s="69">
        <f>'Table1 &amp; Fig1'!C12</f>
        <v>0.19850644723722199</v>
      </c>
      <c r="D8" s="247">
        <f>SUM(C8:C18)</f>
        <v>2.4807754682910974</v>
      </c>
      <c r="E8" s="248">
        <v>2</v>
      </c>
    </row>
    <row r="9" spans="1:5" ht="30">
      <c r="A9" s="239"/>
      <c r="B9" s="9" t="s">
        <v>39</v>
      </c>
      <c r="C9" s="46">
        <f>'Table1 &amp; Fig1'!C13</f>
        <v>0.21156795039780801</v>
      </c>
      <c r="D9" s="247"/>
      <c r="E9" s="247"/>
    </row>
    <row r="10" spans="1:5" ht="30">
      <c r="A10" s="239"/>
      <c r="B10" s="9" t="s">
        <v>40</v>
      </c>
      <c r="C10" s="46">
        <f>'Table1 &amp; Fig1'!C14</f>
        <v>0.94035514834451595</v>
      </c>
      <c r="D10" s="247"/>
      <c r="E10" s="247"/>
    </row>
    <row r="11" spans="1:5" ht="15.75" customHeight="1">
      <c r="A11" s="239"/>
      <c r="B11" s="28" t="s">
        <v>41</v>
      </c>
      <c r="C11" s="46">
        <f>'Table1 &amp; Fig1'!C15</f>
        <v>8.9616830003403494E-2</v>
      </c>
      <c r="D11" s="247"/>
      <c r="E11" s="247"/>
    </row>
    <row r="12" spans="1:5" ht="15.75" customHeight="1">
      <c r="A12" s="239"/>
      <c r="B12" s="28" t="s">
        <v>42</v>
      </c>
      <c r="C12" s="46">
        <f>'Table1 &amp; Fig1'!C16</f>
        <v>0.181984847615171</v>
      </c>
      <c r="D12" s="247"/>
      <c r="E12" s="247"/>
    </row>
    <row r="13" spans="1:5" ht="15.75" customHeight="1">
      <c r="A13" s="239"/>
      <c r="B13" s="28" t="s">
        <v>43</v>
      </c>
      <c r="C13" s="47">
        <f>'Table1 &amp; Fig1'!C17</f>
        <v>1.9611658468163099E-2</v>
      </c>
      <c r="D13" s="247"/>
      <c r="E13" s="247"/>
    </row>
    <row r="14" spans="1:5" ht="15.75" customHeight="1">
      <c r="A14" s="239"/>
      <c r="B14" s="28" t="s">
        <v>44</v>
      </c>
      <c r="C14" s="46">
        <f>'Table1 &amp; Fig1'!C18</f>
        <v>0.66761088353510201</v>
      </c>
      <c r="D14" s="247"/>
      <c r="E14" s="247"/>
    </row>
    <row r="15" spans="1:5" ht="15.75" customHeight="1">
      <c r="A15" s="239"/>
      <c r="B15" s="28" t="s">
        <v>45</v>
      </c>
      <c r="C15" s="46">
        <f>'Table1 &amp; Fig1'!C19</f>
        <v>0.10714686353151</v>
      </c>
      <c r="D15" s="247"/>
      <c r="E15" s="247"/>
    </row>
    <row r="16" spans="1:5" ht="15.75" customHeight="1">
      <c r="A16" s="239"/>
      <c r="B16" s="28" t="s">
        <v>46</v>
      </c>
      <c r="C16" s="47">
        <f>'Table1 &amp; Fig1'!C20</f>
        <v>5.5372566149999997E-2</v>
      </c>
      <c r="D16" s="247"/>
      <c r="E16" s="247"/>
    </row>
    <row r="17" spans="1:5" ht="15.75" customHeight="1">
      <c r="A17" s="239"/>
      <c r="B17" s="28" t="s">
        <v>47</v>
      </c>
      <c r="C17" s="48">
        <f>'Table1 &amp; Fig1'!C21</f>
        <v>1.6580191678722701E-3</v>
      </c>
      <c r="D17" s="247"/>
      <c r="E17" s="247"/>
    </row>
    <row r="18" spans="1:5" ht="15.75" customHeight="1">
      <c r="A18" s="239"/>
      <c r="B18" s="28" t="s">
        <v>48</v>
      </c>
      <c r="C18" s="73">
        <f>'Table1 &amp; Fig1'!C22</f>
        <v>7.34425384032944E-3</v>
      </c>
      <c r="D18" s="247"/>
      <c r="E18" s="247"/>
    </row>
    <row r="19" spans="1:5" ht="15.75" customHeight="1">
      <c r="A19" s="239" t="s">
        <v>49</v>
      </c>
      <c r="B19" s="28" t="s">
        <v>31</v>
      </c>
      <c r="C19" s="69">
        <f>'Table1 &amp; Fig1'!C23</f>
        <v>2.0677239113845598</v>
      </c>
      <c r="D19" s="247">
        <f>SUM(C19:C20)</f>
        <v>3.6732001273496495</v>
      </c>
      <c r="E19" s="248">
        <v>4</v>
      </c>
    </row>
    <row r="20" spans="1:5" ht="15.75" customHeight="1">
      <c r="A20" s="239"/>
      <c r="B20" s="28" t="s">
        <v>36</v>
      </c>
      <c r="C20" s="72">
        <f>'Table1 &amp; Fig1'!C24</f>
        <v>1.6054762159650899</v>
      </c>
      <c r="D20" s="247"/>
      <c r="E20" s="247"/>
    </row>
    <row r="21" spans="1:5" ht="15.75" customHeight="1">
      <c r="A21" s="28" t="s">
        <v>50</v>
      </c>
      <c r="B21" s="28" t="s">
        <v>50</v>
      </c>
      <c r="C21" s="74">
        <v>6.0726303942600701E-2</v>
      </c>
      <c r="D21" s="74">
        <f>C21</f>
        <v>6.0726303942600701E-2</v>
      </c>
      <c r="E21" s="75">
        <v>0.06</v>
      </c>
    </row>
    <row r="22" spans="1:5" ht="15.75" customHeight="1">
      <c r="A22" s="28" t="s">
        <v>51</v>
      </c>
      <c r="B22" s="28" t="s">
        <v>51</v>
      </c>
      <c r="C22" s="76">
        <v>152.09371485514399</v>
      </c>
      <c r="D22" s="76">
        <f>C22</f>
        <v>152.09371485514399</v>
      </c>
      <c r="E22" s="75">
        <v>150</v>
      </c>
    </row>
  </sheetData>
  <mergeCells count="15">
    <mergeCell ref="A19:A20"/>
    <mergeCell ref="D19:D20"/>
    <mergeCell ref="E19:E20"/>
    <mergeCell ref="A6:A7"/>
    <mergeCell ref="D6:D7"/>
    <mergeCell ref="E6:E7"/>
    <mergeCell ref="A8:A18"/>
    <mergeCell ref="D8:D18"/>
    <mergeCell ref="E8:E18"/>
    <mergeCell ref="A2:A3"/>
    <mergeCell ref="D2:D3"/>
    <mergeCell ref="E2:E3"/>
    <mergeCell ref="A4:A5"/>
    <mergeCell ref="D4:D5"/>
    <mergeCell ref="E4:E5"/>
  </mergeCells>
  <pageMargins left="0.74791666666666701" right="0.74791666666666701" top="0.98402777777777795" bottom="0.9840277777777779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7"/>
  <sheetViews>
    <sheetView zoomScale="90" zoomScaleNormal="90" workbookViewId="0">
      <selection activeCell="I11" sqref="I11"/>
    </sheetView>
  </sheetViews>
  <sheetFormatPr baseColWidth="10" defaultColWidth="8.83203125" defaultRowHeight="13"/>
  <cols>
    <col min="1" max="1" width="15.5" style="4" customWidth="1"/>
    <col min="2" max="3" width="16.6640625" style="4" customWidth="1"/>
    <col min="4" max="4" width="15.1640625" style="4" customWidth="1"/>
    <col min="5" max="5" width="17.6640625" style="4" customWidth="1"/>
    <col min="6" max="6" width="8.83203125" style="4" customWidth="1"/>
    <col min="7" max="7" width="10" style="4" customWidth="1"/>
    <col min="8" max="10" width="10.6640625" style="77" customWidth="1"/>
    <col min="11" max="11" width="18" style="4" customWidth="1"/>
    <col min="12" max="12" width="7.6640625" style="4" customWidth="1"/>
    <col min="13" max="13" width="18.5" style="4" customWidth="1"/>
    <col min="14" max="14" width="7.6640625" style="4" customWidth="1"/>
    <col min="15" max="15" width="8.83203125" style="4" customWidth="1"/>
    <col min="16" max="16" width="9.33203125" style="4" customWidth="1"/>
    <col min="17" max="17" width="8.83203125" style="4" customWidth="1"/>
    <col min="18" max="22" width="7.6640625" style="4" customWidth="1"/>
    <col min="23" max="23" width="14.83203125" style="4" customWidth="1"/>
    <col min="24" max="24" width="20.5" style="4" customWidth="1"/>
    <col min="25" max="25" width="10.33203125" style="4" customWidth="1"/>
    <col min="26" max="26" width="20.5" style="4" customWidth="1"/>
    <col min="27" max="27" width="11.5" style="4"/>
    <col min="28" max="28" width="12.33203125" style="4" customWidth="1"/>
    <col min="29" max="1025" width="7.6640625" style="4" customWidth="1"/>
  </cols>
  <sheetData>
    <row r="1" spans="1:33" ht="32" customHeight="1">
      <c r="A1" s="37" t="s">
        <v>86</v>
      </c>
      <c r="B1" s="78" t="s">
        <v>87</v>
      </c>
      <c r="C1" s="7" t="s">
        <v>25</v>
      </c>
      <c r="D1" s="7" t="s">
        <v>88</v>
      </c>
      <c r="E1" s="7" t="s">
        <v>89</v>
      </c>
      <c r="F1" s="79" t="s">
        <v>90</v>
      </c>
      <c r="G1" s="79" t="s">
        <v>91</v>
      </c>
      <c r="H1" s="80" t="s">
        <v>92</v>
      </c>
      <c r="I1" s="80" t="s">
        <v>93</v>
      </c>
      <c r="J1" s="80" t="s">
        <v>94</v>
      </c>
      <c r="K1" s="81" t="s">
        <v>95</v>
      </c>
      <c r="M1" s="81" t="s">
        <v>96</v>
      </c>
      <c r="N1" s="4" t="s">
        <v>97</v>
      </c>
      <c r="O1" s="4" t="s">
        <v>98</v>
      </c>
      <c r="P1" s="4" t="s">
        <v>99</v>
      </c>
      <c r="Q1" s="4" t="s">
        <v>100</v>
      </c>
      <c r="W1" s="4" t="s">
        <v>101</v>
      </c>
      <c r="X1" s="79" t="s">
        <v>90</v>
      </c>
      <c r="Y1" s="79" t="s">
        <v>91</v>
      </c>
      <c r="Z1" s="80" t="s">
        <v>92</v>
      </c>
      <c r="AA1" s="78" t="s">
        <v>87</v>
      </c>
      <c r="AB1" s="81" t="s">
        <v>102</v>
      </c>
      <c r="AC1" s="4" t="s">
        <v>103</v>
      </c>
      <c r="AD1" s="4" t="s">
        <v>104</v>
      </c>
      <c r="AE1" s="4" t="s">
        <v>105</v>
      </c>
      <c r="AF1" s="4" t="s">
        <v>106</v>
      </c>
      <c r="AG1" s="4" t="s">
        <v>107</v>
      </c>
    </row>
    <row r="2" spans="1:33" ht="15.75" customHeight="1">
      <c r="A2" s="28" t="s">
        <v>108</v>
      </c>
      <c r="B2" s="82">
        <f>'Table1 &amp; Fig1'!C26*1000000000000000</f>
        <v>4.5E+17</v>
      </c>
      <c r="C2" s="83">
        <f>'Table1 &amp; Fig1'!E26</f>
        <v>1.1939546048290499</v>
      </c>
      <c r="D2" s="84">
        <f>'Table S1'!D25</f>
        <v>3000000000000</v>
      </c>
      <c r="E2" s="85"/>
      <c r="F2" s="86">
        <v>200</v>
      </c>
      <c r="G2" s="86">
        <v>3000000</v>
      </c>
      <c r="H2" s="77">
        <f>B2/D2</f>
        <v>150000</v>
      </c>
      <c r="I2" s="77">
        <f t="shared" ref="I2:I17" si="0">(B2/C2)/D2</f>
        <v>125632.91719242287</v>
      </c>
      <c r="J2" s="77">
        <f t="shared" ref="J2:J17" si="1">B2*C2/D2</f>
        <v>179093.1907243575</v>
      </c>
      <c r="N2" s="4">
        <f>LOG10(H2)</f>
        <v>5.1760912590556813</v>
      </c>
      <c r="O2" s="4">
        <f t="shared" ref="O2:O17" si="2">LOG10(B2)</f>
        <v>17.653212513775344</v>
      </c>
      <c r="P2" s="77">
        <f t="shared" ref="P2:P17" si="3">LOG10(B2/(LOG10(G2)-LOG10(F2)))</f>
        <v>17.032442533151048</v>
      </c>
      <c r="Q2" s="77">
        <f>10^P2</f>
        <v>1.0775626586804029E+17</v>
      </c>
      <c r="W2" s="87" t="s">
        <v>47</v>
      </c>
      <c r="X2" s="4">
        <v>3</v>
      </c>
      <c r="Y2" s="4">
        <v>100000</v>
      </c>
      <c r="Z2" s="4">
        <v>5.5267305595742302</v>
      </c>
      <c r="AA2" s="4">
        <v>1658019167872.27</v>
      </c>
      <c r="AB2" s="4">
        <v>300000000000</v>
      </c>
      <c r="AC2" s="4" t="s">
        <v>109</v>
      </c>
      <c r="AG2" s="4">
        <v>91892654.651236996</v>
      </c>
    </row>
    <row r="3" spans="1:33" ht="15.75" customHeight="1">
      <c r="A3" s="28" t="s">
        <v>51</v>
      </c>
      <c r="B3" s="88">
        <f>'Table1 &amp; Fig1'!C26*1000000000000000</f>
        <v>4.5E+17</v>
      </c>
      <c r="C3" s="83">
        <f>'Table1 &amp; Fig1'!E26</f>
        <v>1.1939546048290499</v>
      </c>
      <c r="D3" s="84"/>
      <c r="E3" s="85">
        <v>400000</v>
      </c>
      <c r="F3" s="81"/>
      <c r="G3" s="81"/>
      <c r="I3" s="77" t="e">
        <f t="shared" si="0"/>
        <v>#DIV/0!</v>
      </c>
      <c r="J3" s="77" t="e">
        <f t="shared" si="1"/>
        <v>#DIV/0!</v>
      </c>
      <c r="K3" s="4">
        <f t="shared" ref="K3:K17" si="4">B3/E3</f>
        <v>1125000000000</v>
      </c>
      <c r="O3" s="4">
        <f t="shared" si="2"/>
        <v>17.653212513775344</v>
      </c>
      <c r="P3" s="77" t="e">
        <f t="shared" si="3"/>
        <v>#NUM!</v>
      </c>
      <c r="Q3" s="77"/>
      <c r="W3" s="87" t="s">
        <v>43</v>
      </c>
      <c r="X3" s="4">
        <v>5.0000000000000097E-8</v>
      </c>
      <c r="Y3" s="4">
        <v>100</v>
      </c>
      <c r="Z3" s="4">
        <v>5.0000000000000097E-8</v>
      </c>
      <c r="AA3" s="4">
        <v>19611658468163.102</v>
      </c>
      <c r="AB3" s="4">
        <v>3.92233169363261E+20</v>
      </c>
      <c r="AC3" s="4">
        <v>9984</v>
      </c>
      <c r="AD3" s="4">
        <v>50</v>
      </c>
      <c r="AG3" s="4">
        <v>1964308740.80159</v>
      </c>
    </row>
    <row r="4" spans="1:33" ht="15.75" customHeight="1">
      <c r="A4" s="28" t="s">
        <v>29</v>
      </c>
      <c r="B4" s="82">
        <f>'Table1 &amp; Fig1'!F2*1000000000000000</f>
        <v>7.3396742359630688E+16</v>
      </c>
      <c r="C4" s="89">
        <f>'Table1 &amp; Fig1'!H2</f>
        <v>9.7564688059009601</v>
      </c>
      <c r="D4" s="84">
        <f>'Table S1'!F2</f>
        <v>2.8540666010120574E+30</v>
      </c>
      <c r="E4" s="90">
        <f>210000000000*10358/(10358+502)</f>
        <v>200292817679.55801</v>
      </c>
      <c r="F4" s="86">
        <v>4E-14</v>
      </c>
      <c r="G4" s="86">
        <v>3.9999999999999998E-11</v>
      </c>
      <c r="H4" s="77">
        <f t="shared" ref="H4:H12" si="5">B4/D4</f>
        <v>2.5716548567438497E-14</v>
      </c>
      <c r="I4" s="77">
        <f t="shared" si="0"/>
        <v>2.6358459273589307E-15</v>
      </c>
      <c r="J4" s="77">
        <f t="shared" si="1"/>
        <v>2.5090270389365073E-13</v>
      </c>
      <c r="K4" s="81">
        <f t="shared" si="4"/>
        <v>366447.20070320123</v>
      </c>
      <c r="M4" s="91">
        <v>10358</v>
      </c>
      <c r="N4" s="4">
        <f t="shared" ref="N4:N17" si="6">LOG10(H4)</f>
        <v>-13.589787318745417</v>
      </c>
      <c r="O4" s="4">
        <f t="shared" si="2"/>
        <v>16.865676784621346</v>
      </c>
      <c r="P4" s="77">
        <f t="shared" si="3"/>
        <v>16.388555529901687</v>
      </c>
      <c r="Q4" s="77">
        <f t="shared" ref="Q4:Q17" si="7">10^P4</f>
        <v>2.446558078654366E+16</v>
      </c>
      <c r="W4" s="87" t="s">
        <v>46</v>
      </c>
      <c r="X4" s="4">
        <v>6818.1818181818198</v>
      </c>
      <c r="Y4" s="4">
        <v>10000</v>
      </c>
      <c r="Z4" s="4">
        <v>7500</v>
      </c>
      <c r="AA4" s="4">
        <v>55372566150000</v>
      </c>
      <c r="AB4" s="4">
        <v>7383008820</v>
      </c>
      <c r="AC4" s="4">
        <v>1</v>
      </c>
      <c r="AD4" s="4">
        <v>120</v>
      </c>
      <c r="AG4" s="4">
        <v>55372566150000</v>
      </c>
    </row>
    <row r="5" spans="1:33" ht="15.75" customHeight="1">
      <c r="A5" s="28" t="s">
        <v>34</v>
      </c>
      <c r="B5" s="82">
        <f>'Table1 &amp; Fig1'!F6*1000000000000000</f>
        <v>7403225209772600</v>
      </c>
      <c r="C5" s="89">
        <f>'Table1 &amp; Fig1'!H6</f>
        <v>13.0983425029663</v>
      </c>
      <c r="D5" s="84">
        <f>'Table S1'!F6</f>
        <v>3.0310462329967858E+29</v>
      </c>
      <c r="E5" s="90">
        <f>210000000000*502/(10358+502)</f>
        <v>9707182320.4419899</v>
      </c>
      <c r="F5" s="86">
        <v>4E-14</v>
      </c>
      <c r="G5" s="86">
        <v>3.9999999999999998E-11</v>
      </c>
      <c r="H5" s="77">
        <f t="shared" si="5"/>
        <v>2.4424652877871331E-14</v>
      </c>
      <c r="I5" s="77">
        <f t="shared" si="0"/>
        <v>1.8647132545465222E-15</v>
      </c>
      <c r="J5" s="77">
        <f t="shared" si="1"/>
        <v>3.199224689104202E-13</v>
      </c>
      <c r="K5" s="81">
        <f t="shared" si="4"/>
        <v>762654.38985136058</v>
      </c>
      <c r="M5" s="91">
        <v>502</v>
      </c>
      <c r="N5" s="4">
        <f t="shared" si="6"/>
        <v>-13.61217159974005</v>
      </c>
      <c r="O5" s="4">
        <f t="shared" si="2"/>
        <v>15.869420961036102</v>
      </c>
      <c r="P5" s="77">
        <f t="shared" si="3"/>
        <v>15.39229970631644</v>
      </c>
      <c r="Q5" s="77">
        <f t="shared" si="7"/>
        <v>2467741736590883.5</v>
      </c>
      <c r="W5" s="87" t="s">
        <v>41</v>
      </c>
      <c r="X5" s="4">
        <v>2E-3</v>
      </c>
      <c r="Y5" s="4">
        <v>20</v>
      </c>
      <c r="Z5" s="4">
        <v>4.5591045536693096E-3</v>
      </c>
      <c r="AA5" s="4">
        <v>89616830003403.5</v>
      </c>
      <c r="AB5" s="4">
        <v>1.96566735744801E+16</v>
      </c>
      <c r="AC5" s="4">
        <v>11490</v>
      </c>
      <c r="AD5" s="4">
        <v>11</v>
      </c>
      <c r="AG5" s="4">
        <v>7799550043.8123102</v>
      </c>
    </row>
    <row r="6" spans="1:33" ht="15.75" customHeight="1">
      <c r="A6" s="28" t="s">
        <v>35</v>
      </c>
      <c r="B6" s="82">
        <f>'Table1 &amp; Fig1'!F10*1000000000000000</f>
        <v>1.2126824941298126E+16</v>
      </c>
      <c r="C6" s="89">
        <f>'Table1 &amp; Fig1'!H10</f>
        <v>3.3224209485010001</v>
      </c>
      <c r="D6" s="84">
        <f>'Table S1'!F10</f>
        <v>8.0845499608654076E+26</v>
      </c>
      <c r="E6" s="92">
        <v>1000000</v>
      </c>
      <c r="F6" s="77">
        <f>H6</f>
        <v>1.5000000000000019E-11</v>
      </c>
      <c r="G6" s="86">
        <v>5000</v>
      </c>
      <c r="H6" s="77">
        <f t="shared" si="5"/>
        <v>1.5000000000000019E-11</v>
      </c>
      <c r="I6" s="77">
        <f t="shared" si="0"/>
        <v>4.5147801053829957E-12</v>
      </c>
      <c r="J6" s="77">
        <f t="shared" si="1"/>
        <v>4.9836314227515062E-11</v>
      </c>
      <c r="K6" s="4">
        <f t="shared" si="4"/>
        <v>12126824941.298126</v>
      </c>
      <c r="N6" s="4">
        <f t="shared" si="6"/>
        <v>-10.823908740944319</v>
      </c>
      <c r="O6" s="4">
        <f t="shared" si="2"/>
        <v>16.083747108288492</v>
      </c>
      <c r="P6" s="77">
        <f t="shared" si="3"/>
        <v>14.921694396933276</v>
      </c>
      <c r="Q6" s="77">
        <f t="shared" si="7"/>
        <v>835015230381868.62</v>
      </c>
      <c r="W6" s="87" t="s">
        <v>45</v>
      </c>
      <c r="X6" s="4">
        <v>10000</v>
      </c>
      <c r="Y6" s="4">
        <v>100000</v>
      </c>
      <c r="Z6" s="4">
        <v>22291.4517171687</v>
      </c>
      <c r="AA6" s="4">
        <v>107146863531510</v>
      </c>
      <c r="AB6" s="4">
        <v>4806634619</v>
      </c>
      <c r="AC6" s="4">
        <v>3</v>
      </c>
      <c r="AD6" s="4">
        <v>120</v>
      </c>
      <c r="AG6" s="4">
        <v>35715621177170</v>
      </c>
    </row>
    <row r="7" spans="1:33" ht="15.75" customHeight="1">
      <c r="A7" s="28" t="s">
        <v>72</v>
      </c>
      <c r="B7" s="82">
        <f>SUM('Table1 &amp; Fig1'!C13:C14)*1000000000000000</f>
        <v>1151923098742324</v>
      </c>
      <c r="C7" s="89">
        <v>7.7140187458368699</v>
      </c>
      <c r="D7" s="84">
        <f>'Table S1'!D14</f>
        <v>1.4115435961363001E+20</v>
      </c>
      <c r="E7" s="85">
        <v>943383</v>
      </c>
      <c r="F7" s="86">
        <v>3.0000000000000001E-6</v>
      </c>
      <c r="G7" s="86">
        <v>900</v>
      </c>
      <c r="H7" s="77">
        <f t="shared" si="5"/>
        <v>8.1607334119568574E-6</v>
      </c>
      <c r="I7" s="77">
        <f t="shared" si="0"/>
        <v>1.057909460793192E-6</v>
      </c>
      <c r="J7" s="77">
        <f t="shared" si="1"/>
        <v>6.2952050519612476E-5</v>
      </c>
      <c r="K7" s="4">
        <f t="shared" si="4"/>
        <v>1221055603.8664296</v>
      </c>
      <c r="N7" s="4">
        <f t="shared" si="6"/>
        <v>-5.0882708090828164</v>
      </c>
      <c r="O7" s="4">
        <f t="shared" si="2"/>
        <v>15.061423486980738</v>
      </c>
      <c r="P7" s="77">
        <f t="shared" si="3"/>
        <v>14.13317509173436</v>
      </c>
      <c r="Q7" s="77">
        <f t="shared" si="7"/>
        <v>135886117955549.11</v>
      </c>
      <c r="W7" s="87" t="s">
        <v>42</v>
      </c>
      <c r="X7" s="4">
        <v>1E-3</v>
      </c>
      <c r="Y7" s="4">
        <v>10000</v>
      </c>
      <c r="Z7" s="4">
        <v>3.6599693267042602E-4</v>
      </c>
      <c r="AA7" s="4">
        <v>181984847615171</v>
      </c>
      <c r="AB7" s="4">
        <v>4.9723052673516602E+17</v>
      </c>
      <c r="AC7" s="4">
        <v>41642</v>
      </c>
      <c r="AG7" s="4">
        <v>4370223515.0850296</v>
      </c>
    </row>
    <row r="8" spans="1:33" ht="15.75" customHeight="1">
      <c r="A8" s="28" t="s">
        <v>38</v>
      </c>
      <c r="B8" s="82">
        <f>'Table1 &amp; Fig1'!C12*1000000000000000</f>
        <v>198506447237222</v>
      </c>
      <c r="C8" s="89">
        <v>10</v>
      </c>
      <c r="D8" s="84">
        <f>'Table S1'!D12</f>
        <v>7.71434503765552E+17</v>
      </c>
      <c r="E8" s="85">
        <v>13199</v>
      </c>
      <c r="F8" s="86">
        <v>1E-4</v>
      </c>
      <c r="G8" s="86">
        <v>100</v>
      </c>
      <c r="H8" s="77">
        <f t="shared" si="5"/>
        <v>2.5732119352746822E-4</v>
      </c>
      <c r="I8" s="77">
        <f t="shared" si="0"/>
        <v>2.5732119352746819E-5</v>
      </c>
      <c r="J8" s="77">
        <f t="shared" si="1"/>
        <v>2.5732119352746821E-3</v>
      </c>
      <c r="K8" s="4">
        <f t="shared" si="4"/>
        <v>15039506571.499508</v>
      </c>
      <c r="N8" s="4">
        <f t="shared" si="6"/>
        <v>-3.5895244428880564</v>
      </c>
      <c r="O8" s="4">
        <f t="shared" si="2"/>
        <v>14.297774616661242</v>
      </c>
      <c r="P8" s="77">
        <f t="shared" si="3"/>
        <v>13.519623366277598</v>
      </c>
      <c r="Q8" s="77">
        <f t="shared" si="7"/>
        <v>33084407872870.438</v>
      </c>
      <c r="W8" s="87" t="s">
        <v>38</v>
      </c>
      <c r="X8" s="4">
        <v>1E-4</v>
      </c>
      <c r="Y8" s="4">
        <v>100</v>
      </c>
      <c r="Z8" s="4">
        <v>2.57321193527468E-4</v>
      </c>
      <c r="AA8" s="4">
        <v>198506447237222</v>
      </c>
      <c r="AB8" s="4">
        <v>7.71434503765552E+17</v>
      </c>
      <c r="AC8" s="4">
        <v>13199</v>
      </c>
      <c r="AG8" s="4">
        <v>15039506571.4995</v>
      </c>
    </row>
    <row r="9" spans="1:33" ht="15.75" customHeight="1">
      <c r="A9" s="28" t="s">
        <v>42</v>
      </c>
      <c r="B9" s="82">
        <f>'Table1 &amp; Fig1'!C16*1000000000000000</f>
        <v>181984847615171</v>
      </c>
      <c r="C9" s="89">
        <v>10</v>
      </c>
      <c r="D9" s="84">
        <f>'Table S1'!D16</f>
        <v>4.9723052673516602E+17</v>
      </c>
      <c r="E9" s="85">
        <v>41642</v>
      </c>
      <c r="F9" s="86">
        <v>1E-3</v>
      </c>
      <c r="G9" s="86">
        <v>10000</v>
      </c>
      <c r="H9" s="77">
        <f t="shared" si="5"/>
        <v>3.6599693267042597E-4</v>
      </c>
      <c r="I9" s="77">
        <f t="shared" si="0"/>
        <v>3.6599693267042602E-5</v>
      </c>
      <c r="J9" s="77">
        <f t="shared" si="1"/>
        <v>3.6599693267042599E-3</v>
      </c>
      <c r="K9" s="4">
        <f t="shared" si="4"/>
        <v>4370223515.0850344</v>
      </c>
      <c r="N9" s="4">
        <f t="shared" si="6"/>
        <v>-3.4365225543047431</v>
      </c>
      <c r="O9" s="4">
        <f t="shared" si="2"/>
        <v>14.260035229352836</v>
      </c>
      <c r="P9" s="77">
        <f t="shared" si="3"/>
        <v>13.414937189338579</v>
      </c>
      <c r="Q9" s="77">
        <f t="shared" si="7"/>
        <v>25997835373595.914</v>
      </c>
      <c r="W9" s="87" t="s">
        <v>44</v>
      </c>
      <c r="X9" s="4">
        <v>0.01</v>
      </c>
      <c r="Y9" s="4">
        <v>1000000</v>
      </c>
      <c r="Z9" s="4">
        <v>0.59838518279953701</v>
      </c>
      <c r="AA9" s="77">
        <v>667610883535102</v>
      </c>
      <c r="AB9" s="4">
        <v>1115687524901090</v>
      </c>
      <c r="AC9" s="4">
        <v>18223</v>
      </c>
      <c r="AD9" s="4">
        <v>120</v>
      </c>
      <c r="AG9" s="4">
        <v>36635618917.582298</v>
      </c>
    </row>
    <row r="10" spans="1:33" ht="15.75" customHeight="1">
      <c r="A10" s="28" t="s">
        <v>41</v>
      </c>
      <c r="B10" s="82">
        <f>'Table1 &amp; Fig1'!C15*1000000000000000</f>
        <v>89616830003403.5</v>
      </c>
      <c r="C10" s="89">
        <v>10</v>
      </c>
      <c r="D10" s="84">
        <f>'Table S1'!D15</f>
        <v>1.96566735744801E+16</v>
      </c>
      <c r="E10" s="85">
        <v>11490</v>
      </c>
      <c r="F10" s="86">
        <v>2E-3</v>
      </c>
      <c r="G10" s="86">
        <v>20</v>
      </c>
      <c r="H10" s="77">
        <f t="shared" si="5"/>
        <v>4.559104553669314E-3</v>
      </c>
      <c r="I10" s="77">
        <f t="shared" si="0"/>
        <v>4.5591045536693141E-4</v>
      </c>
      <c r="J10" s="77">
        <f t="shared" si="1"/>
        <v>4.5591045536693145E-2</v>
      </c>
      <c r="K10" s="4">
        <f t="shared" si="4"/>
        <v>7799550043.812315</v>
      </c>
      <c r="N10" s="4">
        <f t="shared" si="6"/>
        <v>-2.3411204480347161</v>
      </c>
      <c r="O10" s="4">
        <f t="shared" si="2"/>
        <v>13.952389577644663</v>
      </c>
      <c r="P10" s="77">
        <f t="shared" si="3"/>
        <v>13.3503295863167</v>
      </c>
      <c r="Q10" s="77">
        <f t="shared" si="7"/>
        <v>22404207500850.93</v>
      </c>
      <c r="W10" s="87" t="s">
        <v>48</v>
      </c>
      <c r="X10" s="4">
        <v>3</v>
      </c>
      <c r="Y10" s="4">
        <v>100000000</v>
      </c>
      <c r="Z10" s="4">
        <v>6454.8660478831798</v>
      </c>
      <c r="AA10" s="4">
        <v>700000000000000</v>
      </c>
      <c r="AB10" s="4">
        <v>130000000000</v>
      </c>
      <c r="AC10" s="4">
        <v>49693</v>
      </c>
      <c r="AD10" s="4">
        <v>120</v>
      </c>
      <c r="AG10" s="4">
        <v>14086491055.078199</v>
      </c>
    </row>
    <row r="11" spans="1:33" ht="15.75" customHeight="1">
      <c r="A11" s="28" t="s">
        <v>44</v>
      </c>
      <c r="B11" s="82">
        <f>'Table1 &amp; Fig1'!C18*1000000000000000</f>
        <v>667610883535102</v>
      </c>
      <c r="C11" s="89">
        <f>'Table1 &amp; Fig1'!E18</f>
        <v>8.2532992370814799</v>
      </c>
      <c r="D11" s="84">
        <f>'Table S1'!D18</f>
        <v>1115687524901090</v>
      </c>
      <c r="E11" s="85">
        <v>18223</v>
      </c>
      <c r="F11" s="86">
        <v>0.01</v>
      </c>
      <c r="G11" s="86">
        <v>1000000</v>
      </c>
      <c r="H11" s="77">
        <f t="shared" si="5"/>
        <v>0.59838518279953723</v>
      </c>
      <c r="I11" s="77">
        <f t="shared" si="0"/>
        <v>7.2502542996506852E-2</v>
      </c>
      <c r="J11" s="77">
        <f t="shared" si="1"/>
        <v>4.9386519726802822</v>
      </c>
      <c r="K11" s="4">
        <f t="shared" si="4"/>
        <v>36635618917.582283</v>
      </c>
      <c r="N11" s="4">
        <f t="shared" si="6"/>
        <v>-0.22301916900066324</v>
      </c>
      <c r="O11" s="4">
        <f t="shared" si="2"/>
        <v>14.824523408026248</v>
      </c>
      <c r="P11" s="77">
        <f t="shared" si="3"/>
        <v>13.921433421034305</v>
      </c>
      <c r="Q11" s="77">
        <f t="shared" si="7"/>
        <v>83451360441888.094</v>
      </c>
      <c r="W11" s="87" t="s">
        <v>72</v>
      </c>
      <c r="X11" s="4">
        <v>9.9999999999999995E-8</v>
      </c>
      <c r="Y11" s="4">
        <v>900</v>
      </c>
      <c r="Z11" s="4">
        <v>8.1607334119568608E-6</v>
      </c>
      <c r="AA11" s="4">
        <v>1151923098742320</v>
      </c>
      <c r="AB11" s="4">
        <v>1.4115435961363001E+20</v>
      </c>
      <c r="AC11" s="4">
        <v>943383</v>
      </c>
      <c r="AD11" s="4">
        <v>50</v>
      </c>
      <c r="AG11" s="4">
        <v>1221055603.86643</v>
      </c>
    </row>
    <row r="12" spans="1:33" ht="15.75" customHeight="1">
      <c r="A12" s="28" t="s">
        <v>43</v>
      </c>
      <c r="B12" s="82">
        <f>'Table1 &amp; Fig1'!C17*1000000000000000</f>
        <v>19611658468163.098</v>
      </c>
      <c r="C12" s="89">
        <v>10</v>
      </c>
      <c r="D12" s="84">
        <f>'Table S1'!D17</f>
        <v>3.92233169363261E+20</v>
      </c>
      <c r="E12" s="85">
        <v>9984</v>
      </c>
      <c r="F12" s="77">
        <f>H12</f>
        <v>5.0000000000000123E-8</v>
      </c>
      <c r="G12" s="86">
        <v>100</v>
      </c>
      <c r="H12" s="77">
        <f t="shared" si="5"/>
        <v>5.0000000000000123E-8</v>
      </c>
      <c r="I12" s="77">
        <f t="shared" si="0"/>
        <v>5.0000000000000125E-9</v>
      </c>
      <c r="J12" s="77">
        <f t="shared" si="1"/>
        <v>5.0000000000000125E-7</v>
      </c>
      <c r="K12" s="4">
        <f t="shared" si="4"/>
        <v>1964308740.8015924</v>
      </c>
      <c r="N12" s="4">
        <f t="shared" si="6"/>
        <v>-7.3010299956639804</v>
      </c>
      <c r="O12" s="4">
        <f t="shared" si="2"/>
        <v>13.292514321516641</v>
      </c>
      <c r="P12" s="77">
        <f t="shared" si="3"/>
        <v>12.323983276547205</v>
      </c>
      <c r="Q12" s="77">
        <f t="shared" si="7"/>
        <v>2108546954187.4221</v>
      </c>
      <c r="W12" s="87" t="s">
        <v>49</v>
      </c>
      <c r="X12" s="4">
        <v>7.6174518753425694E-12</v>
      </c>
      <c r="Y12" s="4">
        <v>2.0000000000000001E-4</v>
      </c>
      <c r="Z12" s="4">
        <v>7.6174518753425694E-12</v>
      </c>
      <c r="AA12" s="4">
        <v>3673200127349650</v>
      </c>
      <c r="AB12" s="4">
        <v>4.8220851112163502E+26</v>
      </c>
      <c r="AC12" s="4">
        <v>100000</v>
      </c>
      <c r="AG12" s="4">
        <v>36732001273.496498</v>
      </c>
    </row>
    <row r="13" spans="1:33" ht="15.75" customHeight="1">
      <c r="A13" s="28" t="s">
        <v>46</v>
      </c>
      <c r="B13" s="82">
        <f>'Table1 &amp; Fig1'!C20*1000000000000000</f>
        <v>55372566150000</v>
      </c>
      <c r="C13" s="83">
        <v>1.1000000000000001</v>
      </c>
      <c r="D13" s="84">
        <f>'Table S1'!D20</f>
        <v>7383008820</v>
      </c>
      <c r="E13" s="90">
        <v>1</v>
      </c>
      <c r="F13" s="77">
        <f>B13/(D13*C13)</f>
        <v>6818.1818181818171</v>
      </c>
      <c r="G13" s="86">
        <v>10000</v>
      </c>
      <c r="H13" s="77">
        <f>$B13/$D13</f>
        <v>7500</v>
      </c>
      <c r="I13" s="77">
        <f t="shared" si="0"/>
        <v>6818.1818181818171</v>
      </c>
      <c r="J13" s="77">
        <f t="shared" si="1"/>
        <v>8250.0000000000018</v>
      </c>
      <c r="K13" s="4">
        <f t="shared" si="4"/>
        <v>55372566150000</v>
      </c>
      <c r="N13" s="4">
        <f t="shared" si="6"/>
        <v>3.8750612633917001</v>
      </c>
      <c r="O13" s="4">
        <f t="shared" si="2"/>
        <v>13.74329465063782</v>
      </c>
      <c r="P13" s="77">
        <f t="shared" si="3"/>
        <v>14.522320350842431</v>
      </c>
      <c r="Q13" s="77">
        <f t="shared" si="7"/>
        <v>332905025171522.75</v>
      </c>
      <c r="W13" s="87" t="s">
        <v>34</v>
      </c>
      <c r="X13" s="4">
        <v>4E-14</v>
      </c>
      <c r="Y13" s="4">
        <v>3.9999999999999998E-11</v>
      </c>
      <c r="Z13" s="4">
        <v>2.44246528778713E-14</v>
      </c>
      <c r="AA13" s="4">
        <v>7403225209772600</v>
      </c>
      <c r="AB13" s="4">
        <v>3.03104623299679E+29</v>
      </c>
      <c r="AC13" s="4">
        <v>502</v>
      </c>
      <c r="AD13" s="4">
        <v>1</v>
      </c>
      <c r="AG13" s="4">
        <v>14747460577236.301</v>
      </c>
    </row>
    <row r="14" spans="1:33" ht="15.75" customHeight="1">
      <c r="A14" s="28" t="s">
        <v>45</v>
      </c>
      <c r="B14" s="82">
        <f>'Table1 &amp; Fig1'!C19*1000000000000000</f>
        <v>107146863531510</v>
      </c>
      <c r="C14" s="83">
        <v>1.1000000000000001</v>
      </c>
      <c r="D14" s="84">
        <f>'Table S1'!D19</f>
        <v>4806634619</v>
      </c>
      <c r="E14" s="90">
        <v>3</v>
      </c>
      <c r="F14" s="86">
        <v>10000</v>
      </c>
      <c r="G14" s="86">
        <v>100000</v>
      </c>
      <c r="H14" s="77">
        <f>B14/D14</f>
        <v>22291.451717168686</v>
      </c>
      <c r="I14" s="77">
        <f t="shared" si="0"/>
        <v>20264.956106516984</v>
      </c>
      <c r="J14" s="77">
        <f t="shared" si="1"/>
        <v>24520.596888885557</v>
      </c>
      <c r="K14" s="4">
        <f t="shared" si="4"/>
        <v>35715621177170</v>
      </c>
      <c r="L14" s="86"/>
      <c r="N14" s="4">
        <f t="shared" si="6"/>
        <v>4.3481383525639359</v>
      </c>
      <c r="O14" s="4">
        <f t="shared" si="2"/>
        <v>14.029979462630349</v>
      </c>
      <c r="P14" s="77">
        <f t="shared" si="3"/>
        <v>14.029979462630349</v>
      </c>
      <c r="Q14" s="77">
        <f t="shared" si="7"/>
        <v>107146863531510.5</v>
      </c>
      <c r="W14" s="87" t="s">
        <v>35</v>
      </c>
      <c r="X14" s="4">
        <v>1.5E-11</v>
      </c>
      <c r="Y14" s="4">
        <v>5000</v>
      </c>
      <c r="Z14" s="4">
        <v>1.5E-11</v>
      </c>
      <c r="AA14" s="4">
        <v>1.21268249412981E+16</v>
      </c>
      <c r="AB14" s="4">
        <v>8.0845499608654103E+26</v>
      </c>
      <c r="AC14" s="4">
        <v>1000000</v>
      </c>
      <c r="AD14" s="4">
        <v>7</v>
      </c>
      <c r="AG14" s="4">
        <v>12126824941.2981</v>
      </c>
    </row>
    <row r="15" spans="1:33" ht="15.75" customHeight="1">
      <c r="A15" s="28" t="s">
        <v>49</v>
      </c>
      <c r="B15" s="82">
        <f>'Table1 &amp; Fig1'!F23*1000000000000000</f>
        <v>3673200127349649.5</v>
      </c>
      <c r="C15" s="89">
        <f>'Table1 &amp; Fig1'!H23</f>
        <v>4.4764443052644696</v>
      </c>
      <c r="D15" s="84">
        <f>'Table S1'!F23</f>
        <v>4.8220851112163502E+26</v>
      </c>
      <c r="E15" s="85">
        <v>100000</v>
      </c>
      <c r="F15" s="93">
        <f>H15</f>
        <v>7.6174518753425742E-12</v>
      </c>
      <c r="G15" s="86">
        <v>2.0000000000000001E-4</v>
      </c>
      <c r="H15" s="77">
        <f>$B15/$D15</f>
        <v>7.6174518753425742E-12</v>
      </c>
      <c r="I15" s="77">
        <f t="shared" si="0"/>
        <v>1.7016746676338987E-12</v>
      </c>
      <c r="J15" s="77">
        <f t="shared" si="1"/>
        <v>3.4099099068003423E-11</v>
      </c>
      <c r="K15" s="4">
        <f t="shared" si="4"/>
        <v>36732001273.496498</v>
      </c>
      <c r="N15" s="4">
        <f t="shared" si="6"/>
        <v>-11.118190280832126</v>
      </c>
      <c r="O15" s="4">
        <f t="shared" si="2"/>
        <v>15.565044590701925</v>
      </c>
      <c r="P15" s="77">
        <f t="shared" si="3"/>
        <v>14.69468632523539</v>
      </c>
      <c r="Q15" s="77">
        <f t="shared" si="7"/>
        <v>495092474742429.44</v>
      </c>
      <c r="W15" s="87" t="s">
        <v>29</v>
      </c>
      <c r="X15" s="4">
        <v>4E-14</v>
      </c>
      <c r="Y15" s="4">
        <v>3.9999999999999998E-11</v>
      </c>
      <c r="Z15" s="4">
        <v>2.57165485674385E-14</v>
      </c>
      <c r="AA15" s="4">
        <v>7.3396742359630704E+16</v>
      </c>
      <c r="AB15" s="4">
        <v>2.8540666010120602E+30</v>
      </c>
      <c r="AC15" s="4">
        <v>10358</v>
      </c>
      <c r="AD15" s="4">
        <v>1</v>
      </c>
      <c r="AG15" s="4">
        <v>7085995593708.3096</v>
      </c>
    </row>
    <row r="16" spans="1:33" ht="15.75" customHeight="1">
      <c r="A16" s="28" t="s">
        <v>47</v>
      </c>
      <c r="B16" s="82">
        <f>'Table1 &amp; Fig1'!C21*1000000000000000</f>
        <v>1658019167872.27</v>
      </c>
      <c r="C16" s="89">
        <v>10</v>
      </c>
      <c r="D16" s="84">
        <f>'Table S1'!D21</f>
        <v>300000000000</v>
      </c>
      <c r="E16" s="94">
        <v>18043</v>
      </c>
      <c r="F16" s="81">
        <v>3</v>
      </c>
      <c r="G16" s="86">
        <v>100000</v>
      </c>
      <c r="H16" s="77">
        <f>B16/D16</f>
        <v>5.5267305595742338</v>
      </c>
      <c r="I16" s="77">
        <f t="shared" si="0"/>
        <v>0.55267305595742333</v>
      </c>
      <c r="J16" s="77">
        <f t="shared" si="1"/>
        <v>55.267305595742329</v>
      </c>
      <c r="K16" s="4">
        <f t="shared" si="4"/>
        <v>91892654.651237041</v>
      </c>
      <c r="N16" s="4">
        <f t="shared" si="6"/>
        <v>0.74246829227447053</v>
      </c>
      <c r="O16" s="4">
        <f t="shared" si="2"/>
        <v>12.219589546994133</v>
      </c>
      <c r="P16" s="77">
        <f t="shared" si="3"/>
        <v>11.564174602175814</v>
      </c>
      <c r="Q16" s="77">
        <f t="shared" si="7"/>
        <v>366584925497.37903</v>
      </c>
      <c r="W16" s="87" t="s">
        <v>51</v>
      </c>
      <c r="X16" s="4">
        <v>200</v>
      </c>
      <c r="Y16" s="4">
        <v>3000000</v>
      </c>
      <c r="Z16" s="4">
        <v>150000</v>
      </c>
      <c r="AA16" s="4">
        <v>1.5E+17</v>
      </c>
      <c r="AB16" s="4">
        <v>3000000000000</v>
      </c>
      <c r="AC16" s="4">
        <v>400000</v>
      </c>
      <c r="AD16" s="4">
        <v>30</v>
      </c>
      <c r="AG16" s="4">
        <v>375000000000</v>
      </c>
    </row>
    <row r="17" spans="1:17" ht="15.75" customHeight="1">
      <c r="A17" s="28" t="s">
        <v>110</v>
      </c>
      <c r="B17" s="95">
        <f>SUM('Table1 &amp; Fig1'!C18:C22)*1000000000000000</f>
        <v>839132586224813.62</v>
      </c>
      <c r="C17" s="96">
        <v>9.16476002275488</v>
      </c>
      <c r="D17" s="97">
        <v>130000000000</v>
      </c>
      <c r="E17" s="98">
        <v>49693</v>
      </c>
      <c r="F17" s="81">
        <v>3</v>
      </c>
      <c r="G17" s="86">
        <v>100000000</v>
      </c>
      <c r="H17" s="77">
        <f>B17/D17</f>
        <v>6454.8660478831816</v>
      </c>
      <c r="I17" s="77">
        <f t="shared" si="0"/>
        <v>704.31370072501716</v>
      </c>
      <c r="J17" s="77">
        <f t="shared" si="1"/>
        <v>59157.298307877572</v>
      </c>
      <c r="K17" s="4">
        <f t="shared" si="4"/>
        <v>16886333814.114939</v>
      </c>
      <c r="N17" s="4">
        <f t="shared" si="6"/>
        <v>3.8098872341673045</v>
      </c>
      <c r="O17" s="4">
        <f t="shared" si="2"/>
        <v>14.923830586474141</v>
      </c>
      <c r="P17" s="77">
        <f t="shared" si="3"/>
        <v>14.047446524612424</v>
      </c>
      <c r="Q17" s="77">
        <f t="shared" si="7"/>
        <v>111544079685089.34</v>
      </c>
    </row>
  </sheetData>
  <pageMargins left="0.74791666666666701" right="0.74791666666666701" top="0.98402777777777795" bottom="0.98402777777777795" header="0.51180555555555496" footer="0.51180555555555496"/>
  <pageSetup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50"/>
  <sheetViews>
    <sheetView zoomScale="90" zoomScaleNormal="90" workbookViewId="0">
      <selection activeCell="I11" sqref="I11"/>
    </sheetView>
  </sheetViews>
  <sheetFormatPr baseColWidth="10" defaultColWidth="8.83203125" defaultRowHeight="13"/>
  <cols>
    <col min="1" max="1" width="25.1640625" style="115" customWidth="1"/>
    <col min="2" max="2" width="10.1640625" style="4" customWidth="1"/>
    <col min="3" max="3" width="10.6640625" style="4" customWidth="1"/>
    <col min="4" max="4" width="10.33203125" style="4" customWidth="1"/>
    <col min="5" max="1025" width="7.6640625" style="4" customWidth="1"/>
  </cols>
  <sheetData>
    <row r="1" spans="1:7" s="8" customFormat="1" ht="28.5" customHeight="1">
      <c r="A1" s="116"/>
      <c r="B1" s="7" t="s">
        <v>115</v>
      </c>
      <c r="C1" s="7" t="s">
        <v>116</v>
      </c>
      <c r="D1" s="7" t="s">
        <v>70</v>
      </c>
    </row>
    <row r="2" spans="1:7" ht="15.75" customHeight="1">
      <c r="A2" s="9" t="s">
        <v>117</v>
      </c>
      <c r="B2" s="66">
        <f>'Table1 &amp; Fig1'!F27</f>
        <v>549.30098377892944</v>
      </c>
      <c r="C2" s="21">
        <v>550</v>
      </c>
      <c r="D2" s="45"/>
    </row>
    <row r="3" spans="1:7" ht="15.75" customHeight="1">
      <c r="A3" s="9" t="s">
        <v>118</v>
      </c>
      <c r="B3" s="50">
        <f>'Table1 &amp; Fig1'!C26</f>
        <v>450</v>
      </c>
      <c r="C3" s="21">
        <v>450</v>
      </c>
      <c r="D3" s="45"/>
    </row>
    <row r="4" spans="1:7" ht="14.25" customHeight="1">
      <c r="A4" s="9" t="s">
        <v>119</v>
      </c>
      <c r="B4" s="63">
        <f>'Table1 &amp; Fig1'!F11</f>
        <v>0</v>
      </c>
      <c r="C4" s="21">
        <v>2</v>
      </c>
      <c r="D4" s="45"/>
    </row>
    <row r="5" spans="1:7" ht="14.25" customHeight="1">
      <c r="A5" s="9" t="s">
        <v>120</v>
      </c>
      <c r="B5" s="44">
        <f>'Table1 &amp; Fig1'!F2</f>
        <v>73.396742359630693</v>
      </c>
      <c r="C5" s="21">
        <v>70</v>
      </c>
      <c r="D5" s="45"/>
    </row>
    <row r="6" spans="1:7" ht="14.25" customHeight="1">
      <c r="A6" s="9" t="s">
        <v>121</v>
      </c>
      <c r="B6" s="44">
        <f>'Table1 &amp; Fig1'!F6</f>
        <v>7.4032252097726001</v>
      </c>
      <c r="C6" s="21">
        <v>7</v>
      </c>
      <c r="D6" s="117"/>
    </row>
    <row r="7" spans="1:7" ht="28.25" customHeight="1">
      <c r="A7" s="9" t="s">
        <v>122</v>
      </c>
      <c r="B7" s="44">
        <f>Fig2A!C26</f>
        <v>5.9492329982793022</v>
      </c>
      <c r="C7" s="21">
        <v>6</v>
      </c>
      <c r="D7" s="117"/>
    </row>
    <row r="8" spans="1:7" ht="28.5" customHeight="1">
      <c r="A8" s="9" t="s">
        <v>123</v>
      </c>
      <c r="B8" s="63">
        <f>'Table1 &amp; Fig1'!C26/'Table1 &amp; Fig1'!F27</f>
        <v>0.81922300030160899</v>
      </c>
      <c r="C8" s="21">
        <v>0.8</v>
      </c>
      <c r="D8" s="45"/>
    </row>
    <row r="9" spans="1:7" ht="28.5" customHeight="1">
      <c r="A9" s="9" t="s">
        <v>124</v>
      </c>
      <c r="B9" s="65">
        <f>'Table1 &amp; Fig1'!G2/'Table1 &amp; Fig1'!F27</f>
        <v>0.12743468893580584</v>
      </c>
      <c r="C9" s="21">
        <v>0.15</v>
      </c>
      <c r="D9" s="45"/>
    </row>
    <row r="10" spans="1:7" ht="42" customHeight="1">
      <c r="A10" s="9" t="s">
        <v>125</v>
      </c>
      <c r="B10" s="63">
        <v>0.90056000000000003</v>
      </c>
      <c r="C10" s="21">
        <v>0.9</v>
      </c>
      <c r="D10" s="45"/>
    </row>
    <row r="11" spans="1:7" ht="15" customHeight="1">
      <c r="A11" s="9" t="s">
        <v>126</v>
      </c>
      <c r="B11" s="44">
        <f>'Table1 &amp; Fig1'!C26-B14</f>
        <v>316.207142504861</v>
      </c>
      <c r="C11" s="21">
        <v>320</v>
      </c>
      <c r="D11" s="45"/>
    </row>
    <row r="12" spans="1:7" ht="28.5" customHeight="1">
      <c r="A12" s="9" t="s">
        <v>127</v>
      </c>
      <c r="B12" s="63">
        <f>B11/SUM(B13+B11)</f>
        <v>0.58260474044376598</v>
      </c>
      <c r="C12" s="21">
        <v>0.6</v>
      </c>
      <c r="D12" s="45"/>
    </row>
    <row r="13" spans="1:7" ht="15" customHeight="1">
      <c r="A13" s="9" t="s">
        <v>128</v>
      </c>
      <c r="B13" s="44">
        <f>B14+'Table1 &amp; Fig1'!C2+'Table1 &amp; Fig1'!C4+'Table1 &amp; Fig1'!C5+'Table1 &amp; Fig1'!C6+'Table1 &amp; Fig1'!C8+'Table1 &amp; Fig1'!C9+'Table1 &amp; Fig1'!C10+'Table1 &amp; Fig1'!C12+'Table1 &amp; Fig1'!C24</f>
        <v>226.54014489964626</v>
      </c>
      <c r="C13" s="21">
        <v>230</v>
      </c>
      <c r="D13" s="45"/>
    </row>
    <row r="14" spans="1:7" ht="15" customHeight="1">
      <c r="A14" s="9" t="s">
        <v>129</v>
      </c>
      <c r="B14" s="66">
        <v>133.792857495139</v>
      </c>
      <c r="C14" s="21">
        <v>130</v>
      </c>
      <c r="D14" s="45"/>
      <c r="G14" s="118"/>
    </row>
    <row r="15" spans="1:7" ht="27" customHeight="1">
      <c r="A15" s="9" t="s">
        <v>130</v>
      </c>
      <c r="B15" s="44">
        <f>B13-B14</f>
        <v>92.747287404507261</v>
      </c>
      <c r="C15" s="21">
        <v>100</v>
      </c>
      <c r="D15" s="45"/>
    </row>
    <row r="16" spans="1:7" ht="27" customHeight="1">
      <c r="A16" s="9" t="s">
        <v>131</v>
      </c>
      <c r="B16" s="63">
        <f>(B3-B18)/B3</f>
        <v>0.66201396698856896</v>
      </c>
      <c r="C16" s="21">
        <v>0.7</v>
      </c>
      <c r="D16" s="45"/>
    </row>
    <row r="17" spans="1:4" ht="39.75" customHeight="1">
      <c r="A17" s="9" t="s">
        <v>132</v>
      </c>
      <c r="B17" s="63">
        <f>Fig2B!E16/SUM(Fig2B!C16:E16)</f>
        <v>0.88174908476465397</v>
      </c>
      <c r="C17" s="21">
        <v>0.9</v>
      </c>
      <c r="D17" s="45"/>
    </row>
    <row r="18" spans="1:4" ht="14.25" customHeight="1">
      <c r="A18" s="9" t="s">
        <v>133</v>
      </c>
      <c r="B18" s="66">
        <f>FigS1!D22</f>
        <v>152.09371485514399</v>
      </c>
      <c r="C18" s="21">
        <v>150</v>
      </c>
      <c r="D18" s="45"/>
    </row>
    <row r="19" spans="1:4" ht="27" customHeight="1">
      <c r="A19" s="9" t="s">
        <v>134</v>
      </c>
      <c r="B19" s="44">
        <f>FigS1!D2</f>
        <v>8.6792319593192211</v>
      </c>
      <c r="C19" s="21">
        <v>9</v>
      </c>
      <c r="D19" s="45"/>
    </row>
    <row r="20" spans="1:4" ht="15" customHeight="1">
      <c r="A20" s="9" t="s">
        <v>135</v>
      </c>
      <c r="B20" s="66">
        <f>FigS1!D6</f>
        <v>12.126824941298127</v>
      </c>
      <c r="C20" s="21">
        <v>12</v>
      </c>
      <c r="D20" s="45"/>
    </row>
    <row r="21" spans="1:4" ht="14.25" customHeight="1">
      <c r="A21" s="9" t="s">
        <v>136</v>
      </c>
      <c r="B21" s="65">
        <f>379*0.15/1000</f>
        <v>5.6850000000000005E-2</v>
      </c>
      <c r="C21" s="21">
        <v>0.05</v>
      </c>
      <c r="D21" s="45"/>
    </row>
    <row r="22" spans="1:4" ht="15" customHeight="1">
      <c r="A22" s="9" t="s">
        <v>137</v>
      </c>
      <c r="B22" s="119">
        <f>'Table1 &amp; Fig1'!C20</f>
        <v>5.5372566149999997E-2</v>
      </c>
      <c r="C22" s="21">
        <v>0.06</v>
      </c>
      <c r="D22" s="45"/>
    </row>
    <row r="23" spans="1:4" ht="15" customHeight="1">
      <c r="A23" s="9" t="s">
        <v>138</v>
      </c>
      <c r="B23" s="40">
        <f>'Table1 &amp; Fig1'!C19</f>
        <v>0.10714686353151</v>
      </c>
      <c r="C23" s="21">
        <v>0.1</v>
      </c>
      <c r="D23" s="45"/>
    </row>
    <row r="24" spans="1:4" ht="14.25" customHeight="1">
      <c r="A24" s="9" t="s">
        <v>139</v>
      </c>
      <c r="B24" s="64">
        <f>'Table1 &amp; Fig1'!C22</f>
        <v>7.34425384032944E-3</v>
      </c>
      <c r="C24" s="21">
        <v>7.0000000000000001E-3</v>
      </c>
      <c r="D24" s="45"/>
    </row>
    <row r="25" spans="1:4" ht="15" customHeight="1">
      <c r="A25" s="9" t="s">
        <v>140</v>
      </c>
      <c r="B25" s="64">
        <v>4.6082046900000001E-3</v>
      </c>
      <c r="C25" s="21">
        <v>5.0000000000000001E-3</v>
      </c>
      <c r="D25" s="45"/>
    </row>
    <row r="26" spans="1:4" ht="15.75" customHeight="1">
      <c r="A26" s="9" t="s">
        <v>141</v>
      </c>
      <c r="B26" s="64">
        <f>'Table1 &amp; Fig1'!C21</f>
        <v>1.6580191678722701E-3</v>
      </c>
      <c r="C26" s="21">
        <v>2E-3</v>
      </c>
      <c r="D26" s="45"/>
    </row>
    <row r="27" spans="1:4" ht="27" customHeight="1">
      <c r="A27" s="9" t="s">
        <v>142</v>
      </c>
      <c r="B27" s="63">
        <f>B25/B26</f>
        <v>2.7793434354041229</v>
      </c>
      <c r="C27" s="21">
        <v>3</v>
      </c>
      <c r="D27" s="45"/>
    </row>
    <row r="28" spans="1:4" ht="15" customHeight="1">
      <c r="A28" s="9" t="s">
        <v>143</v>
      </c>
      <c r="B28" s="63">
        <f>'Table1 &amp; Fig1'!F12</f>
        <v>2.4807754682911001</v>
      </c>
      <c r="C28" s="21">
        <f>'Table1 &amp; Fig1'!G12</f>
        <v>2</v>
      </c>
      <c r="D28" s="45"/>
    </row>
    <row r="29" spans="1:4" ht="15" customHeight="1">
      <c r="A29" s="9" t="s">
        <v>144</v>
      </c>
      <c r="B29" s="40">
        <f>SUM('Table1 &amp; Fig1'!C13:C14)</f>
        <v>1.1519230987423239</v>
      </c>
      <c r="C29" s="21">
        <v>1</v>
      </c>
      <c r="D29" s="45"/>
    </row>
    <row r="30" spans="1:4" ht="15.75" customHeight="1">
      <c r="A30" s="9" t="s">
        <v>145</v>
      </c>
      <c r="B30" s="40">
        <f>'Table1 &amp; Fig1'!C18</f>
        <v>0.66761088353510201</v>
      </c>
      <c r="C30" s="50">
        <f>'Table1 &amp; Fig1'!D18</f>
        <v>0.7</v>
      </c>
      <c r="D30" s="45"/>
    </row>
    <row r="31" spans="1:4" ht="28.5" customHeight="1">
      <c r="A31" s="9" t="s">
        <v>146</v>
      </c>
      <c r="B31" s="65">
        <v>2.19326576168507E-2</v>
      </c>
      <c r="C31" s="21">
        <v>0.02</v>
      </c>
      <c r="D31" s="45" t="s">
        <v>147</v>
      </c>
    </row>
    <row r="32" spans="1:4" ht="28.5" customHeight="1">
      <c r="A32" s="9" t="s">
        <v>148</v>
      </c>
      <c r="B32" s="64">
        <f>Fig2A!C9</f>
        <v>2.89064584032944E-3</v>
      </c>
      <c r="C32" s="21">
        <v>3.0000000000000001E-3</v>
      </c>
      <c r="D32" s="45"/>
    </row>
    <row r="33" spans="1:4" ht="55.5" customHeight="1">
      <c r="A33" s="9" t="s">
        <v>149</v>
      </c>
      <c r="B33" s="63">
        <f>B31/B32</f>
        <v>7.5874592836150025</v>
      </c>
      <c r="C33" s="21">
        <v>7</v>
      </c>
      <c r="D33" s="45"/>
    </row>
    <row r="34" spans="1:4" ht="28.5" customHeight="1">
      <c r="A34" s="9" t="s">
        <v>150</v>
      </c>
      <c r="B34" s="65">
        <v>1.8927840000000001E-2</v>
      </c>
      <c r="C34" s="21">
        <v>0.02</v>
      </c>
      <c r="D34" s="45" t="s">
        <v>151</v>
      </c>
    </row>
    <row r="35" spans="1:4" ht="27" customHeight="1">
      <c r="A35" s="9" t="s">
        <v>152</v>
      </c>
      <c r="B35" s="48">
        <f>Fig2B!D8</f>
        <v>4.4536080000000004E-3</v>
      </c>
      <c r="C35" s="21">
        <v>4.0000000000000001E-3</v>
      </c>
      <c r="D35" s="45"/>
    </row>
    <row r="36" spans="1:4" ht="52.5" customHeight="1">
      <c r="A36" s="9" t="s">
        <v>153</v>
      </c>
      <c r="B36" s="63">
        <f>B34/B35</f>
        <v>4.2500013472222973</v>
      </c>
      <c r="C36" s="21">
        <v>5</v>
      </c>
      <c r="D36" s="45"/>
    </row>
    <row r="37" spans="1:4" ht="39.75" customHeight="1">
      <c r="A37" s="120" t="s">
        <v>154</v>
      </c>
      <c r="B37" s="63">
        <f>(B31+B34)/(B32+B35)</f>
        <v>5.5636009464261429</v>
      </c>
      <c r="C37" s="21">
        <v>6</v>
      </c>
      <c r="D37" s="45"/>
    </row>
    <row r="38" spans="1:4" ht="52.5" customHeight="1">
      <c r="A38" s="120" t="s">
        <v>155</v>
      </c>
      <c r="B38" s="63">
        <f>SUM(B22,B23,B32,B35)/SUM(B31,B34)</f>
        <v>4.1571614010835818</v>
      </c>
      <c r="C38" s="21">
        <v>4</v>
      </c>
      <c r="D38" s="45"/>
    </row>
    <row r="39" spans="1:4" ht="30">
      <c r="A39" s="9" t="s">
        <v>156</v>
      </c>
      <c r="B39" s="65">
        <f>B31+B34</f>
        <v>4.0860497616850705E-2</v>
      </c>
      <c r="C39" s="21">
        <v>0.04</v>
      </c>
      <c r="D39" s="45"/>
    </row>
    <row r="40" spans="1:4" ht="14.25" customHeight="1">
      <c r="A40" s="9" t="s">
        <v>157</v>
      </c>
      <c r="B40" s="65">
        <f>B35+B32+B22+B23</f>
        <v>0.16986368352183945</v>
      </c>
      <c r="C40" s="21">
        <v>0.17</v>
      </c>
      <c r="D40" s="45"/>
    </row>
    <row r="41" spans="1:4" ht="14.25" customHeight="1">
      <c r="A41" s="9" t="s">
        <v>158</v>
      </c>
      <c r="B41" s="63">
        <v>0.119230769230769</v>
      </c>
      <c r="C41" s="21">
        <v>0.1</v>
      </c>
      <c r="D41" s="45"/>
    </row>
    <row r="42" spans="1:4" ht="14.25" customHeight="1">
      <c r="A42" s="9" t="s">
        <v>159</v>
      </c>
      <c r="B42" s="63">
        <f>(916-B3+B2)/B2</f>
        <v>1.8483509292012217</v>
      </c>
      <c r="C42" s="21">
        <v>2</v>
      </c>
      <c r="D42" s="45" t="s">
        <v>160</v>
      </c>
    </row>
    <row r="43" spans="1:4" ht="14.25" customHeight="1">
      <c r="A43" s="9" t="s">
        <v>161</v>
      </c>
      <c r="B43" s="66">
        <v>10</v>
      </c>
      <c r="C43" s="21">
        <v>10</v>
      </c>
      <c r="D43" s="45" t="s">
        <v>162</v>
      </c>
    </row>
    <row r="44" spans="1:4" ht="15.75" customHeight="1">
      <c r="A44" s="9" t="s">
        <v>163</v>
      </c>
      <c r="B44" s="66">
        <f>Fig2A!C14</f>
        <v>471.85823835284907</v>
      </c>
      <c r="C44" s="21">
        <v>470</v>
      </c>
      <c r="D44" s="45"/>
    </row>
    <row r="45" spans="1:4" ht="14.25" customHeight="1">
      <c r="A45" s="9" t="s">
        <v>164</v>
      </c>
      <c r="B45" s="44">
        <f>Fig2A!C26</f>
        <v>5.9492329982793022</v>
      </c>
      <c r="C45" s="21">
        <v>6</v>
      </c>
      <c r="D45" s="45"/>
    </row>
    <row r="46" spans="1:4" ht="15.75" customHeight="1">
      <c r="A46" s="9" t="s">
        <v>165</v>
      </c>
      <c r="B46" s="44" t="e">
        <f>Fig2C!#REF!</f>
        <v>#REF!</v>
      </c>
      <c r="C46" s="21">
        <v>1</v>
      </c>
      <c r="D46" s="45"/>
    </row>
    <row r="47" spans="1:4" ht="15.75" customHeight="1">
      <c r="A47" s="9" t="s">
        <v>166</v>
      </c>
      <c r="B47" s="44" t="e">
        <f>Fig2C!#REF!</f>
        <v>#REF!</v>
      </c>
      <c r="C47" s="21">
        <v>5</v>
      </c>
      <c r="D47" s="45"/>
    </row>
    <row r="48" spans="1:4" ht="28.5" customHeight="1">
      <c r="A48" s="9" t="s">
        <v>167</v>
      </c>
      <c r="B48" s="63" t="e">
        <f>SUM(Fig2C!L21,Fig2C!L22,Fig2C!L23,Fig2C!L31,Fig2C!B24,Fig2C!B25,Fig2C!#REF!,Fig2C!B26,Fig2C!B27)/SUM(Fig2C!#REF!,Fig2C!#REF!)</f>
        <v>#REF!</v>
      </c>
      <c r="C48" s="21">
        <v>0.7</v>
      </c>
      <c r="D48" s="45"/>
    </row>
    <row r="49" spans="1:4" ht="39.75" customHeight="1">
      <c r="A49" s="9" t="s">
        <v>168</v>
      </c>
      <c r="B49" s="65">
        <f>Fig2A!C32/SUM(Fig2A!C32,Fig2A!C26,Fig2A!C14)</f>
        <v>0.12980475896291122</v>
      </c>
      <c r="C49" s="21">
        <v>0.15</v>
      </c>
      <c r="D49" s="45"/>
    </row>
    <row r="50" spans="1:4" ht="14.25" customHeight="1">
      <c r="A50" s="9" t="s">
        <v>169</v>
      </c>
      <c r="B50" s="121">
        <v>6.7014119999999996E-2</v>
      </c>
      <c r="C50" s="110">
        <v>0.05</v>
      </c>
      <c r="D50" s="51"/>
    </row>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97"/>
  <sheetViews>
    <sheetView zoomScaleNormal="100" workbookViewId="0">
      <pane xSplit="1" ySplit="1" topLeftCell="Q34" activePane="bottomRight" state="frozen"/>
      <selection activeCell="I11" sqref="I11"/>
      <selection pane="topRight" activeCell="I11" sqref="I11"/>
      <selection pane="bottomLeft" activeCell="I11" sqref="I11"/>
      <selection pane="bottomRight" activeCell="I11" sqref="I11"/>
    </sheetView>
  </sheetViews>
  <sheetFormatPr baseColWidth="10" defaultColWidth="8.83203125" defaultRowHeight="14"/>
  <cols>
    <col min="1" max="1" width="35" style="122" customWidth="1"/>
    <col min="2" max="2" width="15" style="122" customWidth="1"/>
    <col min="3" max="5" width="11.5" style="122"/>
    <col min="6" max="6" width="11.1640625" style="122" customWidth="1"/>
    <col min="7" max="7" width="13.6640625" style="122" customWidth="1"/>
    <col min="8" max="8" width="12.33203125" style="122" customWidth="1"/>
    <col min="9" max="9" width="11.5" style="122"/>
    <col min="10" max="11" width="11.5" style="122" hidden="1"/>
    <col min="12" max="12" width="14.1640625" style="122" hidden="1" customWidth="1"/>
    <col min="13" max="13" width="21.1640625" style="122" customWidth="1"/>
    <col min="14" max="14" width="23.1640625" style="122" customWidth="1"/>
    <col min="15" max="15" width="11.5" style="122"/>
    <col min="16" max="16" width="18" style="122" customWidth="1"/>
    <col min="17" max="17" width="19" style="122" customWidth="1"/>
    <col min="18" max="18" width="255.83203125" style="122" customWidth="1"/>
    <col min="19" max="1025" width="11.5" style="122"/>
  </cols>
  <sheetData>
    <row r="1" spans="1:18" ht="45">
      <c r="A1" s="123" t="s">
        <v>101</v>
      </c>
      <c r="B1" s="123" t="s">
        <v>170</v>
      </c>
      <c r="C1" s="124" t="s">
        <v>90</v>
      </c>
      <c r="D1" s="124" t="s">
        <v>91</v>
      </c>
      <c r="E1" s="125" t="s">
        <v>171</v>
      </c>
      <c r="F1" s="125" t="s">
        <v>172</v>
      </c>
      <c r="G1" s="126" t="s">
        <v>173</v>
      </c>
      <c r="H1" s="123" t="s">
        <v>102</v>
      </c>
      <c r="I1" s="123" t="s">
        <v>103</v>
      </c>
      <c r="J1" s="127" t="s">
        <v>104</v>
      </c>
      <c r="K1" s="123" t="s">
        <v>105</v>
      </c>
      <c r="L1" s="128" t="s">
        <v>106</v>
      </c>
      <c r="M1" s="128" t="s">
        <v>174</v>
      </c>
      <c r="N1" s="123" t="s">
        <v>175</v>
      </c>
      <c r="O1" s="123" t="s">
        <v>176</v>
      </c>
      <c r="P1" s="123" t="s">
        <v>177</v>
      </c>
      <c r="Q1" s="123" t="s">
        <v>178</v>
      </c>
      <c r="R1" s="123" t="s">
        <v>179</v>
      </c>
    </row>
    <row r="2" spans="1:18">
      <c r="A2" s="129" t="s">
        <v>51</v>
      </c>
      <c r="B2" s="129"/>
      <c r="C2" s="130">
        <v>200</v>
      </c>
      <c r="D2" s="130">
        <v>3000000</v>
      </c>
      <c r="E2" s="130">
        <v>150000</v>
      </c>
      <c r="F2" s="130"/>
      <c r="G2" s="131">
        <v>1.5E+17</v>
      </c>
      <c r="H2" s="131">
        <v>3000000000000</v>
      </c>
      <c r="I2" s="131">
        <v>400000</v>
      </c>
      <c r="J2" s="132">
        <v>30</v>
      </c>
      <c r="K2" s="131"/>
      <c r="L2" s="131"/>
      <c r="M2" s="131"/>
      <c r="N2" s="130">
        <f t="shared" ref="N2:N16" si="0">G2/I2</f>
        <v>375000000000</v>
      </c>
      <c r="O2" s="131"/>
      <c r="P2" s="131"/>
      <c r="Q2" s="131"/>
      <c r="R2" s="131"/>
    </row>
    <row r="3" spans="1:18">
      <c r="A3" s="129" t="s">
        <v>29</v>
      </c>
      <c r="B3" s="129"/>
      <c r="C3" s="130">
        <v>4E-14</v>
      </c>
      <c r="D3" s="130">
        <v>3.9999999999999998E-11</v>
      </c>
      <c r="E3" s="130">
        <v>2.57165485674385E-14</v>
      </c>
      <c r="F3" s="130"/>
      <c r="G3" s="131">
        <v>7.3396742359630704E+16</v>
      </c>
      <c r="H3" s="131">
        <v>2.8540666010120602E+30</v>
      </c>
      <c r="I3" s="133">
        <v>10358</v>
      </c>
      <c r="J3" s="132">
        <v>1</v>
      </c>
      <c r="K3" s="131"/>
      <c r="L3" s="131"/>
      <c r="M3" s="131"/>
      <c r="N3" s="130">
        <f t="shared" si="0"/>
        <v>7085995593708.3125</v>
      </c>
      <c r="O3" s="131"/>
      <c r="P3" s="131"/>
      <c r="Q3" s="131"/>
      <c r="R3" s="131"/>
    </row>
    <row r="4" spans="1:18">
      <c r="A4" s="129" t="s">
        <v>34</v>
      </c>
      <c r="B4" s="129"/>
      <c r="C4" s="130">
        <v>4E-14</v>
      </c>
      <c r="D4" s="130">
        <v>3.9999999999999998E-11</v>
      </c>
      <c r="E4" s="130">
        <v>2.44246528778713E-14</v>
      </c>
      <c r="F4" s="130"/>
      <c r="G4" s="131">
        <v>7403225209772600</v>
      </c>
      <c r="H4" s="131">
        <v>3.03104623299679E+29</v>
      </c>
      <c r="I4" s="133">
        <v>502</v>
      </c>
      <c r="J4" s="132">
        <v>1</v>
      </c>
      <c r="K4" s="131"/>
      <c r="L4" s="131"/>
      <c r="M4" s="131"/>
      <c r="N4" s="130">
        <f t="shared" si="0"/>
        <v>14747460577236.256</v>
      </c>
      <c r="O4" s="131"/>
      <c r="P4" s="131"/>
      <c r="Q4" s="131"/>
      <c r="R4" s="131"/>
    </row>
    <row r="5" spans="1:18">
      <c r="A5" s="129" t="s">
        <v>35</v>
      </c>
      <c r="B5" s="129"/>
      <c r="C5" s="130">
        <v>1.5E-11</v>
      </c>
      <c r="D5" s="130">
        <v>5000</v>
      </c>
      <c r="E5" s="130">
        <v>1.5E-11</v>
      </c>
      <c r="F5" s="130"/>
      <c r="G5" s="131">
        <v>1.21268249412981E+16</v>
      </c>
      <c r="H5" s="131">
        <v>8.0845499608654103E+26</v>
      </c>
      <c r="I5" s="134">
        <v>1000000</v>
      </c>
      <c r="J5" s="132">
        <v>7</v>
      </c>
      <c r="K5" s="131"/>
      <c r="L5" s="131"/>
      <c r="M5" s="131"/>
      <c r="N5" s="130">
        <f t="shared" si="0"/>
        <v>12126824941.2981</v>
      </c>
      <c r="O5" s="131"/>
      <c r="P5" s="131"/>
      <c r="Q5" s="131"/>
      <c r="R5" s="131"/>
    </row>
    <row r="6" spans="1:18">
      <c r="A6" s="129" t="s">
        <v>72</v>
      </c>
      <c r="B6" s="129"/>
      <c r="C6" s="130">
        <v>9.9999999999999995E-8</v>
      </c>
      <c r="D6" s="130">
        <v>900</v>
      </c>
      <c r="E6" s="130">
        <v>8.1607334119568608E-6</v>
      </c>
      <c r="F6" s="130"/>
      <c r="G6" s="131">
        <v>1151923098742320</v>
      </c>
      <c r="H6" s="131">
        <v>1.4115435961363001E+20</v>
      </c>
      <c r="I6" s="129">
        <v>943383</v>
      </c>
      <c r="J6" s="132">
        <v>50</v>
      </c>
      <c r="K6" s="131"/>
      <c r="L6" s="131"/>
      <c r="M6" s="131"/>
      <c r="N6" s="130">
        <f t="shared" si="0"/>
        <v>1221055603.8664255</v>
      </c>
      <c r="O6" s="131"/>
      <c r="P6" s="131"/>
      <c r="Q6" s="131"/>
      <c r="R6" s="131"/>
    </row>
    <row r="7" spans="1:18">
      <c r="A7" s="129" t="s">
        <v>38</v>
      </c>
      <c r="B7" s="129"/>
      <c r="C7" s="130">
        <v>1E-4</v>
      </c>
      <c r="D7" s="130">
        <v>100</v>
      </c>
      <c r="E7" s="130">
        <v>2.57321193527468E-4</v>
      </c>
      <c r="F7" s="130"/>
      <c r="G7" s="131">
        <v>198506447237222</v>
      </c>
      <c r="H7" s="131">
        <v>7.71434503765552E+17</v>
      </c>
      <c r="I7" s="129">
        <v>13199</v>
      </c>
      <c r="J7" s="132"/>
      <c r="K7" s="131"/>
      <c r="L7" s="131"/>
      <c r="M7" s="131"/>
      <c r="N7" s="130">
        <f t="shared" si="0"/>
        <v>15039506571.499508</v>
      </c>
      <c r="O7" s="131"/>
      <c r="P7" s="131"/>
      <c r="Q7" s="131"/>
      <c r="R7" s="131"/>
    </row>
    <row r="8" spans="1:18">
      <c r="A8" s="129" t="s">
        <v>42</v>
      </c>
      <c r="B8" s="129"/>
      <c r="C8" s="130">
        <v>1E-3</v>
      </c>
      <c r="D8" s="130">
        <v>10000</v>
      </c>
      <c r="E8" s="130">
        <v>3.6599693267042602E-4</v>
      </c>
      <c r="F8" s="130"/>
      <c r="G8" s="131">
        <v>181984847615171</v>
      </c>
      <c r="H8" s="131">
        <v>4.9723052673516602E+17</v>
      </c>
      <c r="I8" s="129">
        <v>41642</v>
      </c>
      <c r="J8" s="132"/>
      <c r="K8" s="131"/>
      <c r="L8" s="131"/>
      <c r="M8" s="131"/>
      <c r="N8" s="130">
        <f t="shared" si="0"/>
        <v>4370223515.0850344</v>
      </c>
      <c r="O8" s="131"/>
      <c r="P8" s="131"/>
      <c r="Q8" s="131"/>
      <c r="R8" s="131"/>
    </row>
    <row r="9" spans="1:18">
      <c r="A9" s="129" t="s">
        <v>41</v>
      </c>
      <c r="B9" s="129"/>
      <c r="C9" s="130">
        <v>2E-3</v>
      </c>
      <c r="D9" s="130">
        <v>20</v>
      </c>
      <c r="E9" s="130">
        <v>4.5591045536693096E-3</v>
      </c>
      <c r="F9" s="130"/>
      <c r="G9" s="131">
        <v>89616830003403.5</v>
      </c>
      <c r="H9" s="131">
        <v>1.96566735744801E+16</v>
      </c>
      <c r="I9" s="129">
        <v>11490</v>
      </c>
      <c r="J9" s="132">
        <v>11</v>
      </c>
      <c r="K9" s="131"/>
      <c r="L9" s="131"/>
      <c r="M9" s="131"/>
      <c r="N9" s="130">
        <f t="shared" si="0"/>
        <v>7799550043.812315</v>
      </c>
      <c r="O9" s="131"/>
      <c r="P9" s="131"/>
      <c r="Q9" s="131"/>
      <c r="R9" s="131"/>
    </row>
    <row r="10" spans="1:18">
      <c r="A10" s="129" t="s">
        <v>44</v>
      </c>
      <c r="B10" s="129"/>
      <c r="C10" s="130">
        <v>0.01</v>
      </c>
      <c r="D10" s="130">
        <v>1000000</v>
      </c>
      <c r="E10" s="130">
        <v>0.59838518279953701</v>
      </c>
      <c r="F10" s="130"/>
      <c r="G10" s="131">
        <v>667610883535102</v>
      </c>
      <c r="H10" s="131">
        <v>1115687524901090</v>
      </c>
      <c r="I10" s="129">
        <v>18223</v>
      </c>
      <c r="J10" s="132">
        <v>120</v>
      </c>
      <c r="K10" s="131"/>
      <c r="L10" s="131"/>
      <c r="M10" s="131"/>
      <c r="N10" s="130">
        <f t="shared" si="0"/>
        <v>36635618917.582283</v>
      </c>
      <c r="O10" s="131"/>
      <c r="P10" s="131"/>
      <c r="Q10" s="131"/>
      <c r="R10" s="131"/>
    </row>
    <row r="11" spans="1:18">
      <c r="A11" s="129" t="s">
        <v>43</v>
      </c>
      <c r="B11" s="129"/>
      <c r="C11" s="130">
        <v>5.0000000000000097E-8</v>
      </c>
      <c r="D11" s="130">
        <v>100</v>
      </c>
      <c r="E11" s="130">
        <v>5.0000000000000097E-8</v>
      </c>
      <c r="F11" s="130"/>
      <c r="G11" s="131">
        <v>19611658468163.102</v>
      </c>
      <c r="H11" s="131">
        <v>3.92233169363261E+20</v>
      </c>
      <c r="I11" s="129">
        <v>9984</v>
      </c>
      <c r="J11" s="132">
        <v>50</v>
      </c>
      <c r="K11" s="131"/>
      <c r="L11" s="131"/>
      <c r="M11" s="131"/>
      <c r="N11" s="130">
        <f t="shared" si="0"/>
        <v>1964308740.8015926</v>
      </c>
      <c r="O11" s="131"/>
      <c r="P11" s="131"/>
      <c r="Q11" s="131"/>
      <c r="R11" s="131"/>
    </row>
    <row r="12" spans="1:18">
      <c r="A12" s="129" t="s">
        <v>46</v>
      </c>
      <c r="B12" s="129"/>
      <c r="C12" s="130">
        <v>6818.1818181818198</v>
      </c>
      <c r="D12" s="130">
        <v>10000</v>
      </c>
      <c r="E12" s="130">
        <v>7500</v>
      </c>
      <c r="F12" s="130"/>
      <c r="G12" s="131">
        <v>55372566150000</v>
      </c>
      <c r="H12" s="131">
        <v>7383008820</v>
      </c>
      <c r="I12" s="129">
        <v>1</v>
      </c>
      <c r="J12" s="132">
        <v>120</v>
      </c>
      <c r="K12" s="131"/>
      <c r="L12" s="131"/>
      <c r="M12" s="131"/>
      <c r="N12" s="130">
        <f t="shared" si="0"/>
        <v>55372566150000</v>
      </c>
      <c r="O12" s="131"/>
      <c r="P12" s="131"/>
      <c r="Q12" s="131"/>
      <c r="R12" s="131"/>
    </row>
    <row r="13" spans="1:18">
      <c r="A13" s="129" t="s">
        <v>45</v>
      </c>
      <c r="B13" s="129"/>
      <c r="C13" s="130">
        <v>10000</v>
      </c>
      <c r="D13" s="130">
        <v>100000</v>
      </c>
      <c r="E13" s="130">
        <v>22291.4517171687</v>
      </c>
      <c r="F13" s="130"/>
      <c r="G13" s="131">
        <v>107146863531510</v>
      </c>
      <c r="H13" s="131">
        <v>4806634619</v>
      </c>
      <c r="I13" s="129">
        <v>3</v>
      </c>
      <c r="J13" s="132">
        <v>120</v>
      </c>
      <c r="K13" s="131"/>
      <c r="L13" s="131"/>
      <c r="M13" s="131"/>
      <c r="N13" s="130">
        <f t="shared" si="0"/>
        <v>35715621177170</v>
      </c>
      <c r="O13" s="131"/>
      <c r="P13" s="131"/>
      <c r="Q13" s="131"/>
      <c r="R13" s="131"/>
    </row>
    <row r="14" spans="1:18">
      <c r="A14" s="129" t="s">
        <v>49</v>
      </c>
      <c r="B14" s="129"/>
      <c r="C14" s="130">
        <v>7.6174518753425694E-12</v>
      </c>
      <c r="D14" s="130">
        <v>2.0000000000000001E-4</v>
      </c>
      <c r="E14" s="130">
        <v>7.6174518753425694E-12</v>
      </c>
      <c r="F14" s="130"/>
      <c r="G14" s="131">
        <v>3673200127349650</v>
      </c>
      <c r="H14" s="131">
        <v>4.8220851112163502E+26</v>
      </c>
      <c r="I14" s="129">
        <v>100000</v>
      </c>
      <c r="J14" s="132"/>
      <c r="K14" s="131"/>
      <c r="L14" s="131"/>
      <c r="M14" s="131"/>
      <c r="N14" s="130">
        <f t="shared" si="0"/>
        <v>36732001273.496498</v>
      </c>
      <c r="O14" s="131"/>
      <c r="P14" s="131"/>
      <c r="Q14" s="131"/>
      <c r="R14" s="131"/>
    </row>
    <row r="15" spans="1:18">
      <c r="A15" s="129" t="s">
        <v>47</v>
      </c>
      <c r="B15" s="129"/>
      <c r="C15" s="130">
        <v>3</v>
      </c>
      <c r="D15" s="130">
        <v>100000</v>
      </c>
      <c r="E15" s="130">
        <v>5.5267305595742302</v>
      </c>
      <c r="F15" s="130"/>
      <c r="G15" s="131">
        <v>1658019167872.27</v>
      </c>
      <c r="H15" s="131">
        <v>300000000000</v>
      </c>
      <c r="I15" s="135" t="s">
        <v>109</v>
      </c>
      <c r="J15" s="132"/>
      <c r="K15" s="131"/>
      <c r="L15" s="131"/>
      <c r="M15" s="131"/>
      <c r="N15" s="130">
        <f t="shared" si="0"/>
        <v>91892654.651237041</v>
      </c>
      <c r="O15" s="131"/>
      <c r="P15" s="131"/>
      <c r="Q15" s="131"/>
      <c r="R15" s="131"/>
    </row>
    <row r="16" spans="1:18">
      <c r="A16" s="129" t="s">
        <v>48</v>
      </c>
      <c r="B16" s="129"/>
      <c r="C16" s="130">
        <v>3</v>
      </c>
      <c r="D16" s="130">
        <v>100000000</v>
      </c>
      <c r="E16" s="130">
        <v>6454.8660478831798</v>
      </c>
      <c r="F16" s="130"/>
      <c r="G16" s="136">
        <v>700000000000000</v>
      </c>
      <c r="H16" s="131">
        <v>130000000000</v>
      </c>
      <c r="I16" s="129">
        <v>49693</v>
      </c>
      <c r="J16" s="132">
        <v>120</v>
      </c>
      <c r="K16" s="131"/>
      <c r="L16" s="131"/>
      <c r="M16" s="131"/>
      <c r="N16" s="130">
        <f t="shared" si="0"/>
        <v>14086491055.07818</v>
      </c>
      <c r="O16" s="131"/>
      <c r="P16" s="131"/>
      <c r="Q16" s="131"/>
      <c r="R16" s="131"/>
    </row>
    <row r="17" spans="1:18">
      <c r="A17" s="123" t="s">
        <v>180</v>
      </c>
      <c r="B17" s="123"/>
      <c r="C17" s="131"/>
      <c r="D17" s="131"/>
      <c r="E17" s="131"/>
      <c r="F17" s="131"/>
      <c r="G17" s="131"/>
      <c r="H17" s="131"/>
      <c r="I17" s="129"/>
      <c r="J17" s="136"/>
      <c r="K17" s="131"/>
      <c r="L17" s="131"/>
      <c r="M17" s="131"/>
      <c r="N17" s="130"/>
      <c r="O17" s="131"/>
      <c r="P17" s="131"/>
      <c r="Q17" s="131"/>
      <c r="R17" s="131"/>
    </row>
    <row r="18" spans="1:18">
      <c r="A18" s="122" t="s">
        <v>181</v>
      </c>
      <c r="B18" s="122" t="s">
        <v>182</v>
      </c>
      <c r="C18" s="137">
        <f>((8570*2)*100)/30</f>
        <v>57133.333333333336</v>
      </c>
      <c r="D18" s="137">
        <f>((2100000*2)*100)/30</f>
        <v>14000000</v>
      </c>
      <c r="E18" s="137">
        <f>((507000*2)*100)/30</f>
        <v>3380000</v>
      </c>
      <c r="F18" s="137">
        <v>507000</v>
      </c>
      <c r="G18" s="137"/>
      <c r="H18" s="137"/>
      <c r="I18" s="122">
        <v>250</v>
      </c>
      <c r="O18" s="122" t="s">
        <v>51</v>
      </c>
      <c r="Q18" s="131" t="s">
        <v>183</v>
      </c>
      <c r="R18" s="131" t="s">
        <v>184</v>
      </c>
    </row>
    <row r="19" spans="1:18">
      <c r="C19" s="137"/>
      <c r="D19" s="137"/>
      <c r="E19" s="137"/>
      <c r="F19" s="137"/>
      <c r="G19" s="137"/>
      <c r="H19" s="137"/>
      <c r="O19" s="122" t="s">
        <v>51</v>
      </c>
      <c r="Q19" s="131"/>
      <c r="R19" s="131"/>
    </row>
    <row r="20" spans="1:18">
      <c r="C20" s="137"/>
      <c r="D20" s="137"/>
      <c r="E20" s="137"/>
      <c r="F20" s="137"/>
      <c r="G20" s="137"/>
      <c r="H20" s="137"/>
      <c r="O20" s="122" t="s">
        <v>51</v>
      </c>
      <c r="Q20" s="131"/>
      <c r="R20" s="131"/>
    </row>
    <row r="21" spans="1:18">
      <c r="A21" s="122" t="s">
        <v>185</v>
      </c>
      <c r="C21" s="136"/>
      <c r="D21" s="136"/>
      <c r="E21" s="136">
        <f>G21/H21</f>
        <v>7.0909090909090909E-16</v>
      </c>
      <c r="F21" s="136"/>
      <c r="G21" s="136">
        <f>1300000000000000*0.12</f>
        <v>156000000000000</v>
      </c>
      <c r="H21" s="136">
        <v>2.2000000000000001E+29</v>
      </c>
      <c r="I21" s="129">
        <v>1</v>
      </c>
      <c r="J21" s="136"/>
      <c r="K21" s="131"/>
      <c r="L21" s="131"/>
      <c r="M21" s="131"/>
      <c r="N21" s="130">
        <f>G21/I21</f>
        <v>156000000000000</v>
      </c>
      <c r="O21" s="131" t="s">
        <v>29</v>
      </c>
      <c r="P21" s="138">
        <f>G21/G$3*100</f>
        <v>0.21254349305535708</v>
      </c>
      <c r="Q21" s="131" t="s">
        <v>186</v>
      </c>
      <c r="R21" s="131"/>
    </row>
    <row r="22" spans="1:18">
      <c r="C22" s="137"/>
      <c r="D22" s="137"/>
      <c r="E22" s="137"/>
      <c r="F22" s="137"/>
      <c r="G22" s="137"/>
      <c r="H22" s="137"/>
      <c r="O22" s="122" t="s">
        <v>29</v>
      </c>
      <c r="Q22" s="131"/>
      <c r="R22" s="131"/>
    </row>
    <row r="23" spans="1:18">
      <c r="C23" s="137"/>
      <c r="D23" s="137"/>
      <c r="E23" s="137"/>
      <c r="F23" s="137"/>
      <c r="G23" s="137"/>
      <c r="H23" s="137"/>
      <c r="O23" s="122" t="s">
        <v>29</v>
      </c>
      <c r="Q23" s="131"/>
      <c r="R23" s="131"/>
    </row>
    <row r="24" spans="1:18">
      <c r="C24" s="137"/>
      <c r="D24" s="137"/>
      <c r="E24" s="137"/>
      <c r="F24" s="137"/>
      <c r="G24" s="137"/>
      <c r="H24" s="137"/>
      <c r="O24" s="122" t="s">
        <v>187</v>
      </c>
      <c r="Q24" s="131"/>
      <c r="R24" s="131"/>
    </row>
    <row r="25" spans="1:18">
      <c r="C25" s="137"/>
      <c r="D25" s="137"/>
      <c r="E25" s="137"/>
      <c r="F25" s="137"/>
      <c r="G25" s="137"/>
      <c r="H25" s="137"/>
      <c r="O25" s="122" t="s">
        <v>187</v>
      </c>
      <c r="Q25" s="131"/>
      <c r="R25" s="131"/>
    </row>
    <row r="26" spans="1:18">
      <c r="C26" s="137"/>
      <c r="D26" s="137"/>
      <c r="E26" s="137"/>
      <c r="F26" s="137"/>
      <c r="G26" s="137"/>
      <c r="H26" s="137"/>
      <c r="O26" s="122" t="s">
        <v>187</v>
      </c>
      <c r="Q26" s="131"/>
      <c r="R26" s="131"/>
    </row>
    <row r="27" spans="1:18">
      <c r="C27" s="137"/>
      <c r="D27" s="137"/>
      <c r="E27" s="137"/>
      <c r="F27" s="137"/>
      <c r="G27" s="137"/>
      <c r="H27" s="137"/>
      <c r="O27" s="122" t="s">
        <v>35</v>
      </c>
      <c r="Q27" s="131"/>
      <c r="R27" s="131"/>
    </row>
    <row r="28" spans="1:18">
      <c r="C28" s="137"/>
      <c r="D28" s="137"/>
      <c r="E28" s="137"/>
      <c r="F28" s="137"/>
      <c r="G28" s="137"/>
      <c r="H28" s="137"/>
      <c r="O28" s="131" t="s">
        <v>35</v>
      </c>
      <c r="P28" s="131"/>
      <c r="Q28" s="131"/>
      <c r="R28" s="131"/>
    </row>
    <row r="29" spans="1:18">
      <c r="C29" s="137"/>
      <c r="D29" s="137"/>
      <c r="E29" s="137"/>
      <c r="F29" s="137"/>
      <c r="G29" s="137"/>
      <c r="H29" s="137"/>
      <c r="O29" s="131" t="s">
        <v>35</v>
      </c>
      <c r="P29" s="131"/>
      <c r="Q29" s="131"/>
      <c r="R29" s="131"/>
    </row>
    <row r="30" spans="1:18">
      <c r="A30" s="129" t="s">
        <v>188</v>
      </c>
      <c r="B30" s="129"/>
      <c r="C30" s="136"/>
      <c r="D30" s="136"/>
      <c r="E30" s="136">
        <f>G30/H30</f>
        <v>7.6923076923076927E-2</v>
      </c>
      <c r="F30" s="136"/>
      <c r="G30" s="136">
        <v>60000000000000</v>
      </c>
      <c r="H30" s="136">
        <v>780000000000000</v>
      </c>
      <c r="I30" s="129">
        <v>1</v>
      </c>
      <c r="J30" s="136"/>
      <c r="K30" s="131"/>
      <c r="L30" s="131"/>
      <c r="M30" s="131"/>
      <c r="N30" s="130">
        <f>G30/I30</f>
        <v>60000000000000</v>
      </c>
      <c r="O30" s="131" t="s">
        <v>72</v>
      </c>
      <c r="P30" s="138">
        <f>G30/G$6*100</f>
        <v>5.2086810365647276</v>
      </c>
      <c r="Q30" s="131"/>
      <c r="R30" s="131"/>
    </row>
    <row r="31" spans="1:18">
      <c r="A31" s="129" t="s">
        <v>189</v>
      </c>
      <c r="B31" s="129"/>
      <c r="C31" s="136"/>
      <c r="D31" s="136"/>
      <c r="E31" s="136">
        <v>1E-4</v>
      </c>
      <c r="F31" s="136"/>
      <c r="G31" s="136">
        <v>7000000000000</v>
      </c>
      <c r="H31" s="136"/>
      <c r="I31" s="129">
        <v>2800</v>
      </c>
      <c r="J31" s="136"/>
      <c r="K31" s="131"/>
      <c r="L31" s="131"/>
      <c r="M31" s="131"/>
      <c r="N31" s="130">
        <f>G31/I31</f>
        <v>2500000000</v>
      </c>
      <c r="O31" s="131" t="s">
        <v>72</v>
      </c>
      <c r="P31" s="138">
        <f>G31/G$6*100</f>
        <v>0.60767945426588488</v>
      </c>
      <c r="Q31" s="131"/>
      <c r="R31" s="131"/>
    </row>
    <row r="32" spans="1:18">
      <c r="A32" s="129" t="s">
        <v>190</v>
      </c>
      <c r="B32" s="129"/>
      <c r="C32" s="136"/>
      <c r="D32" s="136"/>
      <c r="E32" s="136">
        <v>1E-4</v>
      </c>
      <c r="F32" s="136"/>
      <c r="G32" s="136">
        <v>5000000000000</v>
      </c>
      <c r="H32" s="136">
        <v>5E+16</v>
      </c>
      <c r="I32" s="129" t="s">
        <v>191</v>
      </c>
      <c r="J32" s="136"/>
      <c r="K32" s="131"/>
      <c r="L32" s="131"/>
      <c r="M32" s="131"/>
      <c r="N32" s="130">
        <f>G32/I32</f>
        <v>395288165.07233775</v>
      </c>
      <c r="O32" s="131" t="s">
        <v>72</v>
      </c>
      <c r="P32" s="138">
        <f>G32/G$6*100</f>
        <v>0.4340567530470606</v>
      </c>
      <c r="Q32" s="131"/>
      <c r="R32" s="131"/>
    </row>
    <row r="33" spans="1:18">
      <c r="A33" s="129" t="s">
        <v>192</v>
      </c>
      <c r="B33" s="129"/>
      <c r="C33" s="136">
        <v>9.9999999999999995E-8</v>
      </c>
      <c r="D33" s="136">
        <v>1E-4</v>
      </c>
      <c r="E33" s="136">
        <v>1.0000000000000001E-5</v>
      </c>
      <c r="F33" s="136"/>
      <c r="G33" s="136">
        <v>600000000000000</v>
      </c>
      <c r="H33" s="136"/>
      <c r="I33" s="129" t="s">
        <v>193</v>
      </c>
      <c r="J33" s="136"/>
      <c r="K33" s="131"/>
      <c r="L33" s="131"/>
      <c r="M33" s="131"/>
      <c r="N33" s="130">
        <f>G33/I33</f>
        <v>46153846153.846153</v>
      </c>
      <c r="O33" s="131" t="s">
        <v>72</v>
      </c>
      <c r="P33" s="138">
        <f>G33/G$6*100</f>
        <v>52.086810365647274</v>
      </c>
      <c r="Q33" s="131"/>
      <c r="R33" s="131"/>
    </row>
    <row r="34" spans="1:18">
      <c r="A34" s="129" t="s">
        <v>194</v>
      </c>
      <c r="B34" s="129"/>
      <c r="C34" s="136"/>
      <c r="D34" s="136"/>
      <c r="E34" s="136">
        <v>5.0000000000000001E-3</v>
      </c>
      <c r="F34" s="136"/>
      <c r="G34" s="136">
        <v>171000000000000</v>
      </c>
      <c r="H34" s="136">
        <v>1300000000000000</v>
      </c>
      <c r="I34" s="129">
        <v>7000</v>
      </c>
      <c r="J34" s="136"/>
      <c r="K34" s="131"/>
      <c r="L34" s="131"/>
      <c r="M34" s="131"/>
      <c r="N34" s="130">
        <f>G34/I34</f>
        <v>24428571428.57143</v>
      </c>
      <c r="O34" s="131" t="s">
        <v>38</v>
      </c>
      <c r="P34" s="139">
        <f>G34/G$7*100</f>
        <v>86.143297802135947</v>
      </c>
      <c r="Q34" s="131"/>
      <c r="R34" s="131"/>
    </row>
    <row r="35" spans="1:18">
      <c r="O35" s="131" t="s">
        <v>38</v>
      </c>
      <c r="P35" s="131"/>
      <c r="Q35" s="131"/>
      <c r="R35" s="131"/>
    </row>
    <row r="36" spans="1:18">
      <c r="O36" s="131" t="s">
        <v>38</v>
      </c>
      <c r="P36" s="131"/>
      <c r="Q36" s="131"/>
      <c r="R36" s="131"/>
    </row>
    <row r="37" spans="1:18">
      <c r="O37" s="129" t="s">
        <v>42</v>
      </c>
      <c r="Q37" s="131"/>
      <c r="R37" s="131"/>
    </row>
    <row r="38" spans="1:18">
      <c r="O38" s="129" t="s">
        <v>42</v>
      </c>
      <c r="Q38" s="131"/>
      <c r="R38" s="131"/>
    </row>
    <row r="39" spans="1:18">
      <c r="O39" s="129" t="s">
        <v>42</v>
      </c>
      <c r="Q39" s="131"/>
      <c r="R39" s="131"/>
    </row>
    <row r="40" spans="1:18">
      <c r="O40" s="129" t="s">
        <v>41</v>
      </c>
      <c r="Q40" s="131"/>
      <c r="R40" s="131"/>
    </row>
    <row r="41" spans="1:18">
      <c r="O41" s="129" t="s">
        <v>41</v>
      </c>
      <c r="Q41" s="131"/>
      <c r="R41" s="131"/>
    </row>
    <row r="42" spans="1:18">
      <c r="O42" s="129" t="s">
        <v>41</v>
      </c>
      <c r="Q42" s="131"/>
      <c r="R42" s="131"/>
    </row>
    <row r="43" spans="1:18">
      <c r="A43" s="122" t="s">
        <v>195</v>
      </c>
      <c r="C43" s="137">
        <f>1.5*2/6</f>
        <v>0.5</v>
      </c>
      <c r="D43" s="137">
        <f>8*2/6</f>
        <v>2.6666666666666665</v>
      </c>
      <c r="E43" s="137">
        <v>2</v>
      </c>
      <c r="F43" s="137">
        <f>(E43*0.3)*0.5</f>
        <v>0.3</v>
      </c>
      <c r="G43" s="137">
        <f>(H43*F43)/1000000000000000</f>
        <v>12.36</v>
      </c>
      <c r="H43" s="137">
        <f>(M43*1000000000000000)/E43</f>
        <v>4.12E+16</v>
      </c>
      <c r="I43" s="122">
        <v>1</v>
      </c>
      <c r="M43" s="137">
        <f>(82400000000000*1000)/1000000000000000</f>
        <v>82.4</v>
      </c>
      <c r="N43" s="137">
        <f>(H43*F43)/1000000000000000</f>
        <v>12.36</v>
      </c>
      <c r="O43" s="129" t="s">
        <v>44</v>
      </c>
      <c r="P43" s="137">
        <f>(N43/G10)*100</f>
        <v>1.8513778467109321E-12</v>
      </c>
      <c r="Q43" s="140" t="s">
        <v>196</v>
      </c>
      <c r="R43" s="131" t="s">
        <v>197</v>
      </c>
    </row>
    <row r="44" spans="1:18">
      <c r="A44" s="122" t="s">
        <v>198</v>
      </c>
      <c r="C44" s="137">
        <f>4*1.4/5</f>
        <v>1.1199999999999999</v>
      </c>
      <c r="D44" s="137">
        <f>6*1.4/5</f>
        <v>1.6799999999999997</v>
      </c>
      <c r="E44" s="137">
        <v>1.4</v>
      </c>
      <c r="F44" s="137">
        <f>(E44*0.3)*0.5</f>
        <v>0.21</v>
      </c>
      <c r="G44" s="137">
        <f>(H44*F44)/1000000000000000</f>
        <v>18.734999999999999</v>
      </c>
      <c r="H44" s="137">
        <f>(M44*1000000000000000)/E44</f>
        <v>8.9214285714285712E+16</v>
      </c>
      <c r="I44" s="122">
        <v>1</v>
      </c>
      <c r="M44" s="137">
        <f>(124900000000000*1000)/1000000000000000</f>
        <v>124.9</v>
      </c>
      <c r="N44" s="137">
        <f>(H44*F44)/1000000000000000</f>
        <v>18.734999999999999</v>
      </c>
      <c r="O44" s="129" t="s">
        <v>44</v>
      </c>
      <c r="P44" s="137">
        <f>(N44/G10)*100</f>
        <v>2.8062754011431485E-12</v>
      </c>
      <c r="Q44" s="140" t="s">
        <v>196</v>
      </c>
      <c r="R44" s="131" t="s">
        <v>197</v>
      </c>
    </row>
    <row r="45" spans="1:18">
      <c r="A45" s="122" t="s">
        <v>199</v>
      </c>
      <c r="C45" s="137">
        <f>5*2.2/6</f>
        <v>1.8333333333333333</v>
      </c>
      <c r="D45" s="137">
        <f>11*2.2/6</f>
        <v>4.0333333333333341</v>
      </c>
      <c r="E45" s="137">
        <v>2.2000000000000002</v>
      </c>
      <c r="F45" s="137">
        <f>(E45*0.3)*0.5</f>
        <v>0.33</v>
      </c>
      <c r="G45" s="137">
        <f>(H45*F45)/1000000000000000</f>
        <v>4.9619999999999997</v>
      </c>
      <c r="H45" s="137">
        <f>(M45*1000000000000000)/E45</f>
        <v>1.5036363636363636E+16</v>
      </c>
      <c r="I45" s="122">
        <v>1</v>
      </c>
      <c r="M45" s="137">
        <f>(33080000000000*1000)/1000000000000000</f>
        <v>33.08</v>
      </c>
      <c r="N45" s="137">
        <f>(H45*F45)/1000000000000000</f>
        <v>4.9619999999999997</v>
      </c>
      <c r="O45" s="129" t="s">
        <v>44</v>
      </c>
      <c r="P45" s="137">
        <f>(N45/G10)*100</f>
        <v>7.4324732001453434E-13</v>
      </c>
      <c r="Q45" s="140" t="s">
        <v>196</v>
      </c>
      <c r="R45" s="131" t="s">
        <v>197</v>
      </c>
    </row>
    <row r="46" spans="1:18">
      <c r="O46" s="129" t="s">
        <v>43</v>
      </c>
      <c r="R46" s="122" t="s">
        <v>200</v>
      </c>
    </row>
    <row r="47" spans="1:18">
      <c r="O47" s="129" t="s">
        <v>43</v>
      </c>
      <c r="R47" s="122" t="s">
        <v>200</v>
      </c>
    </row>
    <row r="48" spans="1:18">
      <c r="O48" s="129" t="s">
        <v>43</v>
      </c>
      <c r="R48" s="122" t="s">
        <v>200</v>
      </c>
    </row>
    <row r="49" spans="1:18">
      <c r="A49" s="129" t="s">
        <v>201</v>
      </c>
      <c r="B49" s="129"/>
      <c r="C49" s="137">
        <v>20000</v>
      </c>
      <c r="D49" s="137">
        <v>200000</v>
      </c>
      <c r="E49" s="136">
        <v>100000</v>
      </c>
      <c r="F49" s="141">
        <f>(E49*0.3)*0.5</f>
        <v>15000</v>
      </c>
      <c r="G49" s="137">
        <f>(H49*F49)/1000000000000000</f>
        <v>0.41731457999999999</v>
      </c>
      <c r="H49" s="137">
        <v>27820972000</v>
      </c>
      <c r="I49" s="131">
        <v>1</v>
      </c>
      <c r="J49" s="136"/>
      <c r="K49" s="131"/>
      <c r="L49" s="131"/>
      <c r="M49" s="136">
        <f>(H49*E49)/1000000000000000</f>
        <v>2.7820971999999999</v>
      </c>
      <c r="N49" s="136">
        <f>136378195600000/1000000000000000</f>
        <v>0.1363781956</v>
      </c>
      <c r="O49" s="129" t="s">
        <v>45</v>
      </c>
      <c r="P49" s="137">
        <f>(N49/G13)*100</f>
        <v>1.272815564590872E-13</v>
      </c>
      <c r="Q49" s="122" t="s">
        <v>202</v>
      </c>
      <c r="R49" s="122" t="s">
        <v>203</v>
      </c>
    </row>
    <row r="50" spans="1:18">
      <c r="A50" s="122" t="s">
        <v>204</v>
      </c>
      <c r="C50" s="137">
        <v>272000</v>
      </c>
      <c r="D50" s="137">
        <v>1134000</v>
      </c>
      <c r="E50" s="137">
        <v>753000</v>
      </c>
      <c r="F50" s="137">
        <f>(E50*0.3)*0.5</f>
        <v>112950</v>
      </c>
      <c r="G50" s="137">
        <f>(H50*F50)/1000000000000000</f>
        <v>0.18254503695105001</v>
      </c>
      <c r="H50" s="137">
        <v>1616157919</v>
      </c>
      <c r="I50" s="122">
        <v>1</v>
      </c>
      <c r="M50" s="136">
        <f>(H50*E50)/1000000000000000</f>
        <v>1.216966913007</v>
      </c>
      <c r="N50" s="137">
        <f>(H50*F50)/1000000000000000</f>
        <v>0.18254503695105001</v>
      </c>
      <c r="O50" s="129" t="s">
        <v>45</v>
      </c>
      <c r="P50" s="137">
        <f>(N50/G13)*100</f>
        <v>1.7036899721975225E-13</v>
      </c>
      <c r="Q50" s="122" t="s">
        <v>202</v>
      </c>
      <c r="R50" s="122" t="s">
        <v>203</v>
      </c>
    </row>
    <row r="51" spans="1:18">
      <c r="A51" s="122" t="s">
        <v>205</v>
      </c>
      <c r="C51" s="137">
        <v>50000</v>
      </c>
      <c r="D51" s="137">
        <v>350000</v>
      </c>
      <c r="E51" s="137">
        <v>129000</v>
      </c>
      <c r="F51" s="137">
        <f>(E51*0.3)*0.5</f>
        <v>19350</v>
      </c>
      <c r="G51" s="137">
        <f>(H51*F51)/1000000000000000</f>
        <v>2.7245275564949999E-2</v>
      </c>
      <c r="H51" s="137">
        <v>1408024577</v>
      </c>
      <c r="I51" s="122">
        <v>1</v>
      </c>
      <c r="M51" s="136">
        <f>(H51*E51)/1000000000000000</f>
        <v>0.18163517043300001</v>
      </c>
      <c r="N51" s="137">
        <f>(H51*F51)/1000000000000000</f>
        <v>2.7245275564949999E-2</v>
      </c>
      <c r="O51" s="129" t="s">
        <v>45</v>
      </c>
      <c r="P51" s="137">
        <f>(N51/G13)*100</f>
        <v>2.5427973033422153E-14</v>
      </c>
      <c r="Q51" s="122" t="s">
        <v>202</v>
      </c>
      <c r="R51" s="122" t="s">
        <v>203</v>
      </c>
    </row>
    <row r="52" spans="1:18">
      <c r="A52" s="129" t="s">
        <v>206</v>
      </c>
      <c r="B52" s="129"/>
      <c r="O52" s="129" t="s">
        <v>49</v>
      </c>
    </row>
    <row r="53" spans="1:18">
      <c r="A53" s="129" t="s">
        <v>207</v>
      </c>
      <c r="B53" s="129"/>
      <c r="C53" s="136">
        <v>9.9999999999999995E-8</v>
      </c>
      <c r="D53" s="136">
        <v>1E-4</v>
      </c>
      <c r="E53" s="136">
        <v>1.0000000000000001E-5</v>
      </c>
      <c r="G53" s="136">
        <f>89000000000000/1000000000000000</f>
        <v>8.8999999999999996E-2</v>
      </c>
      <c r="H53" s="136"/>
      <c r="I53" s="129"/>
      <c r="J53" s="136"/>
      <c r="K53" s="131"/>
      <c r="L53" s="131"/>
      <c r="M53" s="131"/>
      <c r="N53" s="130"/>
      <c r="O53" s="131" t="s">
        <v>49</v>
      </c>
    </row>
    <row r="54" spans="1:18">
      <c r="C54" s="137"/>
      <c r="D54" s="137"/>
      <c r="E54" s="137"/>
      <c r="F54" s="137"/>
      <c r="G54" s="137"/>
      <c r="H54" s="137"/>
      <c r="O54" s="129" t="s">
        <v>49</v>
      </c>
    </row>
    <row r="55" spans="1:18">
      <c r="A55" s="122" t="s">
        <v>208</v>
      </c>
      <c r="C55" s="137">
        <v>15</v>
      </c>
      <c r="D55" s="137">
        <v>26</v>
      </c>
      <c r="E55" s="137">
        <v>17.5</v>
      </c>
      <c r="F55" s="137">
        <f t="shared" ref="F55:F60" si="1">(E55*0.3)*0.5</f>
        <v>2.625</v>
      </c>
      <c r="G55" s="137">
        <f>(H55*F55)/1000000000000000</f>
        <v>3.9375E-6</v>
      </c>
      <c r="H55" s="137">
        <f>1.5*1000000000</f>
        <v>1500000000</v>
      </c>
      <c r="I55" s="122">
        <v>1</v>
      </c>
      <c r="M55" s="137">
        <f>(H55*E55)/1000000000000000</f>
        <v>2.6250000000000001E-5</v>
      </c>
      <c r="N55" s="137">
        <f>(H55*F55)/1000000000000000</f>
        <v>3.9375E-6</v>
      </c>
      <c r="O55" s="129" t="s">
        <v>47</v>
      </c>
      <c r="P55" s="137">
        <f>(N55/G15)*100</f>
        <v>2.3748217609890357E-16</v>
      </c>
      <c r="Q55" s="140" t="s">
        <v>209</v>
      </c>
      <c r="R55" s="122" t="s">
        <v>210</v>
      </c>
    </row>
    <row r="56" spans="1:18">
      <c r="A56" s="122" t="s">
        <v>211</v>
      </c>
      <c r="C56" s="137">
        <v>86</v>
      </c>
      <c r="D56" s="137">
        <v>170</v>
      </c>
      <c r="E56" s="137">
        <v>119</v>
      </c>
      <c r="F56" s="137">
        <f t="shared" si="1"/>
        <v>17.849999999999998</v>
      </c>
      <c r="G56" s="137">
        <f>(H56*F56)/1000000000000000</f>
        <v>7.1399999999999994E-6</v>
      </c>
      <c r="H56" s="137">
        <v>400000000</v>
      </c>
      <c r="I56" s="122">
        <v>1</v>
      </c>
      <c r="M56" s="137">
        <f>(H56*E56)/1000000000000000</f>
        <v>4.7599999999999998E-5</v>
      </c>
      <c r="N56" s="137">
        <f>G56/I56</f>
        <v>7.1399999999999994E-6</v>
      </c>
      <c r="O56" s="129" t="s">
        <v>47</v>
      </c>
      <c r="P56" s="137">
        <f>(N56/G15)*100</f>
        <v>4.3063434599267847E-16</v>
      </c>
      <c r="Q56" s="122" t="s">
        <v>212</v>
      </c>
    </row>
    <row r="57" spans="1:18">
      <c r="A57" s="122" t="s">
        <v>213</v>
      </c>
      <c r="C57" s="137">
        <v>59</v>
      </c>
      <c r="D57" s="137">
        <v>94</v>
      </c>
      <c r="E57" s="136">
        <v>77</v>
      </c>
      <c r="F57" s="137">
        <f t="shared" si="1"/>
        <v>11.549999999999999</v>
      </c>
      <c r="G57" s="136">
        <f>(H57*F57)/1000000000000000</f>
        <v>3.6959999999999994E-6</v>
      </c>
      <c r="H57" s="136">
        <v>320000000</v>
      </c>
      <c r="I57" s="122">
        <v>1</v>
      </c>
      <c r="M57" s="137">
        <f>G57/I57</f>
        <v>3.6959999999999994E-6</v>
      </c>
      <c r="N57" s="137">
        <f>G57/I57</f>
        <v>3.6959999999999994E-6</v>
      </c>
      <c r="O57" s="129" t="s">
        <v>47</v>
      </c>
      <c r="P57" s="137">
        <f>(N57/G15)*100</f>
        <v>2.2291660263150415E-16</v>
      </c>
      <c r="Q57" s="122" t="s">
        <v>212</v>
      </c>
    </row>
    <row r="58" spans="1:18">
      <c r="A58" s="122" t="s">
        <v>214</v>
      </c>
      <c r="C58" s="137">
        <v>2000000</v>
      </c>
      <c r="D58" s="137">
        <v>6100000</v>
      </c>
      <c r="E58" s="137">
        <v>4500000</v>
      </c>
      <c r="F58" s="137">
        <f t="shared" si="1"/>
        <v>675000</v>
      </c>
      <c r="G58" s="137">
        <f>(F58*H58)/1000000000000000</f>
        <v>2.8012499999999999E-4</v>
      </c>
      <c r="H58" s="137">
        <v>415000</v>
      </c>
      <c r="I58" s="122">
        <v>1</v>
      </c>
      <c r="M58" s="137">
        <f>(H58*E58)/1000000000000000</f>
        <v>1.8675E-3</v>
      </c>
      <c r="N58" s="137">
        <f>(H58*F58)/1000000000000000</f>
        <v>2.8012499999999999E-4</v>
      </c>
      <c r="O58" s="129" t="s">
        <v>48</v>
      </c>
      <c r="P58" s="137">
        <f>(N58/G16)*100</f>
        <v>4.001785714285714E-17</v>
      </c>
      <c r="Q58" s="122" t="s">
        <v>215</v>
      </c>
    </row>
    <row r="59" spans="1:18">
      <c r="A59" s="122" t="s">
        <v>216</v>
      </c>
      <c r="C59" s="137">
        <v>350000000</v>
      </c>
      <c r="D59" s="137">
        <v>500000000</v>
      </c>
      <c r="E59" s="137">
        <v>410000000</v>
      </c>
      <c r="F59" s="137">
        <f t="shared" si="1"/>
        <v>61500000</v>
      </c>
      <c r="G59" s="137">
        <f>(F59*H59)/1000000000000000</f>
        <v>2.214E-2</v>
      </c>
      <c r="H59" s="137">
        <v>360000</v>
      </c>
      <c r="I59" s="122">
        <v>1</v>
      </c>
      <c r="M59" s="137">
        <f>G59/I59</f>
        <v>2.214E-2</v>
      </c>
      <c r="N59" s="137">
        <f>G59/1</f>
        <v>2.214E-2</v>
      </c>
      <c r="O59" s="129" t="s">
        <v>48</v>
      </c>
      <c r="P59" s="137">
        <f>(N59/G16)*100</f>
        <v>3.162857142857143E-15</v>
      </c>
      <c r="Q59" s="122" t="s">
        <v>217</v>
      </c>
    </row>
    <row r="60" spans="1:18">
      <c r="A60" s="122" t="s">
        <v>218</v>
      </c>
      <c r="C60" s="137">
        <v>140</v>
      </c>
      <c r="D60" s="137">
        <v>500</v>
      </c>
      <c r="E60" s="137">
        <v>229</v>
      </c>
      <c r="F60" s="137">
        <f t="shared" si="1"/>
        <v>34.35</v>
      </c>
      <c r="G60" s="137">
        <f>(H60*F60)/1000000000000000</f>
        <v>1.3740000000000001E-4</v>
      </c>
      <c r="H60" s="137">
        <v>4000000000</v>
      </c>
      <c r="I60" s="122">
        <v>1</v>
      </c>
      <c r="M60" s="137">
        <f>(H60*E60)/1000000000000000</f>
        <v>9.1600000000000004E-4</v>
      </c>
      <c r="N60" s="137">
        <f>(H60*F60)/1000000000000000</f>
        <v>1.3740000000000001E-4</v>
      </c>
      <c r="O60" s="129" t="s">
        <v>48</v>
      </c>
      <c r="P60" s="137">
        <f>(N60/G16)*100</f>
        <v>1.9628571428571432E-17</v>
      </c>
      <c r="Q60" s="122" t="s">
        <v>215</v>
      </c>
    </row>
    <row r="65" spans="1:18">
      <c r="C65" s="136"/>
      <c r="D65" s="136"/>
      <c r="E65" s="136"/>
      <c r="F65" s="136"/>
      <c r="G65" s="136"/>
      <c r="H65" s="136"/>
      <c r="I65" s="129"/>
      <c r="J65" s="136"/>
      <c r="K65" s="131"/>
      <c r="L65" s="131"/>
      <c r="M65" s="131"/>
      <c r="N65" s="130"/>
      <c r="O65" s="131"/>
      <c r="P65" s="138"/>
    </row>
    <row r="66" spans="1:18">
      <c r="A66" s="131"/>
      <c r="B66" s="131"/>
      <c r="C66" s="136"/>
      <c r="D66" s="136"/>
      <c r="E66" s="136"/>
      <c r="I66" s="129"/>
      <c r="J66" s="136"/>
      <c r="K66" s="131"/>
      <c r="L66" s="131"/>
      <c r="M66" s="131"/>
      <c r="N66" s="130"/>
      <c r="O66" s="131"/>
      <c r="P66" s="138"/>
    </row>
    <row r="67" spans="1:18">
      <c r="P67" s="138"/>
    </row>
    <row r="77" spans="1:18">
      <c r="A77" s="142" t="s">
        <v>219</v>
      </c>
      <c r="B77" s="142"/>
    </row>
    <row r="78" spans="1:18">
      <c r="A78" s="122" t="s">
        <v>185</v>
      </c>
      <c r="C78" s="131"/>
      <c r="D78" s="131"/>
      <c r="E78" s="136">
        <f>G78/H78</f>
        <v>7.0909090909090909E-16</v>
      </c>
      <c r="F78" s="136"/>
      <c r="G78" s="136">
        <f>1300000000000000*0.12</f>
        <v>156000000000000</v>
      </c>
      <c r="H78" s="136">
        <v>2.2000000000000001E+29</v>
      </c>
      <c r="I78" s="129">
        <v>1</v>
      </c>
      <c r="J78" s="136"/>
      <c r="K78" s="131"/>
      <c r="L78" s="131"/>
      <c r="M78" s="131"/>
      <c r="N78" s="130">
        <f>G78/I78</f>
        <v>156000000000000</v>
      </c>
      <c r="O78" s="131" t="s">
        <v>29</v>
      </c>
      <c r="P78" s="138">
        <f>G78/G$3*100</f>
        <v>0.21254349305535708</v>
      </c>
      <c r="Q78" s="131"/>
      <c r="R78" s="131"/>
    </row>
    <row r="79" spans="1:18">
      <c r="A79" s="122" t="s">
        <v>220</v>
      </c>
      <c r="D79" s="137">
        <v>5896700810</v>
      </c>
      <c r="O79" s="122" t="s">
        <v>51</v>
      </c>
      <c r="Q79" s="131" t="s">
        <v>221</v>
      </c>
      <c r="R79" s="131" t="s">
        <v>184</v>
      </c>
    </row>
    <row r="80" spans="1:18">
      <c r="A80" s="122" t="s">
        <v>195</v>
      </c>
      <c r="C80" s="137">
        <f>1.5*2/6</f>
        <v>0.5</v>
      </c>
      <c r="D80" s="137">
        <f>8*2/6</f>
        <v>2.6666666666666665</v>
      </c>
      <c r="E80" s="137">
        <v>2</v>
      </c>
      <c r="F80" s="137">
        <f>(E80*0.3)*0.5</f>
        <v>0.3</v>
      </c>
      <c r="G80" s="137">
        <f>(H80*F80)/1000000000000000</f>
        <v>12.36</v>
      </c>
      <c r="H80" s="137">
        <f>(M80*1000000000000000)/E80</f>
        <v>4.12E+16</v>
      </c>
      <c r="I80" s="122">
        <v>1</v>
      </c>
      <c r="M80" s="137">
        <f>(82400000000000*1000)/1000000000000000</f>
        <v>82.4</v>
      </c>
      <c r="N80" s="137">
        <f>(H80*F80)/1000000000000000</f>
        <v>12.36</v>
      </c>
      <c r="O80" s="129" t="s">
        <v>44</v>
      </c>
      <c r="P80" s="137" t="e">
        <f>(N80/G47)*100</f>
        <v>#DIV/0!</v>
      </c>
      <c r="Q80" s="140" t="s">
        <v>196</v>
      </c>
      <c r="R80" s="131" t="s">
        <v>197</v>
      </c>
    </row>
    <row r="81" spans="1:18">
      <c r="A81" s="122" t="s">
        <v>198</v>
      </c>
      <c r="C81" s="137">
        <f>4*1.4/5</f>
        <v>1.1199999999999999</v>
      </c>
      <c r="D81" s="137">
        <f>6*1.4/5</f>
        <v>1.6799999999999997</v>
      </c>
      <c r="E81" s="137">
        <v>1.4</v>
      </c>
      <c r="F81" s="137">
        <f>(E81*0.3)*0.5</f>
        <v>0.21</v>
      </c>
      <c r="G81" s="137">
        <f>(H81*F81)/1000000000000000</f>
        <v>18.734999999999999</v>
      </c>
      <c r="H81" s="137">
        <f>(M81*1000000000000000)/E81</f>
        <v>8.9214285714285712E+16</v>
      </c>
      <c r="I81" s="122">
        <v>1</v>
      </c>
      <c r="M81" s="137">
        <f>(124900000000000*1000)/1000000000000000</f>
        <v>124.9</v>
      </c>
      <c r="N81" s="137">
        <f>(H81*F81)/1000000000000000</f>
        <v>18.734999999999999</v>
      </c>
      <c r="O81" s="129" t="s">
        <v>44</v>
      </c>
      <c r="P81" s="137" t="e">
        <f>(N81/G47)*100</f>
        <v>#DIV/0!</v>
      </c>
      <c r="Q81" s="140" t="s">
        <v>196</v>
      </c>
      <c r="R81" s="131" t="s">
        <v>197</v>
      </c>
    </row>
    <row r="82" spans="1:18">
      <c r="A82" s="122" t="s">
        <v>199</v>
      </c>
      <c r="C82" s="137">
        <f>5*2.2/6</f>
        <v>1.8333333333333333</v>
      </c>
      <c r="D82" s="137">
        <f>11*2.2/6</f>
        <v>4.0333333333333341</v>
      </c>
      <c r="E82" s="137">
        <v>2.2000000000000002</v>
      </c>
      <c r="F82" s="137">
        <f>(E82*0.3)*0.5</f>
        <v>0.33</v>
      </c>
      <c r="G82" s="137">
        <f>(H82*F82)/1000000000000000</f>
        <v>4.9619999999999997</v>
      </c>
      <c r="H82" s="137">
        <f>(M82*1000000000000000)/E82</f>
        <v>1.5036363636363636E+16</v>
      </c>
      <c r="I82" s="122">
        <v>1</v>
      </c>
      <c r="M82" s="137">
        <f>(33080000000000*1000)/1000000000000000</f>
        <v>33.08</v>
      </c>
      <c r="N82" s="137">
        <f>(H82*F82)/1000000000000000</f>
        <v>4.9619999999999997</v>
      </c>
      <c r="O82" s="129" t="s">
        <v>44</v>
      </c>
      <c r="P82" s="137" t="e">
        <f>(N82/G47)*100</f>
        <v>#DIV/0!</v>
      </c>
      <c r="Q82" s="140" t="s">
        <v>196</v>
      </c>
      <c r="R82" s="131" t="s">
        <v>197</v>
      </c>
    </row>
    <row r="83" spans="1:18">
      <c r="O83" s="129" t="s">
        <v>43</v>
      </c>
      <c r="R83" s="122" t="s">
        <v>200</v>
      </c>
    </row>
    <row r="84" spans="1:18">
      <c r="O84" s="129" t="s">
        <v>43</v>
      </c>
      <c r="R84" s="122" t="s">
        <v>200</v>
      </c>
    </row>
    <row r="85" spans="1:18">
      <c r="O85" s="129" t="s">
        <v>43</v>
      </c>
      <c r="R85" s="122" t="s">
        <v>200</v>
      </c>
    </row>
    <row r="86" spans="1:18">
      <c r="A86" s="129" t="s">
        <v>201</v>
      </c>
      <c r="B86" s="129"/>
      <c r="C86" s="137">
        <v>20000</v>
      </c>
      <c r="D86" s="137">
        <v>200000</v>
      </c>
      <c r="E86" s="136">
        <v>100000</v>
      </c>
      <c r="F86" s="141">
        <f>(E86*0.3)*0.5</f>
        <v>15000</v>
      </c>
      <c r="G86" s="137">
        <f>(H86*F86)/1000000000000000</f>
        <v>0.41731457999999999</v>
      </c>
      <c r="H86" s="137">
        <v>27820972000</v>
      </c>
      <c r="I86" s="131">
        <v>1</v>
      </c>
      <c r="J86" s="136"/>
      <c r="K86" s="131"/>
      <c r="L86" s="131"/>
      <c r="M86" s="136">
        <f>(H86*E86)/1000000000000000</f>
        <v>2.7820971999999999</v>
      </c>
      <c r="N86" s="136">
        <f>136378195600000/1000000000000000</f>
        <v>0.1363781956</v>
      </c>
      <c r="O86" s="129" t="s">
        <v>45</v>
      </c>
      <c r="P86" s="137">
        <f>(N86/G50)*100</f>
        <v>74.709341802905442</v>
      </c>
      <c r="Q86" s="122" t="s">
        <v>202</v>
      </c>
      <c r="R86" s="122" t="s">
        <v>203</v>
      </c>
    </row>
    <row r="87" spans="1:18">
      <c r="A87" s="122" t="s">
        <v>204</v>
      </c>
      <c r="C87" s="137">
        <v>272000</v>
      </c>
      <c r="D87" s="137">
        <v>1134000</v>
      </c>
      <c r="E87" s="137">
        <v>753000</v>
      </c>
      <c r="F87" s="137">
        <f>(E87*0.3)*0.5</f>
        <v>112950</v>
      </c>
      <c r="G87" s="137">
        <f>(H87*F87)/1000000000000000</f>
        <v>0.18254503695105001</v>
      </c>
      <c r="H87" s="137">
        <v>1616157919</v>
      </c>
      <c r="I87" s="122">
        <v>1</v>
      </c>
      <c r="M87" s="136">
        <f>(H87*E87)/1000000000000000</f>
        <v>1.216966913007</v>
      </c>
      <c r="N87" s="137">
        <f>(H87*F87)/1000000000000000</f>
        <v>0.18254503695105001</v>
      </c>
      <c r="O87" s="129" t="s">
        <v>45</v>
      </c>
      <c r="P87" s="137">
        <f>(N87/G50)*100</f>
        <v>100</v>
      </c>
      <c r="Q87" s="122" t="s">
        <v>202</v>
      </c>
      <c r="R87" s="122" t="s">
        <v>203</v>
      </c>
    </row>
    <row r="88" spans="1:18">
      <c r="A88" s="122" t="s">
        <v>205</v>
      </c>
      <c r="C88" s="137">
        <v>50000</v>
      </c>
      <c r="D88" s="137">
        <v>350000</v>
      </c>
      <c r="E88" s="137">
        <v>129000</v>
      </c>
      <c r="F88" s="137">
        <f>(E88*0.3)*0.5</f>
        <v>19350</v>
      </c>
      <c r="G88" s="137">
        <f>(H88*F88)/1000000000000000</f>
        <v>2.7245275564949999E-2</v>
      </c>
      <c r="H88" s="137">
        <v>1408024577</v>
      </c>
      <c r="I88" s="122">
        <v>1</v>
      </c>
      <c r="M88" s="136">
        <f>(H88*E88)/1000000000000000</f>
        <v>0.18163517043300001</v>
      </c>
      <c r="N88" s="137">
        <f>(H88*F88)/1000000000000000</f>
        <v>2.7245275564949999E-2</v>
      </c>
      <c r="O88" s="129" t="s">
        <v>45</v>
      </c>
      <c r="P88" s="137">
        <f>(N88/G50)*100</f>
        <v>14.925234900938939</v>
      </c>
      <c r="Q88" s="122" t="s">
        <v>202</v>
      </c>
      <c r="R88" s="122" t="s">
        <v>203</v>
      </c>
    </row>
    <row r="89" spans="1:18">
      <c r="A89" s="129" t="s">
        <v>206</v>
      </c>
      <c r="B89" s="129"/>
      <c r="O89" s="129" t="s">
        <v>49</v>
      </c>
    </row>
    <row r="90" spans="1:18">
      <c r="A90" s="129" t="s">
        <v>207</v>
      </c>
      <c r="B90" s="129"/>
      <c r="C90" s="136">
        <v>9.9999999999999995E-8</v>
      </c>
      <c r="D90" s="136">
        <v>1E-4</v>
      </c>
      <c r="E90" s="136">
        <v>1.0000000000000001E-5</v>
      </c>
      <c r="G90" s="136">
        <v>89000000000000</v>
      </c>
      <c r="H90" s="136"/>
      <c r="I90" s="129"/>
      <c r="J90" s="136"/>
      <c r="K90" s="131"/>
      <c r="L90" s="131"/>
      <c r="M90" s="131"/>
      <c r="N90" s="130"/>
      <c r="O90" s="131" t="s">
        <v>49</v>
      </c>
    </row>
    <row r="91" spans="1:18">
      <c r="C91" s="137"/>
      <c r="D91" s="137"/>
      <c r="E91" s="137"/>
      <c r="F91" s="137"/>
      <c r="G91" s="137"/>
      <c r="H91" s="137"/>
      <c r="O91" s="129" t="s">
        <v>49</v>
      </c>
    </row>
    <row r="92" spans="1:18">
      <c r="A92" s="122" t="s">
        <v>208</v>
      </c>
      <c r="C92" s="137">
        <v>15</v>
      </c>
      <c r="D92" s="137">
        <v>26</v>
      </c>
      <c r="E92" s="137">
        <v>17.5</v>
      </c>
      <c r="F92" s="137">
        <f t="shared" ref="F92:F97" si="2">(E92*0.3)*0.5</f>
        <v>2.625</v>
      </c>
      <c r="G92" s="137">
        <f>(H92*F92)/1000000000000000</f>
        <v>3.9375E-6</v>
      </c>
      <c r="H92" s="137">
        <f>1.5*1000000000</f>
        <v>1500000000</v>
      </c>
      <c r="I92" s="122">
        <v>1</v>
      </c>
      <c r="M92" s="137">
        <f>(H92*E92)/1000000000000000</f>
        <v>2.6250000000000001E-5</v>
      </c>
      <c r="N92" s="137">
        <f>(H92*F92)/1000000000000000</f>
        <v>3.9375E-6</v>
      </c>
      <c r="O92" s="129" t="s">
        <v>47</v>
      </c>
      <c r="P92" s="137" t="e">
        <f>(N92/G52)*100</f>
        <v>#DIV/0!</v>
      </c>
      <c r="Q92" s="140" t="s">
        <v>209</v>
      </c>
      <c r="R92" s="122" t="s">
        <v>210</v>
      </c>
    </row>
    <row r="93" spans="1:18">
      <c r="A93" s="122" t="s">
        <v>211</v>
      </c>
      <c r="C93" s="137">
        <v>86</v>
      </c>
      <c r="D93" s="137">
        <v>170</v>
      </c>
      <c r="E93" s="137">
        <v>119</v>
      </c>
      <c r="F93" s="137">
        <f t="shared" si="2"/>
        <v>17.849999999999998</v>
      </c>
      <c r="G93" s="137">
        <f>(H93*F93)/1000000000000000</f>
        <v>7.1399999999999994E-6</v>
      </c>
      <c r="H93" s="137">
        <v>400000000</v>
      </c>
      <c r="I93" s="122">
        <v>1</v>
      </c>
      <c r="M93" s="137">
        <f>(H93*E93)/1000000000000000</f>
        <v>4.7599999999999998E-5</v>
      </c>
      <c r="N93" s="137">
        <f>G93/I93</f>
        <v>7.1399999999999994E-6</v>
      </c>
      <c r="O93" s="129" t="s">
        <v>47</v>
      </c>
      <c r="P93" s="137" t="e">
        <f>(N93/G52)*100</f>
        <v>#DIV/0!</v>
      </c>
      <c r="Q93" s="122" t="s">
        <v>212</v>
      </c>
    </row>
    <row r="94" spans="1:18">
      <c r="A94" s="122" t="s">
        <v>213</v>
      </c>
      <c r="C94" s="137">
        <v>59</v>
      </c>
      <c r="D94" s="137">
        <v>94</v>
      </c>
      <c r="E94" s="136">
        <v>77</v>
      </c>
      <c r="F94" s="137">
        <f t="shared" si="2"/>
        <v>11.549999999999999</v>
      </c>
      <c r="G94" s="136">
        <f>(H94*F94)/1000000000000000</f>
        <v>3.6959999999999994E-6</v>
      </c>
      <c r="H94" s="136">
        <v>320000000</v>
      </c>
      <c r="I94" s="122">
        <v>1</v>
      </c>
      <c r="M94" s="137">
        <f>G94/I94</f>
        <v>3.6959999999999994E-6</v>
      </c>
      <c r="N94" s="137">
        <f>G94/I94</f>
        <v>3.6959999999999994E-6</v>
      </c>
      <c r="O94" s="129" t="s">
        <v>47</v>
      </c>
      <c r="P94" s="137" t="e">
        <f>(N94/G52)*100</f>
        <v>#DIV/0!</v>
      </c>
      <c r="Q94" s="122" t="s">
        <v>212</v>
      </c>
    </row>
    <row r="95" spans="1:18">
      <c r="A95" s="122" t="s">
        <v>214</v>
      </c>
      <c r="C95" s="137">
        <v>2000000</v>
      </c>
      <c r="D95" s="137">
        <v>6100000</v>
      </c>
      <c r="E95" s="137">
        <v>4500000</v>
      </c>
      <c r="F95" s="137">
        <f t="shared" si="2"/>
        <v>675000</v>
      </c>
      <c r="G95" s="137">
        <f>(F95*H95)/1000000000000000</f>
        <v>2.8012499999999999E-4</v>
      </c>
      <c r="H95" s="137">
        <v>415000</v>
      </c>
      <c r="I95" s="122">
        <v>1</v>
      </c>
      <c r="M95" s="137">
        <f>(H95*E95)/1000000000000000</f>
        <v>1.8675E-3</v>
      </c>
      <c r="N95" s="137">
        <f>(H95*F95)/1000000000000000</f>
        <v>2.8012499999999999E-4</v>
      </c>
      <c r="O95" s="129" t="s">
        <v>48</v>
      </c>
      <c r="P95" s="137">
        <f>(N95/G53)*100</f>
        <v>0.31474719101123599</v>
      </c>
      <c r="Q95" s="122" t="s">
        <v>215</v>
      </c>
    </row>
    <row r="96" spans="1:18">
      <c r="A96" s="122" t="s">
        <v>216</v>
      </c>
      <c r="C96" s="137">
        <v>350000000</v>
      </c>
      <c r="D96" s="137">
        <v>500000000</v>
      </c>
      <c r="E96" s="137">
        <v>410000000</v>
      </c>
      <c r="F96" s="137">
        <f t="shared" si="2"/>
        <v>61500000</v>
      </c>
      <c r="G96" s="137">
        <f>(F96*H96)/1000000000000000</f>
        <v>2.214E-2</v>
      </c>
      <c r="H96" s="137">
        <v>360000</v>
      </c>
      <c r="I96" s="122">
        <v>1</v>
      </c>
      <c r="M96" s="137">
        <f>G96/I96</f>
        <v>2.214E-2</v>
      </c>
      <c r="N96" s="137">
        <f>G96/1</f>
        <v>2.214E-2</v>
      </c>
      <c r="O96" s="129" t="s">
        <v>48</v>
      </c>
      <c r="P96" s="137">
        <f>(N96/G53)*100</f>
        <v>24.876404494382022</v>
      </c>
      <c r="Q96" s="122" t="s">
        <v>217</v>
      </c>
    </row>
    <row r="97" spans="1:17">
      <c r="A97" s="122" t="s">
        <v>218</v>
      </c>
      <c r="C97" s="137">
        <v>140</v>
      </c>
      <c r="D97" s="137">
        <v>500</v>
      </c>
      <c r="E97" s="137">
        <v>229</v>
      </c>
      <c r="F97" s="137">
        <f t="shared" si="2"/>
        <v>34.35</v>
      </c>
      <c r="G97" s="137">
        <f>(H97*F97)/1000000000000000</f>
        <v>1.3740000000000001E-4</v>
      </c>
      <c r="H97" s="137">
        <v>4000000000</v>
      </c>
      <c r="I97" s="122">
        <v>1</v>
      </c>
      <c r="M97" s="137">
        <f>(H97*E97)/1000000000000000</f>
        <v>9.1600000000000004E-4</v>
      </c>
      <c r="N97" s="137">
        <f>(H97*F97)/1000000000000000</f>
        <v>1.3740000000000001E-4</v>
      </c>
      <c r="O97" s="129" t="s">
        <v>48</v>
      </c>
      <c r="P97" s="137">
        <f>(N97/G53)*100</f>
        <v>0.15438202247191013</v>
      </c>
      <c r="Q97" s="122" t="s">
        <v>215</v>
      </c>
    </row>
  </sheetData>
  <hyperlinks>
    <hyperlink ref="Q43" r:id="rId1" location="results,%20fish%20base" xr:uid="{00000000-0004-0000-0900-000000000000}"/>
    <hyperlink ref="Q44" r:id="rId2" location="results,%20fish%20base" xr:uid="{00000000-0004-0000-0900-000001000000}"/>
    <hyperlink ref="Q45" r:id="rId3" location="results,%20fish%20base" xr:uid="{00000000-0004-0000-0900-000002000000}"/>
    <hyperlink ref="Q55" r:id="rId4" xr:uid="{00000000-0004-0000-0900-000003000000}"/>
    <hyperlink ref="Q80" r:id="rId5" location="results,%20fish%20base" xr:uid="{00000000-0004-0000-0900-000004000000}"/>
    <hyperlink ref="Q81" r:id="rId6" location="results,%20fish%20base" xr:uid="{00000000-0004-0000-0900-000005000000}"/>
    <hyperlink ref="Q82" r:id="rId7" location="results,%20fish%20base" xr:uid="{00000000-0004-0000-0900-000006000000}"/>
    <hyperlink ref="Q92" r:id="rId8" xr:uid="{00000000-0004-0000-0900-000007000000}"/>
  </hyperlink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EF969-F1F7-F94C-8D2C-616B2360B7FD}">
  <dimension ref="A1"/>
  <sheetViews>
    <sheetView workbookViewId="0">
      <selection activeCell="I11" sqref="I11"/>
    </sheetView>
  </sheetViews>
  <sheetFormatPr baseColWidth="10" defaultRowHeight="1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1444</TotalTime>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TOC</vt:lpstr>
      <vt:lpstr>Table1 &amp; Fig1</vt:lpstr>
      <vt:lpstr>Fig2A</vt:lpstr>
      <vt:lpstr>Fig2B</vt:lpstr>
      <vt:lpstr>FigS1</vt:lpstr>
      <vt:lpstr>FigS2-S3</vt:lpstr>
      <vt:lpstr>Data mentioned in MS</vt:lpstr>
      <vt:lpstr>major taxa to remove</vt:lpstr>
      <vt:lpstr>Sheet1</vt:lpstr>
      <vt:lpstr>Table S1</vt:lpstr>
      <vt:lpstr>Fig2C</vt:lpstr>
      <vt:lpstr>final data</vt:lpstr>
      <vt:lpstr>Inflection points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Edward Tekwa</cp:lastModifiedBy>
  <cp:revision>101</cp:revision>
  <dcterms:created xsi:type="dcterms:W3CDTF">2018-02-21T16:32:15Z</dcterms:created>
  <dcterms:modified xsi:type="dcterms:W3CDTF">2020-05-25T18:43:12Z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