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ElmoNew/Dropbox/Gordita/Code/"/>
    </mc:Choice>
  </mc:AlternateContent>
  <xr:revisionPtr revIDLastSave="0" documentId="8_{59F252D6-9DCF-954B-9906-C5A6A82A366C}" xr6:coauthVersionLast="46" xr6:coauthVersionMax="46" xr10:uidLastSave="{00000000-0000-0000-0000-000000000000}"/>
  <bookViews>
    <workbookView xWindow="0" yWindow="0" windowWidth="51200" windowHeight="28800" xr2:uid="{2AC34951-30C8-D745-A5C4-F8DF23519293}"/>
  </bookViews>
  <sheets>
    <sheet name="Sheet1" sheetId="1" r:id="rId1"/>
  </sheets>
  <externalReferences>
    <externalReference r:id="rId2"/>
  </externalReferenc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6" i="1" l="1"/>
  <c r="F26" i="1"/>
  <c r="E26" i="1"/>
  <c r="N7" i="1"/>
  <c r="Q36" i="1"/>
  <c r="O36" i="1"/>
  <c r="N36" i="1"/>
  <c r="Q35" i="1"/>
  <c r="O35" i="1"/>
  <c r="N35" i="1"/>
  <c r="Q31" i="1"/>
  <c r="O31" i="1"/>
  <c r="Q30" i="1"/>
  <c r="P30" i="1"/>
  <c r="O30" i="1"/>
  <c r="Q29" i="1"/>
  <c r="O29" i="1"/>
  <c r="N29" i="1"/>
  <c r="P29" i="1" s="1"/>
  <c r="M29" i="1"/>
  <c r="AB28" i="1"/>
  <c r="AD28" i="1" s="1"/>
  <c r="AA28" i="1"/>
  <c r="V28" i="1"/>
  <c r="U28" i="1"/>
  <c r="G27" i="1"/>
  <c r="F27" i="1"/>
  <c r="E27" i="1"/>
  <c r="M25" i="1"/>
  <c r="F25" i="1"/>
  <c r="G25" i="1" s="1"/>
  <c r="Q24" i="1"/>
  <c r="M24" i="1"/>
  <c r="E24" i="1"/>
  <c r="F24" i="1" s="1"/>
  <c r="G24" i="1" s="1"/>
  <c r="Q23" i="1"/>
  <c r="P23" i="1"/>
  <c r="O23" i="1"/>
  <c r="N23" i="1"/>
  <c r="M23" i="1"/>
  <c r="G23" i="1"/>
  <c r="E23" i="1"/>
  <c r="M22" i="1"/>
  <c r="G22" i="1"/>
  <c r="F22" i="1"/>
  <c r="E22" i="1"/>
  <c r="M21" i="1"/>
  <c r="G21" i="1"/>
  <c r="F21" i="1"/>
  <c r="E21" i="1"/>
  <c r="Q16" i="1"/>
  <c r="O16" i="1"/>
  <c r="L16" i="1"/>
  <c r="Q15" i="1"/>
  <c r="P15" i="1"/>
  <c r="O15" i="1"/>
  <c r="Q14" i="1"/>
  <c r="P14" i="1"/>
  <c r="O14" i="1"/>
  <c r="Q13" i="1"/>
  <c r="O13" i="1"/>
  <c r="Q12" i="1"/>
  <c r="O12" i="1"/>
  <c r="Q11" i="1"/>
  <c r="P11" i="1"/>
  <c r="O11" i="1"/>
  <c r="M11" i="1"/>
  <c r="Q10" i="1"/>
  <c r="O10" i="1"/>
  <c r="Q9" i="1"/>
  <c r="O9" i="1"/>
  <c r="Q8" i="1"/>
  <c r="O8" i="1"/>
  <c r="M8" i="1"/>
  <c r="Q7" i="1"/>
  <c r="P7" i="1"/>
  <c r="O7" i="1"/>
  <c r="M7" i="1"/>
  <c r="O6" i="1"/>
  <c r="M6" i="1"/>
  <c r="G6" i="1"/>
  <c r="F6" i="1"/>
  <c r="E6" i="1"/>
  <c r="B6" i="1"/>
  <c r="Q5" i="1"/>
  <c r="O5" i="1"/>
  <c r="M5" i="1"/>
  <c r="G5" i="1"/>
  <c r="F5" i="1"/>
  <c r="Q4" i="1"/>
  <c r="O4" i="1"/>
  <c r="M4" i="1"/>
  <c r="F4" i="1"/>
  <c r="E4" i="1"/>
  <c r="AC28" i="1" l="1"/>
  <c r="W28" i="1"/>
  <c r="X28" i="1" l="1"/>
  <c r="L28" i="1"/>
  <c r="P28" i="1" l="1"/>
  <c r="O28" i="1"/>
  <c r="Q28" i="1"/>
  <c r="AE28" i="1"/>
  <c r="M28" i="1" s="1"/>
</calcChain>
</file>

<file path=xl/sharedStrings.xml><?xml version="1.0" encoding="utf-8"?>
<sst xmlns="http://schemas.openxmlformats.org/spreadsheetml/2006/main" count="191" uniqueCount="147">
  <si>
    <t>Terrestrial</t>
  </si>
  <si>
    <t>Producers</t>
  </si>
  <si>
    <t>Consumers</t>
  </si>
  <si>
    <t>Taxon</t>
  </si>
  <si>
    <t>Biomass</t>
  </si>
  <si>
    <t>Uncertainty</t>
  </si>
  <si>
    <t>Abundance</t>
  </si>
  <si>
    <t>Min body size</t>
  </si>
  <si>
    <t>Mean body size</t>
  </si>
  <si>
    <t>Max body size</t>
  </si>
  <si>
    <t>Min bs note</t>
  </si>
  <si>
    <t>Max bs note</t>
  </si>
  <si>
    <t>Mean bs note</t>
  </si>
  <si>
    <t>Forest plants</t>
  </si>
  <si>
    <t>Salix Herbacea (5cm height - Beerling 98, J Ecol) - assume spherical and boreal carbon density from from Erb 17</t>
  </si>
  <si>
    <t>Sequoiadendron giganteum</t>
  </si>
  <si>
    <t>Soil bacteria</t>
  </si>
  <si>
    <t xml:space="preserve">Actinobacteria 0.2 µm, Panikov 05 Adv. App. Microb. </t>
  </si>
  <si>
    <t>Proteobacteria 5 µm</t>
  </si>
  <si>
    <t>Grassland plants</t>
  </si>
  <si>
    <t>smallest blade of grass? Mibora minima dune grass  607mg/80.6individuals =7.5mg=0.0075g dry weight, = carbon 0.00375g https://www.jstor.org/stable/pdf/2259004.pdf</t>
  </si>
  <si>
    <t>Holcus mollis (grassland C density from Erb 17 x max genet size De Witte 10)</t>
  </si>
  <si>
    <t>Calamagrostis epigejos (grassland C density from Erb 17 x genet size for this representative grass species from de Witte 10)</t>
  </si>
  <si>
    <t>Soil archaea</t>
  </si>
  <si>
    <t>0.2µm Crenarchaeota</t>
  </si>
  <si>
    <t>0.8µm Crenarchaeota</t>
  </si>
  <si>
    <t>Cryptogamic phototrophs</t>
  </si>
  <si>
    <t>Nostoc punctiforme 5 µm</t>
  </si>
  <si>
    <t>Dawsonia superba (22.5cm height, Green 13 10.1179/jbr.1981.11.4.723) - assume cube and same carbon density as grass</t>
  </si>
  <si>
    <t>Among lichens, likely the most abundant among cryptogams, assume 87% contains phycobionts (Trebouxia 8-21 µm, http://lutzonilab.org/peltigera/overview/), and 13% contains cyanobionts (Nostoc punctiforme 5 µm, Rippka, R. and M. Herdman. 1992. Pasteur Culture Collection of Cyanobacterial Strains in Axenic Culture, Catalogue and Taxonomic Handbook. 103 pp. Institut Pasteur, Paris). Biomass of all cryptogamic cover from Elbert et al. 12, Nat Geosci. 20% of fungi species occur in lichens (Rikkinen 02, Science), which is subtracted from total cryptogam biomass to get autotrophic cryptogam biomass.</t>
  </si>
  <si>
    <t>Soil fungi</t>
  </si>
  <si>
    <t>Saccharomyces https://www.ncbi.nlm.nih.gov/pmc/articles/PMC5697875/</t>
  </si>
  <si>
    <t>Armillaria ostoyae Anderson et al/</t>
  </si>
  <si>
    <t>Batrachochytrium dendrohabditis has a free-living zoospore stage 2µm</t>
  </si>
  <si>
    <t>Soil protists</t>
  </si>
  <si>
    <t>Myamoeba 2µm https://academic.oup.com/femsre/article/42/3/293/4855940</t>
  </si>
  <si>
    <t>Dictyamoeba "several mm in length" = 2mm https://www.sciencedirect.com/science/article/pii/S1434461015000188</t>
  </si>
  <si>
    <t>Terrestrial arthropods</t>
  </si>
  <si>
    <t>Archegozetes longisetosus</t>
  </si>
  <si>
    <t>Birgus latro</t>
  </si>
  <si>
    <t>Humans</t>
  </si>
  <si>
    <t>from Hern et al (1999)</t>
  </si>
  <si>
    <t>Livestock</t>
  </si>
  <si>
    <t>chicken layers Hatton</t>
  </si>
  <si>
    <t>cow</t>
  </si>
  <si>
    <t>Wild land mammals</t>
  </si>
  <si>
    <t>Craseonycteris thonglongyai</t>
  </si>
  <si>
    <t>African bush elephant</t>
  </si>
  <si>
    <t>Mean extant mammal body size by species count from Smith et al. 18, Science.</t>
  </si>
  <si>
    <t>Wild birds</t>
  </si>
  <si>
    <t>bee hummingbird</t>
  </si>
  <si>
    <t>Struthio camelus</t>
  </si>
  <si>
    <t>Annelids</t>
  </si>
  <si>
    <t>Dendrobaena mammalis Phillipson 1978; in Damuth 1987 (Ref: 531)</t>
  </si>
  <si>
    <t>African giant earthworm</t>
  </si>
  <si>
    <t>Terrestrial nematodes</t>
  </si>
  <si>
    <t>Protohabditis hortulana 189µm, https://www.ncbi.nlm.nih.gov/pubmed/27470864</t>
  </si>
  <si>
    <t>6000µm https://esajournals-onlinelibrary-wiley-com.proxybz.lib.montana.edu:3443/doi/pdfdirect/10.1890/11-0546.1</t>
  </si>
  <si>
    <t>0.1 ug dry weight x 0.5 (Fierer et al. 09, Petersen &amp; Luxton, 82)</t>
  </si>
  <si>
    <t>Reptiles</t>
  </si>
  <si>
    <t>Brookseia, Rivaling the World's Smallest Reptiles: Discovery of Miniaturized and Microendemic New Species of Leaf Chameleons (Brookesia) from Northern Madagascar, 10.1371/journal.pone.0031314</t>
  </si>
  <si>
    <t>Crocodylus porosus, https://animaldiversity.org/accounts/Crocodylus_porosus/</t>
  </si>
  <si>
    <t>from Makarieva et al. 08, PNAS</t>
  </si>
  <si>
    <t>Amphibians</t>
  </si>
  <si>
    <t>Paedophryne amauensis, Ecological Guild Evolution and the Discovery of the World's Smallest Vertebrate, https://doi.org/10.1371/journal.pone.0029797. Snout-to-vent length of 7.7mm was converted to weight via Anura/Hylidae allometry given in Santini et al. 17 Integ. Zool.</t>
  </si>
  <si>
    <t>Andrias davidianus, The decline of the Chinese giant salamander Andrias davidianus and implications for its conservation,  https://doi.org/10.1017/S0030605304000341</t>
  </si>
  <si>
    <t>modified from Bar-On, assume amphibian habitat area is mainly rainforest, 5.5011347e+12 m^2, and 0.1 individual per m^2. Uncertainty is unknown, so copied from reptiles for most uncertain taxon</t>
  </si>
  <si>
    <t>Marine</t>
  </si>
  <si>
    <t>Mangroves</t>
  </si>
  <si>
    <t>dwarf 1.5m canopy height. Assume spherical. https://ocean.si.edu/ocean-life/plants-algae/mangroves</t>
  </si>
  <si>
    <t>40m canopy height. Assume spherical. https://ocean.si.edu/ocean-life/plants-algae/mangroves</t>
  </si>
  <si>
    <t>Rhizophora mangle, 6m, similar to estimates for other typical species in Njana 16 Ann. Forest. Sci. Biomass from Hutchison et al. 14, Conserv Let (1.11 Pg underground). Above ground tC/ha (or 0.1kg/m^2)=165.5; below ground tC/ha=78.6 (Hutchison et al. 14)</t>
  </si>
  <si>
    <t>Marine bacteria</t>
  </si>
  <si>
    <t>Pelagibacter ubique</t>
  </si>
  <si>
    <t>Thiomargarita namibiensis</t>
  </si>
  <si>
    <t>Seagrass</t>
  </si>
  <si>
    <t>Halophila decipiens</t>
  </si>
  <si>
    <t>Posidonia oceanica (C density from Fourqurean 12 x genet size rounded to 1km diameter in Arnaud-Haond 12)</t>
  </si>
  <si>
    <t>Zostera marina (C density from Fourqurean 12 x genet size of this common species from de Witte 10)</t>
  </si>
  <si>
    <t>Marine archaea</t>
  </si>
  <si>
    <t>Nanoarchaeum equitans </t>
  </si>
  <si>
    <t>Staphylothermus marinus</t>
  </si>
  <si>
    <t>Macroalgae</t>
  </si>
  <si>
    <t>I couldn't find a species that represents the smallest macroalgae. Instead, I used the size reported in as the lower size range for macroalgae and used the carbon content for kelp to scale up.</t>
  </si>
  <si>
    <t>Macrocystis pyrifera, https://cimioutdoored.org/kelp-forest/ for mass, FAO.org for wet to dry weight, Carbon and nitrogen content of Laminaria saccharina in the eastern English Channel: Biometrics and seasonal variations for the average carbon content of seaweed</t>
  </si>
  <si>
    <t>Laminaria saccharina, typical species (Gevaert 01)</t>
  </si>
  <si>
    <t>Marine protists</t>
  </si>
  <si>
    <t>Picomonas judraskeda, 2.5um (Moreira &amp; López-García 14 10.1002/bies.201300176); previously documented at 10um</t>
  </si>
  <si>
    <t>Rhizarians, 20mm, Biard et al. 16 Nature</t>
  </si>
  <si>
    <t>Bacterial picophytoplankton</t>
  </si>
  <si>
    <t>Prochlorococcus spp</t>
  </si>
  <si>
    <t>assume log-normal distribution</t>
  </si>
  <si>
    <t>couldn't find a particular genus/species that is the largest, so using the cutoff for "pico"phyoplankton of 2 micrometers. Can't find a generic relationship between carbon content and diameter for the specific picophytoplankton groups, so I will assume that mass in carbon per cell is proportional to diatmeter and use the gC/diameter relationship from the smallest, which I do have.</t>
  </si>
  <si>
    <t>Marine arthropods</t>
  </si>
  <si>
    <t>Stygotantulus Stocki</t>
  </si>
  <si>
    <t>Homarus americanus</t>
  </si>
  <si>
    <t>Green algae and protist picophytoplankton</t>
  </si>
  <si>
    <t>Ostreococcus tauri</t>
  </si>
  <si>
    <t>Fish</t>
  </si>
  <si>
    <t>Paedocypris progenetica </t>
  </si>
  <si>
    <t>Rhincodon typus</t>
  </si>
  <si>
    <t>Diatoms</t>
  </si>
  <si>
    <t>Dactyliosolen fragilissimus (Leblanc 12 Earth Syst. Sci. Data)</t>
  </si>
  <si>
    <t>Molluscs</t>
  </si>
  <si>
    <t>Ammonicera minortalis</t>
  </si>
  <si>
    <t>Mesonychoteuthis hamiltoni</t>
  </si>
  <si>
    <t>Phaeocystis</t>
  </si>
  <si>
    <t>Phaeocystis globosa cell (5 µm), https://doi.org/10.1016/B978-012693018-4/50007-0</t>
  </si>
  <si>
    <t>Phaeocystis globosa colony (8 mm), https://doi.org/10.1016/B978-012693018-4/50007-0</t>
  </si>
  <si>
    <t>mean size of colonies of P. globosa (2 mm) and P. pouchetii (1.5 mm), which are globally distributed and associated with bloom formation, https://doi.org/10.1016/B978-012693018-4/50007-0</t>
  </si>
  <si>
    <t>Cnidaria</t>
  </si>
  <si>
    <t>Psammohydra nanna </t>
  </si>
  <si>
    <t>Cyanea capillata</t>
  </si>
  <si>
    <t>min skeleton biomass:</t>
  </si>
  <si>
    <t>max skeleton biomass:</t>
  </si>
  <si>
    <t>mean skeleton biomass</t>
  </si>
  <si>
    <t>uncertainty</t>
  </si>
  <si>
    <t>mean tissue biomass:</t>
  </si>
  <si>
    <t>min tissue biomass</t>
  </si>
  <si>
    <t>max tissue biomass</t>
  </si>
  <si>
    <t>min log total biomass</t>
  </si>
  <si>
    <t>max log total biomass</t>
  </si>
  <si>
    <t>uncertainty in skeleton biomass from corallite vs colony as body size</t>
  </si>
  <si>
    <t>Hard Coral</t>
  </si>
  <si>
    <t>Leptopsammia pruvoti, Caroselli et al. 14 PloS One; skeleton density from Darling et al. 12 Ecol Let for generalist corals. Total body size is skeleton density multiplied by average total biomass/skeleton biomass across all corals</t>
  </si>
  <si>
    <t>Porites lutea, Brown 09 Coral Reefs: 10.1007/s00338-009-0494-8. Total body size is skeleton density multiplied by average total biomass/skeleton biomass across all corals</t>
  </si>
  <si>
    <t>Skeletal body size of a colony is between the corallite and the maximum reported colony size. Corallite diameter^2 or max colony size^2 is converted to volume, assuming branching morphotype for "competitive" and "weedy" corals, and massive morphotype for "generalist" and "stress-tolerant" corals  (House et al. 18, PeerJ). Calculation for each is: coral cover contributions for 4 types (Darling et al. 19 Nat Ecol Evol) x size x skeletal density x C per CaCO3 (Darling et al. 12 Ecol Let). Total body size is skeleton density multiplied by average total biomass/skeleton biomass across all corals. For total skeletal biomass, assume world surface covered by coral (Bar-On references) has living reef height of corallite or colony diameter. Total coral area (if 100% cover) is from Harris et al. 14 Marine Geol. Coral tissue biomass estiamtes are 0.1 and 0.03GtC (Bar-On).</t>
  </si>
  <si>
    <t>Wild marine mammals</t>
  </si>
  <si>
    <t xml:space="preserve">Guadalupe fur seal (Arctocephalus townsendi) 0.027 tonnes wet weight, Christensen 06 (thesis) </t>
  </si>
  <si>
    <t>Balaenoptera musculus</t>
  </si>
  <si>
    <t>Christensen 06</t>
  </si>
  <si>
    <t>Marine nematodes</t>
  </si>
  <si>
    <t>Thalassomonhystera sp., 0.05 ug wet weight</t>
  </si>
  <si>
    <t>Platycomopsis sp., 80 ug wet weight</t>
  </si>
  <si>
    <t>0.5 - 3 ug wet weight ~ geometric mean =1.2 ug (median 948 µm length), Armenteros &amp; Ruiz-Abierno 15 Nematology</t>
  </si>
  <si>
    <t>Marine fungi</t>
  </si>
  <si>
    <t>Malassezia restricta found in hydrothermal vents and corals (Amend 14, PloS Pathogen), 2.5-6 um (Maldonado 11)</t>
  </si>
  <si>
    <t>Colony size = 10^-3.9 g (wet weight), Aguilar-Trigueros 17, Penicillium chrysogenum (http://dx.doi.org/10.1016/j.funeco.2014.09.006)</t>
  </si>
  <si>
    <t>Subterranean</t>
  </si>
  <si>
    <t>Subterranean bacteria</t>
  </si>
  <si>
    <t>Proteobacteria (https://doi.org/10.1038/ismej.2015.185)</t>
  </si>
  <si>
    <t>Desulforudis audaxviator 4um (https://astrobiology.nasa.gov/news/life-without-the-sun/)</t>
  </si>
  <si>
    <t>Subterranean archaea</t>
  </si>
  <si>
    <t>Thermoproteus spp. 0.3um (https://www.ncbi.nlm.nih.gov/books/NBK224742/)</t>
  </si>
  <si>
    <t>Marine Benthic Group B and the Miscellaneous Crenarchaeotal Group (1um 10.1073/pnas.0600035103)</t>
  </si>
  <si>
    <t xml:space="preserve"> Ethmodiscus spp. (Leblanc 12 Earth Syst. Sci. Data)</t>
  </si>
  <si>
    <t>Thalassiosira pseudonana (Leblanc 12 Earth Syst. Sci.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</si>
</sst>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7" x14ac:knownFonts="1">
    <font>
      <sz val="12"/>
      <color theme="1"/>
      <name val="Calibri"/>
      <family val="2"/>
      <scheme val="minor"/>
    </font>
    <font>
      <b/>
      <sz val="11"/>
      <color theme="1"/>
      <name val="Calibri"/>
      <family val="2"/>
      <scheme val="minor"/>
    </font>
    <font>
      <sz val="11"/>
      <color theme="1"/>
      <name val="Calibri"/>
      <family val="2"/>
      <scheme val="minor"/>
    </font>
    <font>
      <strike/>
      <sz val="11"/>
      <color theme="1"/>
      <name val="Calibri"/>
      <family val="2"/>
      <scheme val="minor"/>
    </font>
    <font>
      <i/>
      <sz val="11"/>
      <color theme="1"/>
      <name val="Calibri"/>
      <family val="2"/>
      <scheme val="minor"/>
    </font>
    <font>
      <sz val="10"/>
      <color rgb="FF000000"/>
      <name val="Arial"/>
      <family val="2"/>
    </font>
    <font>
      <sz val="10"/>
      <color rgb="FF333333"/>
      <name val="Arial"/>
      <family val="2"/>
    </font>
  </fonts>
  <fills count="2">
    <fill>
      <patternFill patternType="none"/>
    </fill>
    <fill>
      <patternFill patternType="gray125"/>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auto="1"/>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60">
    <xf numFmtId="0" fontId="0" fillId="0" borderId="0" xfId="0"/>
    <xf numFmtId="0" fontId="1" fillId="0" borderId="1" xfId="0" applyFont="1" applyBorder="1" applyAlignment="1">
      <alignment wrapText="1"/>
    </xf>
    <xf numFmtId="0" fontId="1" fillId="0" borderId="2" xfId="0" applyFont="1" applyBorder="1" applyAlignment="1">
      <alignment wrapText="1"/>
    </xf>
    <xf numFmtId="0" fontId="2" fillId="0" borderId="2" xfId="0" applyFont="1" applyBorder="1"/>
    <xf numFmtId="11" fontId="2" fillId="0" borderId="2" xfId="0" applyNumberFormat="1" applyFont="1" applyBorder="1"/>
    <xf numFmtId="0" fontId="2" fillId="0" borderId="2" xfId="0" applyFont="1" applyBorder="1" applyAlignment="1">
      <alignment wrapText="1"/>
    </xf>
    <xf numFmtId="0" fontId="2" fillId="0" borderId="3" xfId="0" applyFont="1" applyBorder="1" applyAlignment="1">
      <alignment wrapText="1"/>
    </xf>
    <xf numFmtId="0" fontId="2" fillId="0" borderId="0" xfId="0" applyFont="1" applyAlignment="1">
      <alignment wrapText="1"/>
    </xf>
    <xf numFmtId="0" fontId="2" fillId="0" borderId="0" xfId="0" applyFont="1"/>
    <xf numFmtId="0" fontId="1" fillId="0" borderId="4" xfId="0" applyFont="1" applyBorder="1" applyAlignment="1">
      <alignment wrapText="1"/>
    </xf>
    <xf numFmtId="0" fontId="1" fillId="0" borderId="0" xfId="0" applyFont="1" applyAlignment="1">
      <alignment wrapText="1"/>
    </xf>
    <xf numFmtId="0" fontId="1" fillId="0" borderId="0" xfId="0" applyFont="1" applyAlignment="1">
      <alignment horizontal="center" wrapText="1"/>
    </xf>
    <xf numFmtId="11" fontId="1" fillId="0" borderId="0" xfId="0" applyNumberFormat="1" applyFont="1" applyAlignment="1">
      <alignment horizontal="center" wrapText="1"/>
    </xf>
    <xf numFmtId="0" fontId="1" fillId="0" borderId="5" xfId="0" applyFont="1" applyBorder="1" applyAlignment="1">
      <alignment wrapText="1"/>
    </xf>
    <xf numFmtId="11" fontId="2" fillId="0" borderId="0" xfId="0" applyNumberFormat="1" applyFont="1"/>
    <xf numFmtId="0" fontId="2" fillId="0" borderId="6" xfId="0" applyFont="1" applyBorder="1" applyAlignment="1">
      <alignment wrapText="1"/>
    </xf>
    <xf numFmtId="11" fontId="1" fillId="0" borderId="0" xfId="0" applyNumberFormat="1" applyFont="1" applyAlignment="1">
      <alignment wrapText="1"/>
    </xf>
    <xf numFmtId="0" fontId="1" fillId="0" borderId="0" xfId="0" applyFont="1" applyAlignment="1">
      <alignment horizontal="left" wrapText="1"/>
    </xf>
    <xf numFmtId="0" fontId="1" fillId="0" borderId="6" xfId="0" applyFont="1" applyBorder="1" applyAlignment="1">
      <alignment wrapText="1"/>
    </xf>
    <xf numFmtId="0" fontId="2" fillId="0" borderId="4" xfId="0" applyFont="1" applyBorder="1" applyAlignment="1">
      <alignment wrapText="1"/>
    </xf>
    <xf numFmtId="164" fontId="2" fillId="0" borderId="0" xfId="0" applyNumberFormat="1" applyFont="1" applyAlignment="1">
      <alignment horizontal="right" wrapText="1"/>
    </xf>
    <xf numFmtId="11" fontId="2" fillId="0" borderId="0" xfId="0" applyNumberFormat="1" applyFont="1" applyAlignment="1">
      <alignment wrapText="1"/>
    </xf>
    <xf numFmtId="0" fontId="2" fillId="0" borderId="5" xfId="0" applyFont="1" applyBorder="1" applyAlignment="1">
      <alignment wrapText="1"/>
    </xf>
    <xf numFmtId="165" fontId="2" fillId="0" borderId="0" xfId="0" applyNumberFormat="1" applyFont="1" applyAlignment="1">
      <alignment horizontal="right" wrapText="1"/>
    </xf>
    <xf numFmtId="1" fontId="2" fillId="0" borderId="0" xfId="0" applyNumberFormat="1" applyFont="1" applyAlignment="1">
      <alignment horizontal="right" wrapText="1"/>
    </xf>
    <xf numFmtId="0" fontId="2" fillId="0" borderId="0" xfId="0" applyFont="1" applyAlignment="1">
      <alignment horizontal="right" wrapText="1"/>
    </xf>
    <xf numFmtId="164" fontId="2" fillId="0" borderId="0" xfId="0" applyNumberFormat="1" applyFont="1" applyAlignment="1">
      <alignment wrapText="1"/>
    </xf>
    <xf numFmtId="165" fontId="2" fillId="0" borderId="0" xfId="0" applyNumberFormat="1" applyFont="1" applyAlignment="1">
      <alignment wrapText="1"/>
    </xf>
    <xf numFmtId="1" fontId="2" fillId="0" borderId="0" xfId="0" applyNumberFormat="1" applyFont="1" applyAlignment="1">
      <alignment wrapText="1"/>
    </xf>
    <xf numFmtId="0" fontId="2" fillId="0" borderId="0" xfId="0" applyFont="1" applyAlignment="1">
      <alignment vertical="top"/>
    </xf>
    <xf numFmtId="0" fontId="2" fillId="0" borderId="5" xfId="0" applyFont="1" applyBorder="1"/>
    <xf numFmtId="0" fontId="2" fillId="0" borderId="7" xfId="0" applyFont="1" applyBorder="1" applyAlignment="1">
      <alignment wrapText="1"/>
    </xf>
    <xf numFmtId="0" fontId="2" fillId="0" borderId="8" xfId="0" applyFont="1" applyBorder="1" applyAlignment="1">
      <alignment wrapText="1"/>
    </xf>
    <xf numFmtId="11" fontId="2" fillId="0" borderId="8" xfId="0" applyNumberFormat="1" applyFont="1" applyBorder="1" applyAlignment="1">
      <alignment wrapText="1"/>
    </xf>
    <xf numFmtId="0" fontId="2" fillId="0" borderId="9" xfId="0" applyFont="1" applyBorder="1"/>
    <xf numFmtId="165" fontId="2" fillId="0" borderId="8" xfId="0" applyNumberFormat="1" applyFont="1" applyBorder="1" applyAlignment="1">
      <alignment horizontal="right" wrapText="1"/>
    </xf>
    <xf numFmtId="0" fontId="2" fillId="0" borderId="8" xfId="0" applyFont="1" applyBorder="1"/>
    <xf numFmtId="11" fontId="2" fillId="0" borderId="8" xfId="0" applyNumberFormat="1" applyFont="1" applyBorder="1"/>
    <xf numFmtId="0" fontId="2" fillId="0" borderId="10" xfId="0" applyFont="1" applyBorder="1" applyAlignment="1">
      <alignment wrapText="1"/>
    </xf>
    <xf numFmtId="2" fontId="2" fillId="0" borderId="0" xfId="0" applyNumberFormat="1" applyFont="1" applyAlignment="1">
      <alignment wrapText="1"/>
    </xf>
    <xf numFmtId="11" fontId="2" fillId="0" borderId="0" xfId="0" applyNumberFormat="1" applyFont="1" applyAlignment="1">
      <alignment horizontal="right" wrapText="1"/>
    </xf>
    <xf numFmtId="2" fontId="2" fillId="0" borderId="0" xfId="0" applyNumberFormat="1" applyFont="1" applyAlignment="1">
      <alignment horizontal="right" wrapText="1"/>
    </xf>
    <xf numFmtId="49" fontId="2" fillId="0" borderId="0" xfId="0" applyNumberFormat="1" applyFont="1"/>
    <xf numFmtId="0" fontId="2" fillId="0" borderId="1" xfId="0" applyFont="1" applyBorder="1" applyAlignment="1">
      <alignment wrapText="1"/>
    </xf>
    <xf numFmtId="0" fontId="3" fillId="0" borderId="4" xfId="0" applyFont="1" applyBorder="1" applyAlignment="1">
      <alignment wrapText="1"/>
    </xf>
    <xf numFmtId="165" fontId="3" fillId="0" borderId="0" xfId="0" applyNumberFormat="1" applyFont="1" applyAlignment="1">
      <alignment wrapText="1"/>
    </xf>
    <xf numFmtId="0" fontId="3" fillId="0" borderId="0" xfId="0" applyFont="1" applyAlignment="1">
      <alignment wrapText="1"/>
    </xf>
    <xf numFmtId="11" fontId="3" fillId="0" borderId="0" xfId="0" applyNumberFormat="1" applyFont="1" applyAlignment="1">
      <alignment wrapText="1"/>
    </xf>
    <xf numFmtId="0" fontId="2" fillId="0" borderId="9" xfId="0" applyFont="1" applyBorder="1" applyAlignment="1">
      <alignment wrapText="1"/>
    </xf>
    <xf numFmtId="165" fontId="2" fillId="0" borderId="8" xfId="0" applyNumberFormat="1" applyFont="1" applyBorder="1" applyAlignment="1">
      <alignment wrapText="1"/>
    </xf>
    <xf numFmtId="2" fontId="2" fillId="0" borderId="8" xfId="0" applyNumberFormat="1" applyFont="1" applyBorder="1" applyAlignment="1">
      <alignment wrapText="1"/>
    </xf>
    <xf numFmtId="2" fontId="2" fillId="0" borderId="8" xfId="0" applyNumberFormat="1" applyFont="1" applyBorder="1" applyAlignment="1">
      <alignment horizontal="right" wrapText="1"/>
    </xf>
    <xf numFmtId="165" fontId="3" fillId="0" borderId="0" xfId="0" applyNumberFormat="1" applyFont="1" applyAlignment="1">
      <alignment horizontal="right" wrapText="1"/>
    </xf>
    <xf numFmtId="1" fontId="2" fillId="0" borderId="8" xfId="0" applyNumberFormat="1" applyFont="1" applyBorder="1" applyAlignment="1">
      <alignment wrapText="1"/>
    </xf>
    <xf numFmtId="0" fontId="4" fillId="0" borderId="8" xfId="0" applyFont="1" applyBorder="1"/>
    <xf numFmtId="0" fontId="5" fillId="0" borderId="0" xfId="0" applyFont="1"/>
    <xf numFmtId="164" fontId="2" fillId="0" borderId="8" xfId="0" applyNumberFormat="1" applyFont="1" applyBorder="1" applyAlignment="1">
      <alignment horizontal="right" wrapText="1"/>
    </xf>
    <xf numFmtId="11" fontId="2" fillId="0" borderId="8" xfId="0" applyNumberFormat="1" applyFont="1" applyBorder="1" applyAlignment="1">
      <alignment horizontal="right" wrapText="1"/>
    </xf>
    <xf numFmtId="0" fontId="5" fillId="0" borderId="8" xfId="0" applyFont="1" applyBorder="1"/>
    <xf numFmtId="0" fontId="6"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904813</xdr:colOff>
      <xdr:row>65</xdr:row>
      <xdr:rowOff>166742</xdr:rowOff>
    </xdr:to>
    <xdr:sp macro="" textlink="">
      <xdr:nvSpPr>
        <xdr:cNvPr id="2" name="CustomShape 1" hidden="1">
          <a:extLst>
            <a:ext uri="{FF2B5EF4-FFF2-40B4-BE49-F238E27FC236}">
              <a16:creationId xmlns:a16="http://schemas.microsoft.com/office/drawing/2014/main" id="{42750562-6F6D-4547-9A85-43E94B842975}"/>
            </a:ext>
          </a:extLst>
        </xdr:cNvPr>
        <xdr:cNvSpPr/>
      </xdr:nvSpPr>
      <xdr:spPr>
        <a:xfrm>
          <a:off x="0" y="0"/>
          <a:ext cx="12614213" cy="13374742"/>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904813</xdr:colOff>
      <xdr:row>65</xdr:row>
      <xdr:rowOff>166742</xdr:rowOff>
    </xdr:to>
    <xdr:sp macro="" textlink="">
      <xdr:nvSpPr>
        <xdr:cNvPr id="3" name="CustomShape 1" hidden="1">
          <a:extLst>
            <a:ext uri="{FF2B5EF4-FFF2-40B4-BE49-F238E27FC236}">
              <a16:creationId xmlns:a16="http://schemas.microsoft.com/office/drawing/2014/main" id="{01D934A7-DF58-8541-B590-0424A1934B9D}"/>
            </a:ext>
          </a:extLst>
        </xdr:cNvPr>
        <xdr:cNvSpPr/>
      </xdr:nvSpPr>
      <xdr:spPr>
        <a:xfrm>
          <a:off x="0" y="0"/>
          <a:ext cx="12614213" cy="13374742"/>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904813</xdr:colOff>
      <xdr:row>65</xdr:row>
      <xdr:rowOff>166742</xdr:rowOff>
    </xdr:to>
    <xdr:sp macro="" textlink="">
      <xdr:nvSpPr>
        <xdr:cNvPr id="4" name="CustomShape 1" hidden="1">
          <a:extLst>
            <a:ext uri="{FF2B5EF4-FFF2-40B4-BE49-F238E27FC236}">
              <a16:creationId xmlns:a16="http://schemas.microsoft.com/office/drawing/2014/main" id="{C5D685F1-920C-994F-88AD-83C824F1E7ED}"/>
            </a:ext>
          </a:extLst>
        </xdr:cNvPr>
        <xdr:cNvSpPr/>
      </xdr:nvSpPr>
      <xdr:spPr>
        <a:xfrm>
          <a:off x="0" y="0"/>
          <a:ext cx="12614213" cy="13374742"/>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905173</xdr:colOff>
      <xdr:row>65</xdr:row>
      <xdr:rowOff>167102</xdr:rowOff>
    </xdr:to>
    <xdr:sp macro="" textlink="">
      <xdr:nvSpPr>
        <xdr:cNvPr id="5" name="CustomShape 1" hidden="1">
          <a:extLst>
            <a:ext uri="{FF2B5EF4-FFF2-40B4-BE49-F238E27FC236}">
              <a16:creationId xmlns:a16="http://schemas.microsoft.com/office/drawing/2014/main" id="{2362B4B4-DCA2-0C43-9B50-9CB43EF70AD0}"/>
            </a:ext>
          </a:extLst>
        </xdr:cNvPr>
        <xdr:cNvSpPr/>
      </xdr:nvSpPr>
      <xdr:spPr>
        <a:xfrm>
          <a:off x="0" y="0"/>
          <a:ext cx="12614573" cy="13375102"/>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905173</xdr:colOff>
      <xdr:row>65</xdr:row>
      <xdr:rowOff>167102</xdr:rowOff>
    </xdr:to>
    <xdr:sp macro="" textlink="">
      <xdr:nvSpPr>
        <xdr:cNvPr id="6" name="CustomShape 1" hidden="1">
          <a:extLst>
            <a:ext uri="{FF2B5EF4-FFF2-40B4-BE49-F238E27FC236}">
              <a16:creationId xmlns:a16="http://schemas.microsoft.com/office/drawing/2014/main" id="{126A8161-9E31-5A40-8803-CE9E848B07C7}"/>
            </a:ext>
          </a:extLst>
        </xdr:cNvPr>
        <xdr:cNvSpPr/>
      </xdr:nvSpPr>
      <xdr:spPr>
        <a:xfrm>
          <a:off x="0" y="0"/>
          <a:ext cx="12614573" cy="13375102"/>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905173</xdr:colOff>
      <xdr:row>65</xdr:row>
      <xdr:rowOff>167102</xdr:rowOff>
    </xdr:to>
    <xdr:sp macro="" textlink="">
      <xdr:nvSpPr>
        <xdr:cNvPr id="7" name="CustomShape 1" hidden="1">
          <a:extLst>
            <a:ext uri="{FF2B5EF4-FFF2-40B4-BE49-F238E27FC236}">
              <a16:creationId xmlns:a16="http://schemas.microsoft.com/office/drawing/2014/main" id="{C844B974-A7AD-C740-B59F-F95ECD2B633B}"/>
            </a:ext>
          </a:extLst>
        </xdr:cNvPr>
        <xdr:cNvSpPr/>
      </xdr:nvSpPr>
      <xdr:spPr>
        <a:xfrm>
          <a:off x="0" y="0"/>
          <a:ext cx="12614573" cy="13375102"/>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lmoNew/Dropbox/Gordita/Tekwa%20size%20biomass%20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Table1 &amp; Fig1"/>
      <sheetName val="Fig2A"/>
      <sheetName val="Fig2B"/>
      <sheetName val="FigS1"/>
      <sheetName val="FigS2-S3"/>
      <sheetName val="Data mentioned in MS"/>
      <sheetName val="major taxa to remove"/>
      <sheetName val="Sheet1"/>
      <sheetName val="Fig2C"/>
      <sheetName val="Table S1"/>
      <sheetName val="final data"/>
      <sheetName val="Inflection points"/>
    </sheetNames>
    <sheetDataSet>
      <sheetData sheetId="0" refreshError="1"/>
      <sheetData sheetId="1">
        <row r="3">
          <cell r="E3">
            <v>1.8112294863262299</v>
          </cell>
        </row>
        <row r="4">
          <cell r="E4">
            <v>6.3873513138830802</v>
          </cell>
        </row>
        <row r="7">
          <cell r="E7">
            <v>2.6880343242440601</v>
          </cell>
        </row>
        <row r="8">
          <cell r="E8">
            <v>3.64387348782425</v>
          </cell>
        </row>
        <row r="10">
          <cell r="E10">
            <v>3.4597511474140199</v>
          </cell>
        </row>
        <row r="13">
          <cell r="E13">
            <v>14.8813474357469</v>
          </cell>
        </row>
        <row r="14">
          <cell r="E14">
            <v>10</v>
          </cell>
        </row>
        <row r="18">
          <cell r="E18">
            <v>8.2532992370814799</v>
          </cell>
        </row>
        <row r="23">
          <cell r="E23">
            <v>10</v>
          </cell>
        </row>
        <row r="24">
          <cell r="E24">
            <v>3.73047280407657</v>
          </cell>
        </row>
      </sheetData>
      <sheetData sheetId="2">
        <row r="9">
          <cell r="D9">
            <v>3.6917824251731002</v>
          </cell>
        </row>
        <row r="23">
          <cell r="D23">
            <v>1.4375</v>
          </cell>
        </row>
      </sheetData>
      <sheetData sheetId="3" refreshError="1"/>
      <sheetData sheetId="4" refreshError="1"/>
      <sheetData sheetId="5" refreshError="1"/>
      <sheetData sheetId="6" refreshError="1"/>
      <sheetData sheetId="7" refreshError="1"/>
      <sheetData sheetId="8" refreshError="1"/>
      <sheetData sheetId="9" refreshError="1"/>
      <sheetData sheetId="10">
        <row r="2">
          <cell r="D2">
            <v>2.2334343768208401E+30</v>
          </cell>
        </row>
        <row r="5">
          <cell r="D5">
            <v>2.7700902512373301E+29</v>
          </cell>
        </row>
        <row r="6">
          <cell r="D6">
            <v>1.42559641073671E+29</v>
          </cell>
        </row>
        <row r="9">
          <cell r="D9">
            <v>1.1871815362445699E+29</v>
          </cell>
        </row>
      </sheetData>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23FF-DB17-F445-B329-6A37525016FC}">
  <dimension ref="A1:AMT43"/>
  <sheetViews>
    <sheetView tabSelected="1" topLeftCell="A3" workbookViewId="0">
      <selection activeCell="H26" sqref="H26"/>
    </sheetView>
  </sheetViews>
  <sheetFormatPr baseColWidth="10" defaultColWidth="8.83203125" defaultRowHeight="16" customHeight="1" x14ac:dyDescent="0.2"/>
  <cols>
    <col min="1" max="1" width="23.5" style="7" customWidth="1"/>
    <col min="2" max="2" width="17.83203125" style="7" customWidth="1"/>
    <col min="3" max="5" width="13" style="7" customWidth="1"/>
    <col min="6" max="6" width="15.33203125" style="21" customWidth="1"/>
    <col min="7" max="10" width="14" style="21" customWidth="1"/>
    <col min="11" max="11" width="17.1640625" style="7" customWidth="1"/>
    <col min="12" max="12" width="10.1640625" style="7" customWidth="1"/>
    <col min="13" max="13" width="12.6640625" style="7" customWidth="1"/>
    <col min="14" max="14" width="12" style="7" customWidth="1"/>
    <col min="15" max="15" width="14.5" style="7" customWidth="1"/>
    <col min="16" max="16" width="14.33203125" style="21" customWidth="1"/>
    <col min="17" max="17" width="12.5" style="7" customWidth="1"/>
    <col min="18" max="18" width="12.1640625" style="7" customWidth="1"/>
    <col min="19" max="19" width="16.1640625" style="7" customWidth="1"/>
    <col min="20" max="20" width="13.1640625" style="7" customWidth="1"/>
    <col min="21" max="1033" width="7.6640625" style="7" customWidth="1"/>
    <col min="1034" max="16384" width="8.83203125" style="8"/>
  </cols>
  <sheetData>
    <row r="1" spans="1:21" ht="16" customHeight="1" x14ac:dyDescent="0.2">
      <c r="A1" s="1" t="s">
        <v>0</v>
      </c>
      <c r="B1" s="2"/>
      <c r="C1" s="2"/>
      <c r="D1" s="2"/>
      <c r="E1" s="2"/>
      <c r="F1" s="2"/>
      <c r="G1" s="2"/>
      <c r="H1" s="2"/>
      <c r="I1" s="2"/>
      <c r="J1" s="2"/>
      <c r="K1" s="2"/>
      <c r="L1" s="2"/>
      <c r="M1" s="2"/>
      <c r="N1" s="3"/>
      <c r="O1" s="3"/>
      <c r="P1" s="4"/>
      <c r="Q1" s="5"/>
      <c r="R1" s="5"/>
      <c r="S1" s="5"/>
      <c r="T1" s="6"/>
    </row>
    <row r="2" spans="1:21" ht="16" customHeight="1" x14ac:dyDescent="0.2">
      <c r="A2" s="9" t="s">
        <v>1</v>
      </c>
      <c r="B2" s="10"/>
      <c r="C2" s="10"/>
      <c r="D2" s="11"/>
      <c r="E2" s="11"/>
      <c r="F2" s="12"/>
      <c r="G2" s="12"/>
      <c r="H2" s="12"/>
      <c r="I2" s="12"/>
      <c r="J2" s="12"/>
      <c r="K2" s="13" t="s">
        <v>2</v>
      </c>
      <c r="L2" s="10"/>
      <c r="M2" s="10"/>
      <c r="P2" s="14"/>
      <c r="T2" s="15"/>
    </row>
    <row r="3" spans="1:21" ht="16" customHeight="1" x14ac:dyDescent="0.2">
      <c r="A3" s="9" t="s">
        <v>3</v>
      </c>
      <c r="B3" s="10" t="s">
        <v>4</v>
      </c>
      <c r="C3" s="10" t="s">
        <v>5</v>
      </c>
      <c r="D3" s="10" t="s">
        <v>6</v>
      </c>
      <c r="E3" s="10" t="s">
        <v>7</v>
      </c>
      <c r="F3" s="16" t="s">
        <v>8</v>
      </c>
      <c r="G3" s="16" t="s">
        <v>9</v>
      </c>
      <c r="H3" s="16" t="s">
        <v>10</v>
      </c>
      <c r="I3" s="16" t="s">
        <v>11</v>
      </c>
      <c r="J3" s="16" t="s">
        <v>12</v>
      </c>
      <c r="K3" s="13" t="s">
        <v>3</v>
      </c>
      <c r="L3" s="10" t="s">
        <v>4</v>
      </c>
      <c r="M3" s="10" t="s">
        <v>5</v>
      </c>
      <c r="N3" s="10" t="s">
        <v>6</v>
      </c>
      <c r="O3" s="17" t="s">
        <v>7</v>
      </c>
      <c r="P3" s="17" t="s">
        <v>8</v>
      </c>
      <c r="Q3" s="16" t="s">
        <v>9</v>
      </c>
      <c r="R3" s="16" t="s">
        <v>10</v>
      </c>
      <c r="S3" s="16" t="s">
        <v>11</v>
      </c>
      <c r="T3" s="18" t="s">
        <v>12</v>
      </c>
    </row>
    <row r="4" spans="1:21" ht="16" customHeight="1" x14ac:dyDescent="0.2">
      <c r="A4" s="19" t="s">
        <v>13</v>
      </c>
      <c r="B4" s="20">
        <v>337.5</v>
      </c>
      <c r="C4" s="7">
        <v>1.2</v>
      </c>
      <c r="D4" s="8">
        <v>3000000000000</v>
      </c>
      <c r="E4" s="21">
        <f>5.5*1000*PI()*(0.05/2)^2</f>
        <v>10.799224746714915</v>
      </c>
      <c r="F4" s="21">
        <f>B4*10000000000000000/D4</f>
        <v>1125000</v>
      </c>
      <c r="G4" s="21">
        <v>2237840000</v>
      </c>
      <c r="H4" s="8" t="s">
        <v>14</v>
      </c>
      <c r="I4" s="8" t="s">
        <v>15</v>
      </c>
      <c r="K4" s="22" t="s">
        <v>16</v>
      </c>
      <c r="L4" s="23">
        <v>7.3522978635168004</v>
      </c>
      <c r="M4" s="24">
        <f>'[1]Table1 &amp; Fig1'!E4</f>
        <v>6.3873513138830802</v>
      </c>
      <c r="N4" s="25"/>
      <c r="O4" s="14">
        <f>((4/3)*PI()*0.0000004*(0.0002)^3)*1000000000000000*0.000000000000055</f>
        <v>7.3722707604240473E-16</v>
      </c>
      <c r="P4" s="14">
        <v>2.8562498949077045E-14</v>
      </c>
      <c r="Q4" s="14">
        <f>((4/3)*PI()*0.0000004*(0.005)^3)*1000000000000000*0.000000000000055</f>
        <v>1.1519173063162576E-11</v>
      </c>
      <c r="R4" s="8" t="s">
        <v>17</v>
      </c>
      <c r="S4" s="7" t="s">
        <v>18</v>
      </c>
      <c r="T4" s="15"/>
    </row>
    <row r="5" spans="1:21" ht="16" customHeight="1" x14ac:dyDescent="0.2">
      <c r="A5" s="19" t="s">
        <v>19</v>
      </c>
      <c r="B5" s="26">
        <v>112.5</v>
      </c>
      <c r="C5" s="7">
        <v>1.2</v>
      </c>
      <c r="E5" s="21">
        <v>3.7499999999999999E-3</v>
      </c>
      <c r="F5" s="21">
        <f>2.2*1000*PI()*(50/2)^2</f>
        <v>4319689.8986859657</v>
      </c>
      <c r="G5" s="21">
        <f>2.2*1000*PI()*(880/2)^2</f>
        <v>1338067143.0169647</v>
      </c>
      <c r="H5" s="8" t="s">
        <v>20</v>
      </c>
      <c r="I5" s="8" t="s">
        <v>21</v>
      </c>
      <c r="J5" s="8" t="s">
        <v>22</v>
      </c>
      <c r="K5" s="22" t="s">
        <v>23</v>
      </c>
      <c r="L5" s="27">
        <v>0.51570533091958903</v>
      </c>
      <c r="M5" s="28">
        <f>'[1]Table1 &amp; Fig1'!E8</f>
        <v>3.64387348782425</v>
      </c>
      <c r="O5" s="21">
        <f>((4/3)*PI()*0.0000004*(0.0002)^3)*1000000000000000*0.000000000000055</f>
        <v>7.3722707604240473E-16</v>
      </c>
      <c r="P5" s="14">
        <v>2.9086377628194218E-14</v>
      </c>
      <c r="Q5" s="14">
        <f>((4/3)*PI()*0.0000004*(0.0008)^3)*1000000000000000*0.000000000000055</f>
        <v>4.7182532866713903E-14</v>
      </c>
      <c r="R5" s="7" t="s">
        <v>24</v>
      </c>
      <c r="S5" s="7" t="s">
        <v>25</v>
      </c>
      <c r="T5" s="15"/>
      <c r="U5" s="29"/>
    </row>
    <row r="6" spans="1:21" ht="16" customHeight="1" x14ac:dyDescent="0.2">
      <c r="A6" s="19" t="s">
        <v>26</v>
      </c>
      <c r="B6" s="26">
        <f>4.9-L6*0.2</f>
        <v>2.5395990416690801</v>
      </c>
      <c r="C6" s="7">
        <v>2</v>
      </c>
      <c r="E6" s="21">
        <f>((4/3)*PI()*0.0000004*(0.005)^3)*1000000000000000*0.000000000000055</f>
        <v>1.1519173063162576E-11</v>
      </c>
      <c r="F6" s="21">
        <f>0.87*((4/3)*PI()*0.0000004*(0.015)^3)*1000000000000000*0.000000000000055+0.13*((4/3)*PI()*0.0000004*(0.005)^3)*1000000000000000*0.000000000000055</f>
        <v>2.7208286775189993E-10</v>
      </c>
      <c r="G6" s="21">
        <f>2.2*1000*PI()*(0.225/2)^2</f>
        <v>87.473720448390807</v>
      </c>
      <c r="H6" s="21" t="s">
        <v>27</v>
      </c>
      <c r="I6" s="8" t="s">
        <v>28</v>
      </c>
      <c r="J6" s="21" t="s">
        <v>29</v>
      </c>
      <c r="K6" s="22" t="s">
        <v>30</v>
      </c>
      <c r="L6" s="27">
        <v>11.8020047916546</v>
      </c>
      <c r="M6" s="28">
        <f>'[1]Table1 &amp; Fig1'!E10</f>
        <v>3.4597511474140199</v>
      </c>
      <c r="O6" s="14">
        <f>((4/3)*PI()*0.0000004*(0.002)^3)*1000000000000000*0.000000000000055</f>
        <v>7.372270760424047E-13</v>
      </c>
      <c r="P6" s="14">
        <v>1.5251646070105081E-11</v>
      </c>
      <c r="Q6" s="21">
        <v>9700000</v>
      </c>
      <c r="R6" s="7" t="s">
        <v>31</v>
      </c>
      <c r="S6" s="7" t="s">
        <v>32</v>
      </c>
      <c r="T6" s="15" t="s">
        <v>33</v>
      </c>
    </row>
    <row r="7" spans="1:21" ht="16" customHeight="1" x14ac:dyDescent="0.2">
      <c r="A7" s="19"/>
      <c r="E7" s="21"/>
      <c r="K7" s="22" t="s">
        <v>34</v>
      </c>
      <c r="L7" s="23">
        <v>1.6054762159650899</v>
      </c>
      <c r="M7" s="28">
        <f>'[1]Table1 &amp; Fig1'!E24</f>
        <v>3.73047280407657</v>
      </c>
      <c r="N7" s="7">
        <f>1.5E+22+3E+25+1.5E+24+4E+23</f>
        <v>3.1914999999999999E+25</v>
      </c>
      <c r="O7" s="21">
        <f>((4/3)*PI()*0.0000004*(0.002)^3)*1000000000000000*0.000000000000055</f>
        <v>7.372270760424047E-13</v>
      </c>
      <c r="P7" s="21">
        <f>L7*10^15/N7</f>
        <v>5.0304753751060319E-11</v>
      </c>
      <c r="Q7" s="21">
        <f>((4/3)*PI()*0.0000004*(2)^3)*1000000000000000*0.000000000000055</f>
        <v>7.3722707604240471E-4</v>
      </c>
      <c r="R7" s="7" t="s">
        <v>35</v>
      </c>
      <c r="S7" s="8" t="s">
        <v>36</v>
      </c>
      <c r="T7" s="15"/>
    </row>
    <row r="8" spans="1:21" ht="16" customHeight="1" x14ac:dyDescent="0.2">
      <c r="A8" s="19"/>
      <c r="E8" s="21"/>
      <c r="K8" s="22" t="s">
        <v>37</v>
      </c>
      <c r="L8" s="23">
        <v>0.21156795039780801</v>
      </c>
      <c r="M8" s="28">
        <f>'[1]Table1 &amp; Fig1'!E13</f>
        <v>14.8813474357469</v>
      </c>
      <c r="O8" s="21">
        <f>0.0001*0.3*0.5</f>
        <v>1.5E-5</v>
      </c>
      <c r="P8" s="14">
        <v>2.0000000000000001E-4</v>
      </c>
      <c r="Q8" s="21">
        <f>4000*0.3*0.5</f>
        <v>600</v>
      </c>
      <c r="R8" s="7" t="s">
        <v>38</v>
      </c>
      <c r="S8" s="7" t="s">
        <v>39</v>
      </c>
      <c r="T8" s="15"/>
    </row>
    <row r="9" spans="1:21" ht="16" customHeight="1" x14ac:dyDescent="0.2">
      <c r="A9" s="19"/>
      <c r="K9" s="22" t="s">
        <v>40</v>
      </c>
      <c r="L9" s="23">
        <v>5.5372566149999997E-2</v>
      </c>
      <c r="M9" s="7">
        <v>1.1000000000000001</v>
      </c>
      <c r="O9" s="21">
        <f>25000*0.3*0.5</f>
        <v>3750</v>
      </c>
      <c r="P9" s="14">
        <v>8126.768024096712</v>
      </c>
      <c r="Q9" s="21">
        <f>75000*0.3*0.5</f>
        <v>11250</v>
      </c>
      <c r="R9" s="7" t="s">
        <v>41</v>
      </c>
      <c r="T9" s="15"/>
    </row>
    <row r="10" spans="1:21" ht="16" customHeight="1" x14ac:dyDescent="0.2">
      <c r="A10" s="19"/>
      <c r="K10" s="22" t="s">
        <v>42</v>
      </c>
      <c r="L10" s="23">
        <v>0.10714686353151</v>
      </c>
      <c r="M10" s="7">
        <v>1.1000000000000001</v>
      </c>
      <c r="O10" s="21">
        <f>1800*0.3*0.5</f>
        <v>270</v>
      </c>
      <c r="P10" s="14">
        <v>20804.576991293041</v>
      </c>
      <c r="Q10" s="21">
        <f>1500000*0.3*0.5</f>
        <v>225000</v>
      </c>
      <c r="R10" s="7" t="s">
        <v>43</v>
      </c>
      <c r="S10" s="7" t="s">
        <v>44</v>
      </c>
      <c r="T10" s="15"/>
    </row>
    <row r="11" spans="1:21" ht="16" customHeight="1" x14ac:dyDescent="0.2">
      <c r="A11" s="19"/>
      <c r="K11" s="22" t="s">
        <v>45</v>
      </c>
      <c r="L11" s="23">
        <v>2.89064584032944E-3</v>
      </c>
      <c r="M11" s="28">
        <f>[1]Fig2A!D9</f>
        <v>3.6917824251731002</v>
      </c>
      <c r="O11" s="21">
        <f>0.255*0.3*0.5</f>
        <v>3.8249999999999999E-2</v>
      </c>
      <c r="P11" s="14">
        <f>16840*0.3*0.5</f>
        <v>2526</v>
      </c>
      <c r="Q11" s="21">
        <f>11000000*0.3*0.5</f>
        <v>1650000</v>
      </c>
      <c r="R11" s="8" t="s">
        <v>46</v>
      </c>
      <c r="S11" s="7" t="s">
        <v>47</v>
      </c>
      <c r="T11" s="15" t="s">
        <v>48</v>
      </c>
    </row>
    <row r="12" spans="1:21" ht="16" customHeight="1" x14ac:dyDescent="0.2">
      <c r="A12" s="19"/>
      <c r="K12" s="22" t="s">
        <v>49</v>
      </c>
      <c r="L12" s="23">
        <v>1.6580191678722701E-3</v>
      </c>
      <c r="M12" s="7">
        <v>10</v>
      </c>
      <c r="O12" s="21">
        <f>1.8*0.3*0.5</f>
        <v>0.27</v>
      </c>
      <c r="P12" s="14">
        <v>6.666666666666667</v>
      </c>
      <c r="Q12" s="21">
        <f>100000*0.3*0.5</f>
        <v>15000</v>
      </c>
      <c r="R12" s="7" t="s">
        <v>50</v>
      </c>
      <c r="S12" s="7" t="s">
        <v>51</v>
      </c>
      <c r="T12" s="15"/>
    </row>
    <row r="13" spans="1:21" ht="16" customHeight="1" x14ac:dyDescent="0.2">
      <c r="A13" s="19"/>
      <c r="K13" s="22" t="s">
        <v>52</v>
      </c>
      <c r="L13" s="23">
        <v>0.19850644723722199</v>
      </c>
      <c r="M13" s="7">
        <v>10</v>
      </c>
      <c r="N13" s="8"/>
      <c r="O13" s="14">
        <f>10^(((-1.956+-2.697)/2)+((2.753+4.051)/2)*(LOG10(0.14*(0.5))))*0.5*0.15</f>
        <v>4.1647102859783435E-8</v>
      </c>
      <c r="P13" s="14">
        <v>2.5925726555365788E-4</v>
      </c>
      <c r="Q13" s="21">
        <f>1500*0.3*0.5</f>
        <v>225</v>
      </c>
      <c r="R13" s="7" t="s">
        <v>53</v>
      </c>
      <c r="S13" s="7" t="s">
        <v>54</v>
      </c>
      <c r="T13" s="15"/>
    </row>
    <row r="14" spans="1:21" ht="16" customHeight="1" x14ac:dyDescent="0.2">
      <c r="A14" s="19"/>
      <c r="K14" s="22" t="s">
        <v>55</v>
      </c>
      <c r="L14" s="23">
        <v>5.6116584681630399E-3</v>
      </c>
      <c r="M14" s="7">
        <v>10</v>
      </c>
      <c r="N14" s="8"/>
      <c r="O14" s="14">
        <f>10^(((-1.956+-2.697)/2)+((2.753+4.051)/2)*(LOG10(0.14*(0.0189))))*0.5*0.15</f>
        <v>6.0285365535615137E-13</v>
      </c>
      <c r="P14" s="14">
        <f>0.05*10^-6</f>
        <v>4.9999999999999998E-8</v>
      </c>
      <c r="Q14" s="21">
        <f>10^(((-1.956+-2.697)/2)+((2.753+4.051)/2)*(LOG10(0.14*(0.6))))*0.5*0.15</f>
        <v>7.7438939098575471E-8</v>
      </c>
      <c r="R14" s="7" t="s">
        <v>56</v>
      </c>
      <c r="S14" s="7" t="s">
        <v>57</v>
      </c>
      <c r="T14" s="15" t="s">
        <v>58</v>
      </c>
    </row>
    <row r="15" spans="1:21" ht="16" customHeight="1" x14ac:dyDescent="0.2">
      <c r="A15" s="19"/>
      <c r="K15" s="30" t="s">
        <v>59</v>
      </c>
      <c r="L15" s="23">
        <v>3.0000000000000001E-3</v>
      </c>
      <c r="M15" s="7">
        <v>100</v>
      </c>
      <c r="N15" s="8"/>
      <c r="O15" s="14">
        <f>0.18*0.3*0.5</f>
        <v>2.7E-2</v>
      </c>
      <c r="P15" s="14">
        <f>0.3*0.5*7*10^2</f>
        <v>105</v>
      </c>
      <c r="Q15" s="14">
        <f>1200000*0.5*0.3</f>
        <v>180000</v>
      </c>
      <c r="R15" s="8" t="s">
        <v>60</v>
      </c>
      <c r="S15" s="7" t="s">
        <v>61</v>
      </c>
      <c r="T15" s="15" t="s">
        <v>62</v>
      </c>
    </row>
    <row r="16" spans="1:21" ht="16" customHeight="1" thickBot="1" x14ac:dyDescent="0.25">
      <c r="A16" s="31"/>
      <c r="B16" s="32"/>
      <c r="C16" s="32"/>
      <c r="D16" s="32"/>
      <c r="E16" s="32"/>
      <c r="F16" s="33"/>
      <c r="G16" s="33"/>
      <c r="H16" s="33"/>
      <c r="I16" s="33"/>
      <c r="J16" s="33"/>
      <c r="K16" s="34" t="s">
        <v>63</v>
      </c>
      <c r="L16" s="35">
        <f>5501134700000*0.1/10^15</f>
        <v>5.5011347000000004E-4</v>
      </c>
      <c r="M16" s="32">
        <v>100</v>
      </c>
      <c r="N16" s="36"/>
      <c r="O16" s="37">
        <f>((10^-4.462)*7.7^3.201)*0.3*0.5</f>
        <v>3.5624441982982941E-3</v>
      </c>
      <c r="P16" s="37">
        <v>1</v>
      </c>
      <c r="Q16" s="37">
        <f>50000*0.5*0.3</f>
        <v>7500</v>
      </c>
      <c r="R16" s="36" t="s">
        <v>64</v>
      </c>
      <c r="S16" s="36" t="s">
        <v>65</v>
      </c>
      <c r="T16" s="38" t="s">
        <v>66</v>
      </c>
    </row>
    <row r="17" spans="1:31 1034:1034" ht="16" customHeight="1" thickBot="1" x14ac:dyDescent="0.25">
      <c r="N17" s="8"/>
      <c r="O17" s="8"/>
      <c r="P17" s="14"/>
    </row>
    <row r="18" spans="1:31 1034:1034" ht="16" customHeight="1" x14ac:dyDescent="0.2">
      <c r="A18" s="1" t="s">
        <v>67</v>
      </c>
      <c r="B18" s="2"/>
      <c r="C18" s="2"/>
      <c r="D18" s="2"/>
      <c r="E18" s="2"/>
      <c r="F18" s="2"/>
      <c r="G18" s="2"/>
      <c r="H18" s="2"/>
      <c r="I18" s="2"/>
      <c r="J18" s="2"/>
      <c r="K18" s="2"/>
      <c r="L18" s="2"/>
      <c r="M18" s="2"/>
      <c r="N18" s="3"/>
      <c r="O18" s="3"/>
      <c r="P18" s="4"/>
      <c r="Q18" s="5"/>
      <c r="R18" s="5"/>
      <c r="S18" s="5"/>
      <c r="T18" s="6"/>
    </row>
    <row r="19" spans="1:31 1034:1034" ht="16" customHeight="1" x14ac:dyDescent="0.2">
      <c r="A19" s="9" t="s">
        <v>1</v>
      </c>
      <c r="B19" s="10"/>
      <c r="C19" s="10"/>
      <c r="D19" s="11"/>
      <c r="E19" s="11"/>
      <c r="F19" s="12"/>
      <c r="G19" s="12"/>
      <c r="H19" s="12"/>
      <c r="I19" s="12"/>
      <c r="J19" s="12"/>
      <c r="K19" s="13" t="s">
        <v>2</v>
      </c>
      <c r="L19" s="10"/>
      <c r="M19" s="10"/>
      <c r="N19" s="8"/>
      <c r="O19" s="8"/>
      <c r="P19" s="14"/>
      <c r="T19" s="15"/>
    </row>
    <row r="20" spans="1:31 1034:1034" ht="16" customHeight="1" x14ac:dyDescent="0.2">
      <c r="A20" s="9" t="s">
        <v>3</v>
      </c>
      <c r="B20" s="10" t="s">
        <v>4</v>
      </c>
      <c r="C20" s="10" t="s">
        <v>5</v>
      </c>
      <c r="D20" s="10" t="s">
        <v>6</v>
      </c>
      <c r="E20" s="10" t="s">
        <v>7</v>
      </c>
      <c r="F20" s="16" t="s">
        <v>8</v>
      </c>
      <c r="G20" s="16" t="s">
        <v>9</v>
      </c>
      <c r="H20" s="16" t="s">
        <v>10</v>
      </c>
      <c r="I20" s="16" t="s">
        <v>11</v>
      </c>
      <c r="J20" s="16" t="s">
        <v>12</v>
      </c>
      <c r="K20" s="13" t="s">
        <v>3</v>
      </c>
      <c r="L20" s="10" t="s">
        <v>4</v>
      </c>
      <c r="M20" s="10" t="s">
        <v>5</v>
      </c>
      <c r="N20" s="10" t="s">
        <v>6</v>
      </c>
      <c r="O20" s="17" t="s">
        <v>7</v>
      </c>
      <c r="P20" s="16" t="s">
        <v>8</v>
      </c>
      <c r="Q20" s="16" t="s">
        <v>9</v>
      </c>
      <c r="R20" s="16" t="s">
        <v>10</v>
      </c>
      <c r="S20" s="16" t="s">
        <v>11</v>
      </c>
      <c r="T20" s="18" t="s">
        <v>12</v>
      </c>
    </row>
    <row r="21" spans="1:31 1034:1034" ht="16" customHeight="1" x14ac:dyDescent="0.2">
      <c r="A21" s="19" t="s">
        <v>68</v>
      </c>
      <c r="B21" s="39">
        <v>3.95</v>
      </c>
      <c r="C21" s="7">
        <v>1.4</v>
      </c>
      <c r="D21" s="10"/>
      <c r="E21" s="21">
        <f>(16.5*1000*PI()*(1.5/2)^2)*3.95/(3.95-1.11)</f>
        <v>40554.130959054426</v>
      </c>
      <c r="F21" s="21">
        <f>(16.5*1000*PI()*(6/2)^2)*3.95/(3.95-1.11)</f>
        <v>648866.09534487082</v>
      </c>
      <c r="G21" s="21">
        <f>(16.5*1000*PI()*(40/2)^2)*3.95/(3.95-1.11)</f>
        <v>28838493.126438707</v>
      </c>
      <c r="H21" s="21" t="s">
        <v>69</v>
      </c>
      <c r="I21" s="21" t="s">
        <v>70</v>
      </c>
      <c r="J21" s="21" t="s">
        <v>71</v>
      </c>
      <c r="K21" s="22" t="s">
        <v>72</v>
      </c>
      <c r="L21" s="23">
        <v>1.3269340958024201</v>
      </c>
      <c r="M21" s="26">
        <f>'[1]Table1 &amp; Fig1'!E3</f>
        <v>1.8112294863262299</v>
      </c>
      <c r="N21" s="25"/>
      <c r="O21" s="40">
        <v>5.4999999999999996E-16</v>
      </c>
      <c r="P21" s="21">
        <v>1.3191728099056888E-14</v>
      </c>
      <c r="Q21" s="21">
        <v>1.1E-4</v>
      </c>
      <c r="R21" s="8" t="s">
        <v>73</v>
      </c>
      <c r="S21" s="8" t="s">
        <v>74</v>
      </c>
      <c r="T21" s="15"/>
    </row>
    <row r="22" spans="1:31 1034:1034" ht="16" customHeight="1" x14ac:dyDescent="0.2">
      <c r="A22" s="19" t="s">
        <v>75</v>
      </c>
      <c r="B22" s="41">
        <v>0.1125</v>
      </c>
      <c r="C22" s="7">
        <v>10</v>
      </c>
      <c r="E22" s="21">
        <f>(0.25*0.03)*0.35</f>
        <v>2.6249999999999997E-3</v>
      </c>
      <c r="F22" s="21">
        <f>((2514000/10000)*PI()*(33/2)^2)*0.35</f>
        <v>75257.723808704861</v>
      </c>
      <c r="G22" s="21">
        <f>((2514000/10000)*PI()*(1000/2)^2)*0.35</f>
        <v>69107184.397341475</v>
      </c>
      <c r="H22" s="7" t="s">
        <v>76</v>
      </c>
      <c r="I22" s="8" t="s">
        <v>77</v>
      </c>
      <c r="J22" s="8" t="s">
        <v>78</v>
      </c>
      <c r="K22" s="22" t="s">
        <v>79</v>
      </c>
      <c r="L22" s="23">
        <v>0.33173352395060401</v>
      </c>
      <c r="M22" s="28">
        <f>'[1]Table1 &amp; Fig1'!E7</f>
        <v>2.6880343242440601</v>
      </c>
      <c r="N22" s="25"/>
      <c r="O22" s="40">
        <v>1.4744541520848091E-17</v>
      </c>
      <c r="P22" s="21">
        <v>1.2176979783744844E-14</v>
      </c>
      <c r="Q22" s="21">
        <v>9.8999999999999994E-11</v>
      </c>
      <c r="R22" s="8" t="s">
        <v>80</v>
      </c>
      <c r="S22" s="8" t="s">
        <v>81</v>
      </c>
      <c r="T22" s="15"/>
    </row>
    <row r="23" spans="1:31 1034:1034" ht="16" customHeight="1" x14ac:dyDescent="0.2">
      <c r="A23" s="19" t="s">
        <v>82</v>
      </c>
      <c r="B23" s="41">
        <v>0.138293166859394</v>
      </c>
      <c r="C23" s="7">
        <v>10</v>
      </c>
      <c r="E23" s="21">
        <f>(100000*0.003/60)*0.1*0.27</f>
        <v>0.13500000000000001</v>
      </c>
      <c r="F23" s="14">
        <v>2</v>
      </c>
      <c r="G23" s="21">
        <f>100000*0.1*0.27</f>
        <v>2700</v>
      </c>
      <c r="H23" s="21" t="s">
        <v>83</v>
      </c>
      <c r="I23" s="21" t="s">
        <v>84</v>
      </c>
      <c r="J23" s="7" t="s">
        <v>85</v>
      </c>
      <c r="K23" s="22" t="s">
        <v>86</v>
      </c>
      <c r="L23" s="27">
        <v>1.0583457350294649</v>
      </c>
      <c r="M23" s="28">
        <f>'[1]Table1 &amp; Fig1'!E23</f>
        <v>10</v>
      </c>
      <c r="N23" s="25">
        <f>5E+26-N7</f>
        <v>4.6808500000000001E+26</v>
      </c>
      <c r="O23" s="21">
        <f>((4/3)*PI()*0.0000004*(0.0025)^3)*1000000000000000*0.000000000000055</f>
        <v>1.439896632895322E-12</v>
      </c>
      <c r="P23" s="21">
        <f>(L23*10^15)/N23</f>
        <v>2.2610118568838247E-12</v>
      </c>
      <c r="Q23" s="21">
        <f>((4/3)*PI()*0.0000004*(2)^3)*1000000000000000*0.000000000000055</f>
        <v>7.3722707604240471E-4</v>
      </c>
      <c r="R23" s="8" t="s">
        <v>87</v>
      </c>
      <c r="S23" s="42" t="s">
        <v>88</v>
      </c>
      <c r="T23" s="15"/>
    </row>
    <row r="24" spans="1:31 1034:1034" ht="16" customHeight="1" x14ac:dyDescent="0.2">
      <c r="A24" s="19" t="s">
        <v>89</v>
      </c>
      <c r="B24" s="41">
        <v>0.12570215220039599</v>
      </c>
      <c r="C24" s="7">
        <v>10</v>
      </c>
      <c r="E24" s="21">
        <f>50*0.000000000000001</f>
        <v>5.0000000000000002E-14</v>
      </c>
      <c r="F24" s="21">
        <f>2*E24/0.6</f>
        <v>1.6666666666666667E-13</v>
      </c>
      <c r="G24" s="21">
        <f>10^(LOG10(F24)+(LOG10(F24)-LOG10(E24)))</f>
        <v>5.5555555555555438E-13</v>
      </c>
      <c r="H24" s="7" t="s">
        <v>90</v>
      </c>
      <c r="I24" s="21" t="s">
        <v>91</v>
      </c>
      <c r="J24" s="21" t="s">
        <v>92</v>
      </c>
      <c r="K24" s="22" t="s">
        <v>93</v>
      </c>
      <c r="L24" s="23">
        <v>0.94035514834451595</v>
      </c>
      <c r="M24" s="28">
        <f>'[1]Table1 &amp; Fig1'!E14</f>
        <v>10</v>
      </c>
      <c r="N24" s="25"/>
      <c r="O24" s="40">
        <v>3.5374178274597891E-8</v>
      </c>
      <c r="P24" s="21">
        <v>7.084442894553283E-6</v>
      </c>
      <c r="Q24" s="14">
        <f>(20000)*0.3*0.5</f>
        <v>3000</v>
      </c>
      <c r="R24" s="8" t="s">
        <v>94</v>
      </c>
      <c r="S24" s="8" t="s">
        <v>95</v>
      </c>
      <c r="T24" s="15"/>
    </row>
    <row r="25" spans="1:31 1034:1034" ht="16" customHeight="1" x14ac:dyDescent="0.2">
      <c r="A25" s="19" t="s">
        <v>96</v>
      </c>
      <c r="B25" s="41">
        <v>0.29761805756993898</v>
      </c>
      <c r="C25" s="7">
        <v>10</v>
      </c>
      <c r="E25" s="21">
        <v>1.0524335389525807E-13</v>
      </c>
      <c r="F25" s="21">
        <f>2*E25/1</f>
        <v>2.1048670779051614E-13</v>
      </c>
      <c r="G25" s="21">
        <f>10^(LOG10(F25)+(LOG10(F25)-LOG10(E25)))</f>
        <v>4.2097341558103182E-13</v>
      </c>
      <c r="H25" s="21" t="s">
        <v>97</v>
      </c>
      <c r="I25" s="21" t="s">
        <v>91</v>
      </c>
      <c r="J25" s="21" t="s">
        <v>92</v>
      </c>
      <c r="K25" s="22" t="s">
        <v>98</v>
      </c>
      <c r="L25" s="23">
        <v>0.66761088353510201</v>
      </c>
      <c r="M25" s="28">
        <f>'[1]Table1 &amp; Fig1'!E18</f>
        <v>8.2532992370814799</v>
      </c>
      <c r="O25" s="21">
        <v>1.4999999999999999E-4</v>
      </c>
      <c r="P25" s="21">
        <v>0.627415817042552</v>
      </c>
      <c r="Q25" s="21">
        <v>4626000</v>
      </c>
      <c r="R25" s="8" t="s">
        <v>99</v>
      </c>
      <c r="S25" s="8" t="s">
        <v>100</v>
      </c>
      <c r="T25" s="15"/>
    </row>
    <row r="26" spans="1:31 1034:1034" ht="16" customHeight="1" thickBot="1" x14ac:dyDescent="0.25">
      <c r="A26" s="19" t="s">
        <v>101</v>
      </c>
      <c r="B26" s="39">
        <v>0.30659419433511798</v>
      </c>
      <c r="C26" s="7">
        <v>10</v>
      </c>
      <c r="E26" s="7">
        <f>24*10^-12</f>
        <v>2.4000000000000001E-11</v>
      </c>
      <c r="F26" s="21">
        <f>9075*10^-12</f>
        <v>9.0750000000000002E-9</v>
      </c>
      <c r="G26" s="21">
        <f>5113670.12916506*10^-12</f>
        <v>5.1136701291650598E-6</v>
      </c>
      <c r="H26" s="21" t="s">
        <v>146</v>
      </c>
      <c r="I26" s="21" t="s">
        <v>145</v>
      </c>
      <c r="J26" s="8" t="s">
        <v>102</v>
      </c>
      <c r="K26" s="22" t="s">
        <v>103</v>
      </c>
      <c r="L26" s="23">
        <v>0.181984847615171</v>
      </c>
      <c r="M26" s="28">
        <v>10</v>
      </c>
      <c r="N26" s="39"/>
      <c r="O26" s="21">
        <v>1.3297347072630188E-2</v>
      </c>
      <c r="P26" s="21">
        <v>4.0222791893572462E-4</v>
      </c>
      <c r="Q26" s="21">
        <v>39798</v>
      </c>
      <c r="R26" s="8" t="s">
        <v>104</v>
      </c>
      <c r="S26" s="8" t="s">
        <v>105</v>
      </c>
      <c r="T26" s="15"/>
    </row>
    <row r="27" spans="1:31 1034:1034" ht="16" customHeight="1" x14ac:dyDescent="0.2">
      <c r="A27" s="19" t="s">
        <v>106</v>
      </c>
      <c r="B27" s="39">
        <v>0.27946377224964197</v>
      </c>
      <c r="C27" s="7">
        <v>10</v>
      </c>
      <c r="E27" s="14">
        <f>((4/3)*PI()*0.0000004*(0.005)^3)*1000000000000000*0.000000000000055</f>
        <v>1.1519173063162576E-11</v>
      </c>
      <c r="F27" s="21">
        <f>AVERAGE(((4/3)*PI()*0.0000004*(2)^3)*1000000000000000*0.000000000000055,((4/3)*PI()*0.0000004*(1.5)^3)*1000000000000000*0.000000000000055)</f>
        <v>5.2412237437389703E-4</v>
      </c>
      <c r="G27" s="14">
        <f>((4/3)*PI()*0.0000004*(8)^3)*1000000000000000*0.000000000000055</f>
        <v>4.7182532866713901E-2</v>
      </c>
      <c r="H27" s="21" t="s">
        <v>107</v>
      </c>
      <c r="I27" s="21" t="s">
        <v>108</v>
      </c>
      <c r="J27" s="21" t="s">
        <v>109</v>
      </c>
      <c r="K27" s="22" t="s">
        <v>110</v>
      </c>
      <c r="L27" s="23">
        <v>0.04</v>
      </c>
      <c r="M27" s="28">
        <v>10</v>
      </c>
      <c r="O27" s="21">
        <v>1.0053096491487338E-5</v>
      </c>
      <c r="P27" s="21">
        <v>5.0873307541632155E-3</v>
      </c>
      <c r="Q27" s="21">
        <v>100000</v>
      </c>
      <c r="R27" s="8" t="s">
        <v>111</v>
      </c>
      <c r="S27" s="8" t="s">
        <v>112</v>
      </c>
      <c r="U27" s="43" t="s">
        <v>113</v>
      </c>
      <c r="V27" s="5" t="s">
        <v>114</v>
      </c>
      <c r="W27" s="5" t="s">
        <v>115</v>
      </c>
      <c r="X27" s="5" t="s">
        <v>116</v>
      </c>
      <c r="Y27" s="5"/>
      <c r="Z27" s="5" t="s">
        <v>117</v>
      </c>
      <c r="AA27" s="5" t="s">
        <v>118</v>
      </c>
      <c r="AB27" s="5" t="s">
        <v>119</v>
      </c>
      <c r="AC27" s="5" t="s">
        <v>120</v>
      </c>
      <c r="AD27" s="5" t="s">
        <v>121</v>
      </c>
      <c r="AE27" s="6" t="s">
        <v>122</v>
      </c>
    </row>
    <row r="28" spans="1:31 1034:1034" ht="16" customHeight="1" thickBot="1" x14ac:dyDescent="0.25">
      <c r="A28" s="44"/>
      <c r="B28" s="45"/>
      <c r="C28" s="46"/>
      <c r="D28" s="46"/>
      <c r="E28" s="46"/>
      <c r="F28" s="47"/>
      <c r="G28" s="47"/>
      <c r="H28" s="47"/>
      <c r="I28" s="47"/>
      <c r="J28" s="47"/>
      <c r="K28" s="22" t="s">
        <v>123</v>
      </c>
      <c r="L28" s="23">
        <f>W28+Z28</f>
        <v>0.65269175681410119</v>
      </c>
      <c r="M28" s="28">
        <f>AE28</f>
        <v>3.9818081917978603</v>
      </c>
      <c r="O28" s="21">
        <f>L28/W28*1.62*1.54^3</f>
        <v>6.4075212227194323</v>
      </c>
      <c r="P28" s="21">
        <f>L28/W28*GEOMEAN((11.08*EXP(-1.57+1.375*LN(2.7^2))*1.51+4.77*EXP(-1.57+1.375*LN(4.45^2))*1.73+4.22*EXP(-0.579+1.375*LN(3.56^2))*1.62+9.8*EXP(-0.579+1.375*LN(8.57^2))*1.54)*0.12/29.87, (11.08*EXP(-1.57+1.375*LN(259^2))*1.51+4.77*EXP(-1.57+1.375*LN(106^2))*1.73+4.22*EXP(-0.579+1.375*LN(249^2))*1.62+9.8*EXP(-0.579+1.375*LN(138^2))*1.54)*0.12/29.87)</f>
        <v>1543.8465784927355</v>
      </c>
      <c r="Q28" s="21">
        <f>L28/W28*0.12*129*10^6</f>
        <v>16764238.57012987</v>
      </c>
      <c r="R28" s="8" t="s">
        <v>124</v>
      </c>
      <c r="S28" s="8" t="s">
        <v>125</v>
      </c>
      <c r="T28" s="7" t="s">
        <v>126</v>
      </c>
      <c r="U28" s="48">
        <f>(2123400000000000*0.2987*(11.08*EXP(-1.57+1.375*LN(2.7^2))*1.51/2.7^2+4.77*EXP(-1.57+1.375*LN(4.45^2))*1.73/4.45^2+4.22*EXP(-0.579+1.375*LN(3.56^2))*1.62/3.56^2+9.8*EXP(-0.579+1.375*LN(8.57^2))*1.54/8.57^2)/29.87)*0.12/10^15</f>
        <v>0.16534156222229954</v>
      </c>
      <c r="V28" s="32">
        <f xml:space="preserve"> (2123400000000000*0.2987*(11.08*EXP(-1.57+1.375*LN(259^2))*1.51/259^2+4.77*EXP(-1.57+1.375*LN(106^2))*1.73/106^2+4.22*EXP(-0.579+1.375*LN(249^2))*1.62/249^2+9.8*EXP(-0.579+1.375*LN(138^2))*1.54/138^2)/29.87)*0.12/10^15</f>
        <v>2.196890780814686</v>
      </c>
      <c r="W28" s="49">
        <f>GEOMEAN(U28,V28)</f>
        <v>0.60269175681410114</v>
      </c>
      <c r="X28" s="32">
        <f>V28/W28</f>
        <v>3.6451316215567751</v>
      </c>
      <c r="Y28" s="50"/>
      <c r="Z28" s="51">
        <v>0.05</v>
      </c>
      <c r="AA28" s="51">
        <f>Z28/M27</f>
        <v>5.0000000000000001E-3</v>
      </c>
      <c r="AB28" s="51">
        <f>Z28*M27</f>
        <v>0.5</v>
      </c>
      <c r="AC28" s="50">
        <f>U28+AA28</f>
        <v>0.17034156222229954</v>
      </c>
      <c r="AD28" s="50">
        <f>V28+AB28</f>
        <v>2.696890780814686</v>
      </c>
      <c r="AE28" s="38">
        <f>(AD28/L28+L28/AC28)/2</f>
        <v>3.9818081917978603</v>
      </c>
      <c r="AMT28" s="7"/>
    </row>
    <row r="29" spans="1:31 1034:1034" ht="16" customHeight="1" x14ac:dyDescent="0.2">
      <c r="A29" s="44"/>
      <c r="B29" s="52"/>
      <c r="C29" s="46"/>
      <c r="D29" s="46"/>
      <c r="E29" s="46"/>
      <c r="F29" s="47"/>
      <c r="G29" s="47"/>
      <c r="H29" s="47"/>
      <c r="I29" s="47"/>
      <c r="J29" s="47"/>
      <c r="K29" s="22" t="s">
        <v>127</v>
      </c>
      <c r="L29" s="23">
        <v>4.4536080000000004E-3</v>
      </c>
      <c r="M29" s="26">
        <f>[1]Fig2A!D23</f>
        <v>1.4375</v>
      </c>
      <c r="N29" s="7">
        <f>60*10^6</f>
        <v>60000000</v>
      </c>
      <c r="O29" s="21">
        <f>0.027*0.3*0.5*10^6</f>
        <v>4050</v>
      </c>
      <c r="P29" s="21">
        <f>L29*10^15/N29</f>
        <v>74226.8</v>
      </c>
      <c r="Q29" s="14">
        <f>199000000*0.3*0.5</f>
        <v>29850000</v>
      </c>
      <c r="R29" s="7" t="s">
        <v>128</v>
      </c>
      <c r="S29" s="8" t="s">
        <v>129</v>
      </c>
      <c r="T29" s="15" t="s">
        <v>130</v>
      </c>
    </row>
    <row r="30" spans="1:31 1034:1034" ht="16" customHeight="1" x14ac:dyDescent="0.2">
      <c r="A30" s="44"/>
      <c r="B30" s="52"/>
      <c r="C30" s="46"/>
      <c r="D30" s="46"/>
      <c r="E30" s="46"/>
      <c r="F30" s="47"/>
      <c r="G30" s="47"/>
      <c r="H30" s="47"/>
      <c r="I30" s="47"/>
      <c r="J30" s="47"/>
      <c r="K30" s="22" t="s">
        <v>131</v>
      </c>
      <c r="L30" s="23">
        <v>1.4E-2</v>
      </c>
      <c r="M30" s="28">
        <v>10</v>
      </c>
      <c r="O30" s="14">
        <f>0.3*0.5*0.05*10^-6</f>
        <v>7.4999999999999993E-9</v>
      </c>
      <c r="P30" s="14">
        <f>0.3*0.5*1.2*10^-6</f>
        <v>1.8E-7</v>
      </c>
      <c r="Q30" s="14">
        <f>0.3*0.5*80*10^-6</f>
        <v>1.2E-5</v>
      </c>
      <c r="R30" s="7" t="s">
        <v>132</v>
      </c>
      <c r="S30" s="7" t="s">
        <v>133</v>
      </c>
      <c r="T30" s="15" t="s">
        <v>134</v>
      </c>
    </row>
    <row r="31" spans="1:31 1034:1034" ht="16" customHeight="1" thickBot="1" x14ac:dyDescent="0.25">
      <c r="A31" s="31"/>
      <c r="B31" s="32"/>
      <c r="C31" s="32"/>
      <c r="D31" s="32"/>
      <c r="E31" s="32"/>
      <c r="F31" s="33"/>
      <c r="G31" s="33"/>
      <c r="H31" s="33"/>
      <c r="I31" s="33"/>
      <c r="J31" s="33"/>
      <c r="K31" s="48" t="s">
        <v>135</v>
      </c>
      <c r="L31" s="35">
        <v>0.32482014964352601</v>
      </c>
      <c r="M31" s="53">
        <v>10</v>
      </c>
      <c r="N31" s="32"/>
      <c r="O31" s="37">
        <f>((4/3)*PI()*0.0000004*(0.004)^3)*1000000000000000*0.000000000000055</f>
        <v>5.8978166083392376E-12</v>
      </c>
      <c r="P31" s="33">
        <v>1.3853820352396589E-11</v>
      </c>
      <c r="Q31" s="33">
        <f>0.3*0.5*10^-3.9</f>
        <v>1.8883881176912506E-5</v>
      </c>
      <c r="R31" s="54" t="s">
        <v>136</v>
      </c>
      <c r="S31" s="32" t="s">
        <v>137</v>
      </c>
      <c r="T31" s="38"/>
    </row>
    <row r="32" spans="1:31 1034:1034" ht="16" customHeight="1" thickBot="1" x14ac:dyDescent="0.25"/>
    <row r="33" spans="1:20" ht="16" customHeight="1" x14ac:dyDescent="0.2">
      <c r="K33" s="1" t="s">
        <v>138</v>
      </c>
      <c r="L33" s="2"/>
      <c r="M33" s="2"/>
      <c r="N33" s="5"/>
      <c r="O33" s="5"/>
      <c r="P33" s="4"/>
      <c r="Q33" s="5"/>
      <c r="R33" s="5"/>
      <c r="S33" s="5"/>
      <c r="T33" s="6"/>
    </row>
    <row r="34" spans="1:20" ht="16" customHeight="1" x14ac:dyDescent="0.2">
      <c r="K34" s="9" t="s">
        <v>3</v>
      </c>
      <c r="L34" s="10" t="s">
        <v>4</v>
      </c>
      <c r="M34" s="10" t="s">
        <v>5</v>
      </c>
      <c r="N34" s="10" t="s">
        <v>6</v>
      </c>
      <c r="O34" s="17" t="s">
        <v>7</v>
      </c>
      <c r="P34" s="17" t="s">
        <v>8</v>
      </c>
      <c r="Q34" s="16" t="s">
        <v>9</v>
      </c>
      <c r="R34" s="16" t="s">
        <v>10</v>
      </c>
      <c r="S34" s="16" t="s">
        <v>11</v>
      </c>
      <c r="T34" s="18" t="s">
        <v>12</v>
      </c>
    </row>
    <row r="35" spans="1:20" ht="16" customHeight="1" x14ac:dyDescent="0.2">
      <c r="K35" s="19" t="s">
        <v>139</v>
      </c>
      <c r="L35" s="20">
        <v>18.899999999999999</v>
      </c>
      <c r="M35" s="24">
        <v>3</v>
      </c>
      <c r="N35" s="40">
        <f>'[1]Table S1'!D2+'[1]Table S1'!D5</f>
        <v>2.5104434019445731E+30</v>
      </c>
      <c r="O35" s="14">
        <f>((4/3)*PI()*0.0000004*(0.00022)^3)*1000000000000000*0.000000000000055</f>
        <v>9.8124923821244065E-16</v>
      </c>
      <c r="P35" s="14">
        <v>2.0999999999999999E-14</v>
      </c>
      <c r="Q35" s="14">
        <f>((4/3)*PI()*0.0000004*(0.004)^3)*1000000000000000*0.000000000000055</f>
        <v>5.8978166083392376E-12</v>
      </c>
      <c r="R35" s="8" t="s">
        <v>140</v>
      </c>
      <c r="S35" s="55" t="s">
        <v>141</v>
      </c>
      <c r="T35" s="15"/>
    </row>
    <row r="36" spans="1:20" ht="16" customHeight="1" thickBot="1" x14ac:dyDescent="0.25">
      <c r="A36" s="21"/>
      <c r="K36" s="31" t="s">
        <v>142</v>
      </c>
      <c r="L36" s="56">
        <v>8.1</v>
      </c>
      <c r="M36" s="53">
        <v>3</v>
      </c>
      <c r="N36" s="57">
        <f>'[1]Table S1'!D6+'[1]Table S1'!D9</f>
        <v>2.6127779469812797E+29</v>
      </c>
      <c r="O36" s="37">
        <f>((4/3)*PI()*0.0000004*(0.0003)^3)*1000000000000000*0.000000000000055</f>
        <v>2.4881413816431152E-15</v>
      </c>
      <c r="P36" s="37">
        <v>2.0999999999999999E-14</v>
      </c>
      <c r="Q36" s="37">
        <f>((4/3)*PI()*0.0000004*(0.001)^3)*1000000000000000*0.000000000000055</f>
        <v>9.2153384505300587E-14</v>
      </c>
      <c r="R36" s="58" t="s">
        <v>143</v>
      </c>
      <c r="S36" s="59" t="s">
        <v>144</v>
      </c>
      <c r="T36" s="38"/>
    </row>
    <row r="37" spans="1:20" ht="16" customHeight="1" x14ac:dyDescent="0.2">
      <c r="A37" s="21"/>
    </row>
    <row r="38" spans="1:20" ht="16" customHeight="1" x14ac:dyDescent="0.2">
      <c r="A38" s="21"/>
      <c r="B38" s="8"/>
    </row>
    <row r="42" spans="1:20" ht="16" customHeight="1" x14ac:dyDescent="0.2">
      <c r="A42" s="8"/>
    </row>
    <row r="43" spans="1:20" ht="16" customHeight="1" x14ac:dyDescent="0.2">
      <c r="A43" s="8"/>
      <c r="B43" s="8"/>
      <c r="C43" s="8"/>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Edward Tekwa</dc:creator>
  <cp:lastModifiedBy>Edward Tekwa</cp:lastModifiedBy>
  <dcterms:created xsi:type="dcterms:W3CDTF">2020-05-27T15:26:21Z</dcterms:created>
  <dcterms:modified xsi:type="dcterms:W3CDTF">2021-11-18T22:24:04Z</dcterms:modified>
</cp:coreProperties>
</file>