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msedw\Downloads\"/>
    </mc:Choice>
  </mc:AlternateContent>
  <xr:revisionPtr revIDLastSave="0" documentId="13_ncr:1_{4FDCAA91-56FB-49FA-BCAC-56D41EADEA5E}" xr6:coauthVersionLast="47" xr6:coauthVersionMax="47" xr10:uidLastSave="{00000000-0000-0000-0000-000000000000}"/>
  <bookViews>
    <workbookView xWindow="-108" yWindow="-108" windowWidth="23256" windowHeight="13896" activeTab="1" xr2:uid="{FFABBF0B-2B21-4A64-8C37-B8FC7E96CA0D}"/>
  </bookViews>
  <sheets>
    <sheet name="BP" sheetId="1" r:id="rId1"/>
    <sheet name="INPUTS" sheetId="3" r:id="rId2"/>
    <sheet name="FLUXO AUTOMATICO" sheetId="5" r:id="rId3"/>
    <sheet name="RESUMO DESPESAS" sheetId="6" r:id="rId4"/>
    <sheet name="ESTRUTURA FINANCEIRA" sheetId="2" r:id="rId5"/>
  </sheets>
  <definedNames>
    <definedName name="CUB">INPUTS!$C$18</definedName>
    <definedName name="custocondominio">INPUTS!$C$20</definedName>
    <definedName name="custoconstrucao">INPUTS!$C$21</definedName>
    <definedName name="custofunrejus">INPUTS!$C$37</definedName>
    <definedName name="custoinss">INPUTS!$C$26</definedName>
    <definedName name="financiamento">INPUTS!$C$8</definedName>
    <definedName name="ganhodecapital">INPUTS!$C$29</definedName>
    <definedName name="jurosfinanc">INPUTS!$C$10</definedName>
    <definedName name="jurosmensais">INPUTS!$C$11</definedName>
    <definedName name="mesadesao">INPUTS!$D$25</definedName>
    <definedName name="mesadm">INPUTS!$D$23</definedName>
    <definedName name="mesalvara">INPUTS!$D$33</definedName>
    <definedName name="mesavaliacao">INPUTS!$D$31</definedName>
    <definedName name="mesaverbacao">INPUTS!$D$36</definedName>
    <definedName name="mesconstrucao">INPUTS!$D$21</definedName>
    <definedName name="mescorretagem">INPUTS!$D$27</definedName>
    <definedName name="mescvco">INPUTS!$D$34</definedName>
    <definedName name="mesesfinanc">INPUTS!$C$12</definedName>
    <definedName name="mesfinanc">INPUTS!$D$8</definedName>
    <definedName name="mesfunrejus">INPUTS!$D$37</definedName>
    <definedName name="mesinss">INPUTS!$D$26</definedName>
    <definedName name="mesir">INPUTS!$D$29</definedName>
    <definedName name="mesitbi">INPUTS!$D$28</definedName>
    <definedName name="mespagtofinanciamento">INPUTS!$D$39</definedName>
    <definedName name="mesprojeto">INPUTS!$D$22</definedName>
    <definedName name="mesregistrocartorio">INPUTS!$D$35</definedName>
    <definedName name="messucesso">INPUTS!$D$24</definedName>
    <definedName name="mesterreno">INPUTS!$D$19</definedName>
    <definedName name="mesterrenobanco">INPUTS!$D$38</definedName>
    <definedName name="mesvenda">INPUTS!$D$17</definedName>
    <definedName name="mesvistoria">INPUTS!$D$30</definedName>
    <definedName name="metragemcasa">INPUTS!$C$15</definedName>
    <definedName name="metragemterreno">INPUTS!$C$13</definedName>
    <definedName name="metragemvenda">INPUTS!$C$14</definedName>
    <definedName name="metroterreno">INPUTS!$C$13</definedName>
    <definedName name="perc.adm">INPUTS!$C$23</definedName>
    <definedName name="perc.corretagem">INPUTS!$C$27</definedName>
    <definedName name="perc.itbi">INPUTS!$C$28</definedName>
    <definedName name="perc.sucesso">INPUTS!$C$24</definedName>
    <definedName name="perc.terrenobanco">INPUTS!$C$38</definedName>
    <definedName name="prazoadesao">INPUTS!$E$25</definedName>
    <definedName name="prazoadm">INPUTS!$E$23</definedName>
    <definedName name="prazoalvara">INPUTS!$E$33</definedName>
    <definedName name="prazoalvará">INPUTS!$E$33</definedName>
    <definedName name="prazoavaliacao">INPUTS!$E$31</definedName>
    <definedName name="prazoaverbacao">INPUTS!$E$36</definedName>
    <definedName name="prazoconstrucao">INPUTS!$E$21</definedName>
    <definedName name="prazocorretagem">INPUTS!$E$27</definedName>
    <definedName name="prazocvco">INPUTS!$E$34</definedName>
    <definedName name="prazofinanc">INPUTS!$E$8</definedName>
    <definedName name="prazofunrejus">INPUTS!$E$37</definedName>
    <definedName name="prazoinss">INPUTS!$E$26</definedName>
    <definedName name="prazoir">INPUTS!$E$29</definedName>
    <definedName name="prazoitbi">INPUTS!$E$28</definedName>
    <definedName name="prazopagtofinanciamento">INPUTS!$E$39</definedName>
    <definedName name="prazoprojeto">INPUTS!$E$22</definedName>
    <definedName name="prazoregistrocartorio">INPUTS!$E$35</definedName>
    <definedName name="prazosucesso">INPUTS!$E$24</definedName>
    <definedName name="prazoterreno">INPUTS!$E$19</definedName>
    <definedName name="prazoterrenobanco">INPUTS!$E$38</definedName>
    <definedName name="prazovenda">INPUTS!$E$17</definedName>
    <definedName name="prazovistoria">INPUTS!$E$30</definedName>
    <definedName name="precoadesao">INPUTS!$C$25</definedName>
    <definedName name="precoavaliacao">INPUTS!$C$31</definedName>
    <definedName name="precoaverbacao">INPUTS!$C$36</definedName>
    <definedName name="preçom2construcao">INPUTS!$C$16</definedName>
    <definedName name="precom2venda">INPUTS!$C$17</definedName>
    <definedName name="precoprojetos">INPUTS!$C$22</definedName>
    <definedName name="precoregistrocartorio">INPUTS!$C$35</definedName>
    <definedName name="precotaxaseguro">INPUTS!$C$32</definedName>
    <definedName name="precoterreno">INPUTS!$C$19</definedName>
    <definedName name="precovistoria">INPUTS!$C$30</definedName>
    <definedName name="preçovistoria">INPUTS!$C$30</definedName>
    <definedName name="saldofinancconstrucao">INPUTS!$C$39</definedName>
    <definedName name="taxam2alvara">INPUTS!$C$33</definedName>
    <definedName name="taxam2cvco">INPUTS!$C$34</definedName>
    <definedName name="taxaterrenofinanciamento">INPUTS!$C$35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6" l="1"/>
  <c r="C26" i="6"/>
  <c r="C5" i="6"/>
  <c r="C22" i="6"/>
  <c r="C21" i="6"/>
  <c r="C20" i="6"/>
  <c r="C10" i="6"/>
  <c r="C9" i="6"/>
  <c r="C7" i="6"/>
  <c r="C6" i="6"/>
  <c r="D26" i="3"/>
  <c r="E4" i="5"/>
  <c r="E39" i="3"/>
  <c r="D39" i="3"/>
  <c r="D34" i="3"/>
  <c r="D36" i="3" s="1"/>
  <c r="C28" i="6" s="1"/>
  <c r="D33" i="3"/>
  <c r="D23" i="3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E5" i="5"/>
  <c r="E45" i="5"/>
  <c r="F45" i="5"/>
  <c r="E46" i="5"/>
  <c r="F46" i="5"/>
  <c r="J46" i="5"/>
  <c r="K46" i="5"/>
  <c r="E47" i="5"/>
  <c r="F47" i="5"/>
  <c r="J47" i="5"/>
  <c r="K47" i="5"/>
  <c r="E48" i="5"/>
  <c r="F48" i="5"/>
  <c r="J48" i="5"/>
  <c r="K48" i="5"/>
  <c r="E49" i="5"/>
  <c r="F49" i="5"/>
  <c r="J49" i="5"/>
  <c r="K49" i="5"/>
  <c r="E50" i="5"/>
  <c r="F50" i="5"/>
  <c r="J50" i="5"/>
  <c r="K50" i="5"/>
  <c r="E51" i="5"/>
  <c r="F51" i="5"/>
  <c r="J51" i="5"/>
  <c r="K51" i="5"/>
  <c r="E52" i="5"/>
  <c r="F52" i="5"/>
  <c r="J52" i="5"/>
  <c r="K52" i="5"/>
  <c r="E53" i="5"/>
  <c r="F53" i="5"/>
  <c r="J53" i="5"/>
  <c r="K53" i="5"/>
  <c r="E54" i="5"/>
  <c r="F54" i="5"/>
  <c r="J54" i="5"/>
  <c r="K54" i="5"/>
  <c r="F15" i="5"/>
  <c r="C11" i="3"/>
  <c r="C17" i="6" l="1"/>
  <c r="D38" i="3"/>
  <c r="K15" i="5"/>
  <c r="K16" i="5"/>
  <c r="K17" i="5"/>
  <c r="K18" i="5"/>
  <c r="F16" i="5"/>
  <c r="F17" i="5"/>
  <c r="F18" i="5"/>
  <c r="F19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E16" i="5"/>
  <c r="E17" i="5"/>
  <c r="E18" i="5"/>
  <c r="E19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15" i="5"/>
  <c r="C37" i="3"/>
  <c r="D35" i="3"/>
  <c r="C32" i="3"/>
  <c r="E23" i="3"/>
  <c r="D28" i="3"/>
  <c r="G20" i="5" s="1"/>
  <c r="D31" i="3"/>
  <c r="C30" i="3"/>
  <c r="C11" i="6" l="1"/>
  <c r="C8" i="6"/>
  <c r="C4" i="6" s="1"/>
  <c r="D37" i="3"/>
  <c r="I46" i="5"/>
  <c r="I50" i="5"/>
  <c r="I47" i="5"/>
  <c r="I51" i="5"/>
  <c r="I48" i="5"/>
  <c r="I52" i="5"/>
  <c r="I45" i="5"/>
  <c r="I49" i="5"/>
  <c r="I53" i="5"/>
  <c r="I54" i="5"/>
  <c r="D48" i="5"/>
  <c r="D52" i="5"/>
  <c r="D45" i="5"/>
  <c r="D49" i="5"/>
  <c r="D53" i="5"/>
  <c r="D54" i="5"/>
  <c r="D46" i="5"/>
  <c r="D50" i="5"/>
  <c r="D47" i="5"/>
  <c r="D51" i="5"/>
  <c r="H19" i="5"/>
  <c r="H46" i="5"/>
  <c r="H50" i="5"/>
  <c r="H54" i="5"/>
  <c r="H47" i="5"/>
  <c r="H51" i="5"/>
  <c r="H48" i="5"/>
  <c r="H52" i="5"/>
  <c r="H45" i="5"/>
  <c r="H49" i="5"/>
  <c r="H53" i="5"/>
  <c r="N48" i="5"/>
  <c r="N52" i="5"/>
  <c r="C49" i="5"/>
  <c r="C51" i="5"/>
  <c r="C45" i="5"/>
  <c r="N45" i="5"/>
  <c r="N49" i="5"/>
  <c r="C47" i="5"/>
  <c r="C46" i="5"/>
  <c r="C50" i="5"/>
  <c r="C54" i="5"/>
  <c r="N54" i="5"/>
  <c r="N46" i="5"/>
  <c r="N50" i="5"/>
  <c r="N47" i="5"/>
  <c r="N51" i="5"/>
  <c r="C48" i="5"/>
  <c r="C52" i="5"/>
  <c r="C53" i="5"/>
  <c r="N53" i="5"/>
  <c r="D24" i="5"/>
  <c r="D32" i="5"/>
  <c r="D40" i="5"/>
  <c r="D25" i="5"/>
  <c r="D33" i="5"/>
  <c r="D41" i="5"/>
  <c r="D20" i="5"/>
  <c r="D21" i="5"/>
  <c r="D26" i="5"/>
  <c r="D34" i="5"/>
  <c r="D42" i="5"/>
  <c r="D15" i="5"/>
  <c r="D29" i="5"/>
  <c r="D16" i="5"/>
  <c r="D30" i="5"/>
  <c r="D17" i="5"/>
  <c r="D27" i="5"/>
  <c r="D35" i="5"/>
  <c r="D43" i="5"/>
  <c r="D37" i="5"/>
  <c r="D22" i="5"/>
  <c r="D38" i="5"/>
  <c r="D28" i="5"/>
  <c r="D36" i="5"/>
  <c r="D44" i="5"/>
  <c r="D23" i="5"/>
  <c r="D31" i="5"/>
  <c r="D39" i="5"/>
  <c r="D18" i="5"/>
  <c r="D19" i="5"/>
  <c r="N31" i="5"/>
  <c r="N39" i="5"/>
  <c r="N17" i="5"/>
  <c r="C21" i="5"/>
  <c r="C37" i="5"/>
  <c r="N32" i="5"/>
  <c r="N40" i="5"/>
  <c r="N18" i="5"/>
  <c r="C22" i="5"/>
  <c r="C30" i="5"/>
  <c r="C38" i="5"/>
  <c r="C26" i="5"/>
  <c r="C19" i="5"/>
  <c r="N33" i="5"/>
  <c r="N41" i="5"/>
  <c r="N20" i="5"/>
  <c r="C23" i="5"/>
  <c r="C31" i="5"/>
  <c r="C39" i="5"/>
  <c r="C42" i="5"/>
  <c r="C43" i="5"/>
  <c r="N34" i="5"/>
  <c r="N42" i="5"/>
  <c r="C16" i="5"/>
  <c r="C24" i="5"/>
  <c r="C32" i="5"/>
  <c r="C40" i="5"/>
  <c r="C34" i="5"/>
  <c r="C27" i="5"/>
  <c r="N35" i="5"/>
  <c r="N43" i="5"/>
  <c r="N30" i="5"/>
  <c r="C15" i="5"/>
  <c r="C17" i="5"/>
  <c r="C25" i="5"/>
  <c r="C33" i="5"/>
  <c r="C41" i="5"/>
  <c r="C18" i="5"/>
  <c r="N15" i="5"/>
  <c r="C35" i="5"/>
  <c r="N36" i="5"/>
  <c r="N44" i="5"/>
  <c r="N19" i="5"/>
  <c r="N37" i="5"/>
  <c r="N38" i="5"/>
  <c r="N16" i="5"/>
  <c r="C20" i="5"/>
  <c r="C28" i="5"/>
  <c r="C36" i="5"/>
  <c r="C44" i="5"/>
  <c r="C29" i="5"/>
  <c r="H15" i="5"/>
  <c r="I40" i="5"/>
  <c r="I39" i="5"/>
  <c r="I28" i="5"/>
  <c r="I21" i="5"/>
  <c r="I20" i="5"/>
  <c r="I38" i="5"/>
  <c r="I27" i="5"/>
  <c r="I19" i="5"/>
  <c r="I37" i="5"/>
  <c r="I26" i="5"/>
  <c r="I18" i="5"/>
  <c r="I44" i="5"/>
  <c r="I36" i="5"/>
  <c r="I25" i="5"/>
  <c r="I17" i="5"/>
  <c r="I43" i="5"/>
  <c r="I35" i="5"/>
  <c r="I24" i="5"/>
  <c r="I16" i="5"/>
  <c r="I42" i="5"/>
  <c r="I34" i="5"/>
  <c r="I23" i="5"/>
  <c r="I15" i="5"/>
  <c r="I41" i="5"/>
  <c r="I33" i="5"/>
  <c r="I22" i="5"/>
  <c r="H41" i="5"/>
  <c r="D20" i="3"/>
  <c r="H42" i="5"/>
  <c r="H34" i="5"/>
  <c r="H26" i="5"/>
  <c r="H18" i="5"/>
  <c r="H40" i="5"/>
  <c r="H32" i="5"/>
  <c r="H24" i="5"/>
  <c r="H16" i="5"/>
  <c r="H25" i="5"/>
  <c r="H17" i="5"/>
  <c r="H39" i="5"/>
  <c r="H31" i="5"/>
  <c r="H23" i="5"/>
  <c r="H38" i="5"/>
  <c r="H30" i="5"/>
  <c r="H22" i="5"/>
  <c r="H37" i="5"/>
  <c r="H29" i="5"/>
  <c r="H21" i="5"/>
  <c r="H33" i="5"/>
  <c r="H44" i="5"/>
  <c r="H36" i="5"/>
  <c r="H28" i="5"/>
  <c r="H20" i="5"/>
  <c r="H43" i="5"/>
  <c r="H35" i="5"/>
  <c r="H27" i="5"/>
  <c r="G44" i="5"/>
  <c r="G36" i="5"/>
  <c r="G28" i="5"/>
  <c r="G43" i="5"/>
  <c r="G35" i="5"/>
  <c r="G27" i="5"/>
  <c r="G19" i="5"/>
  <c r="G42" i="5"/>
  <c r="G34" i="5"/>
  <c r="G26" i="5"/>
  <c r="G18" i="5"/>
  <c r="G41" i="5"/>
  <c r="G33" i="5"/>
  <c r="G25" i="5"/>
  <c r="G17" i="5"/>
  <c r="G40" i="5"/>
  <c r="G32" i="5"/>
  <c r="G24" i="5"/>
  <c r="G16" i="5"/>
  <c r="G39" i="5"/>
  <c r="G31" i="5"/>
  <c r="G23" i="5"/>
  <c r="G38" i="5"/>
  <c r="G30" i="5"/>
  <c r="G22" i="5"/>
  <c r="G37" i="5"/>
  <c r="G29" i="5"/>
  <c r="G21" i="5"/>
  <c r="J15" i="5" l="1"/>
  <c r="G46" i="5"/>
  <c r="O46" i="5" s="1"/>
  <c r="G47" i="5"/>
  <c r="O47" i="5" s="1"/>
  <c r="S47" i="5" s="1"/>
  <c r="G49" i="5"/>
  <c r="O49" i="5" s="1"/>
  <c r="S49" i="5" s="1"/>
  <c r="G50" i="5"/>
  <c r="G52" i="5"/>
  <c r="O52" i="5" s="1"/>
  <c r="G51" i="5"/>
  <c r="O51" i="5" s="1"/>
  <c r="S51" i="5" s="1"/>
  <c r="G54" i="5"/>
  <c r="O54" i="5" s="1"/>
  <c r="S54" i="5" s="1"/>
  <c r="G45" i="5"/>
  <c r="G48" i="5"/>
  <c r="G53" i="5"/>
  <c r="O53" i="5" s="1"/>
  <c r="S53" i="5" s="1"/>
  <c r="G15" i="5"/>
  <c r="J21" i="5"/>
  <c r="J19" i="5"/>
  <c r="O19" i="5" s="1"/>
  <c r="S19" i="5" s="1"/>
  <c r="J20" i="5"/>
  <c r="J18" i="5"/>
  <c r="O18" i="5" s="1"/>
  <c r="S18" i="5" s="1"/>
  <c r="J16" i="5"/>
  <c r="O16" i="5" s="1"/>
  <c r="S16" i="5" s="1"/>
  <c r="J17" i="5"/>
  <c r="O17" i="5" s="1"/>
  <c r="S17" i="5" s="1"/>
  <c r="S52" i="5" l="1"/>
  <c r="Q52" i="5"/>
  <c r="O50" i="5"/>
  <c r="S50" i="5" s="1"/>
  <c r="O15" i="5"/>
  <c r="S15" i="5" s="1"/>
  <c r="Q46" i="5"/>
  <c r="O48" i="5"/>
  <c r="S48" i="5" s="1"/>
  <c r="Q47" i="5"/>
  <c r="Q54" i="5"/>
  <c r="Q51" i="5"/>
  <c r="Q53" i="5"/>
  <c r="Q49" i="5"/>
  <c r="Q16" i="5"/>
  <c r="Q18" i="5"/>
  <c r="Q17" i="5"/>
  <c r="Q19" i="5"/>
  <c r="C21" i="3"/>
  <c r="F20" i="5" s="1"/>
  <c r="C9" i="3"/>
  <c r="C8" i="3"/>
  <c r="C16" i="6" l="1"/>
  <c r="I29" i="5"/>
  <c r="R15" i="5"/>
  <c r="Q50" i="5"/>
  <c r="Q15" i="5"/>
  <c r="Q48" i="5"/>
  <c r="N26" i="5"/>
  <c r="N28" i="5"/>
  <c r="N21" i="5"/>
  <c r="N29" i="5"/>
  <c r="N22" i="5"/>
  <c r="N23" i="5"/>
  <c r="N24" i="5"/>
  <c r="N25" i="5"/>
  <c r="N27" i="5"/>
  <c r="C39" i="3"/>
  <c r="I30" i="5"/>
  <c r="I31" i="5"/>
  <c r="I32" i="5"/>
  <c r="K19" i="5"/>
  <c r="K20" i="5" s="1"/>
  <c r="F25" i="5"/>
  <c r="E27" i="5"/>
  <c r="F26" i="5"/>
  <c r="E20" i="5"/>
  <c r="O20" i="5" s="1"/>
  <c r="S20" i="5" s="1"/>
  <c r="E28" i="5"/>
  <c r="F27" i="5"/>
  <c r="E21" i="5"/>
  <c r="F28" i="5"/>
  <c r="E22" i="5"/>
  <c r="F21" i="5"/>
  <c r="E23" i="5"/>
  <c r="F22" i="5"/>
  <c r="E24" i="5"/>
  <c r="F24" i="5"/>
  <c r="F23" i="5"/>
  <c r="E25" i="5"/>
  <c r="E26" i="5"/>
  <c r="R16" i="5" l="1"/>
  <c r="R17" i="5" s="1"/>
  <c r="R18" i="5" s="1"/>
  <c r="R19" i="5" s="1"/>
  <c r="J32" i="5"/>
  <c r="O32" i="5" s="1"/>
  <c r="S32" i="5" s="1"/>
  <c r="J45" i="5"/>
  <c r="J43" i="5"/>
  <c r="J44" i="5"/>
  <c r="O21" i="5"/>
  <c r="Q20" i="5"/>
  <c r="J38" i="5"/>
  <c r="O38" i="5" s="1"/>
  <c r="S38" i="5" s="1"/>
  <c r="J42" i="5"/>
  <c r="O42" i="5" s="1"/>
  <c r="S42" i="5" s="1"/>
  <c r="J35" i="5"/>
  <c r="O35" i="5" s="1"/>
  <c r="J39" i="5"/>
  <c r="O39" i="5" s="1"/>
  <c r="J37" i="5"/>
  <c r="O37" i="5" s="1"/>
  <c r="J36" i="5"/>
  <c r="O36" i="5" s="1"/>
  <c r="J41" i="5"/>
  <c r="O41" i="5" s="1"/>
  <c r="S41" i="5" s="1"/>
  <c r="J40" i="5"/>
  <c r="O40" i="5" s="1"/>
  <c r="J33" i="5"/>
  <c r="O33" i="5" s="1"/>
  <c r="J34" i="5"/>
  <c r="O34" i="5" s="1"/>
  <c r="J23" i="5"/>
  <c r="O23" i="5" s="1"/>
  <c r="S23" i="5" s="1"/>
  <c r="J28" i="5"/>
  <c r="O28" i="5" s="1"/>
  <c r="S28" i="5" s="1"/>
  <c r="J22" i="5"/>
  <c r="J24" i="5"/>
  <c r="O24" i="5" s="1"/>
  <c r="S24" i="5" s="1"/>
  <c r="J30" i="5"/>
  <c r="O30" i="5" s="1"/>
  <c r="J25" i="5"/>
  <c r="O25" i="5" s="1"/>
  <c r="S25" i="5" s="1"/>
  <c r="J26" i="5"/>
  <c r="O26" i="5" s="1"/>
  <c r="S26" i="5" s="1"/>
  <c r="J29" i="5"/>
  <c r="O29" i="5" s="1"/>
  <c r="S29" i="5" s="1"/>
  <c r="J27" i="5"/>
  <c r="O27" i="5" s="1"/>
  <c r="S27" i="5" s="1"/>
  <c r="J31" i="5"/>
  <c r="O31" i="5" s="1"/>
  <c r="O44" i="5" l="1"/>
  <c r="S44" i="5" s="1"/>
  <c r="O43" i="5"/>
  <c r="Q43" i="5" s="1"/>
  <c r="O45" i="5"/>
  <c r="C19" i="6"/>
  <c r="O22" i="5"/>
  <c r="S22" i="5" s="1"/>
  <c r="Q21" i="5"/>
  <c r="Q24" i="5"/>
  <c r="Q29" i="5"/>
  <c r="Q42" i="5"/>
  <c r="Q33" i="5"/>
  <c r="Q28" i="5"/>
  <c r="Q23" i="5"/>
  <c r="Q35" i="5"/>
  <c r="Q27" i="5"/>
  <c r="Q34" i="5"/>
  <c r="Q26" i="5"/>
  <c r="Q38" i="5"/>
  <c r="Q39" i="5"/>
  <c r="Q25" i="5"/>
  <c r="Q40" i="5"/>
  <c r="Q32" i="5"/>
  <c r="Q37" i="5"/>
  <c r="Q41" i="5"/>
  <c r="Q31" i="5"/>
  <c r="Q36" i="5"/>
  <c r="Q30" i="5"/>
  <c r="R20" i="5"/>
  <c r="K21" i="5"/>
  <c r="Q44" i="5" l="1"/>
  <c r="C27" i="6"/>
  <c r="C25" i="6" s="1"/>
  <c r="C15" i="6"/>
  <c r="Q45" i="5"/>
  <c r="Q22" i="5"/>
  <c r="R21" i="5"/>
  <c r="K22" i="5"/>
  <c r="C2" i="6" l="1"/>
  <c r="R22" i="5"/>
  <c r="K23" i="5"/>
  <c r="K24" i="5" l="1"/>
  <c r="R23" i="5"/>
  <c r="R24" i="5" l="1"/>
  <c r="K25" i="5"/>
  <c r="R25" i="5" l="1"/>
  <c r="K26" i="5"/>
  <c r="R26" i="5" l="1"/>
  <c r="K27" i="5"/>
  <c r="K28" i="5" l="1"/>
  <c r="R27" i="5"/>
  <c r="R28" i="5" l="1"/>
  <c r="K29" i="5"/>
  <c r="K30" i="5" l="1"/>
  <c r="R29" i="5"/>
  <c r="R30" i="5" l="1"/>
  <c r="K31" i="5"/>
  <c r="R31" i="5" l="1"/>
  <c r="K32" i="5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R32" i="5" l="1"/>
  <c r="R33" i="5" l="1"/>
  <c r="R34" i="5" l="1"/>
  <c r="R35" i="5" l="1"/>
  <c r="R36" i="5" s="1"/>
  <c r="R37" i="5" l="1"/>
  <c r="R38" i="5" l="1"/>
  <c r="R39" i="5" l="1"/>
  <c r="R40" i="5" s="1"/>
  <c r="R41" i="5" s="1"/>
  <c r="R42" i="5" s="1"/>
  <c r="R43" i="5" s="1"/>
  <c r="R44" i="5" s="1"/>
  <c r="R45" i="5" s="1"/>
  <c r="R46" i="5" s="1"/>
  <c r="R47" i="5" l="1"/>
  <c r="R48" i="5" s="1"/>
  <c r="R49" i="5" s="1"/>
  <c r="R50" i="5" s="1"/>
  <c r="R51" i="5" s="1"/>
  <c r="R52" i="5" s="1"/>
  <c r="R53" i="5" s="1"/>
  <c r="R54" i="5" s="1"/>
  <c r="E6" i="5" s="1"/>
  <c r="E7" i="5" l="1"/>
  <c r="E3" i="5"/>
  <c r="E8" i="5" l="1"/>
  <c r="S43" i="5"/>
  <c r="S37" i="5"/>
  <c r="S33" i="5"/>
  <c r="E9" i="5" l="1"/>
  <c r="S39" i="5" l="1"/>
  <c r="S30" i="5"/>
  <c r="S45" i="5"/>
  <c r="S21" i="5"/>
  <c r="S31" i="5" s="1"/>
  <c r="S35" i="5"/>
  <c r="S36" i="5"/>
  <c r="E10" i="5"/>
  <c r="S46" i="5"/>
  <c r="S40" i="5"/>
  <c r="S34" i="5"/>
  <c r="E11" i="5"/>
</calcChain>
</file>

<file path=xl/sharedStrings.xml><?xml version="1.0" encoding="utf-8"?>
<sst xmlns="http://schemas.openxmlformats.org/spreadsheetml/2006/main" count="233" uniqueCount="203">
  <si>
    <t>OPERAÇÕES</t>
  </si>
  <si>
    <t>ADMINISTRATIVO</t>
  </si>
  <si>
    <t>COMERCIAL</t>
  </si>
  <si>
    <t>Estratégia de Marketing</t>
  </si>
  <si>
    <t>Estratégia de Vendas</t>
  </si>
  <si>
    <t>Operação de Vendas</t>
  </si>
  <si>
    <t>Contas a Pagar / Contas a Receber</t>
  </si>
  <si>
    <t>Contratações / Desligamentos</t>
  </si>
  <si>
    <t>Treinamentos</t>
  </si>
  <si>
    <t>Projetos Arq.</t>
  </si>
  <si>
    <t xml:space="preserve">Projetos Eng. </t>
  </si>
  <si>
    <t>Processos CAIXA e Prefeituras</t>
  </si>
  <si>
    <t>Procura por Terrenos</t>
  </si>
  <si>
    <t>Contratos com clientes</t>
  </si>
  <si>
    <t>MARKETING</t>
  </si>
  <si>
    <t>Branding</t>
  </si>
  <si>
    <t>Operação de Marketing</t>
  </si>
  <si>
    <t>Geração e Vinculação de Criativos</t>
  </si>
  <si>
    <t>Canais (criação e manutenção)</t>
  </si>
  <si>
    <t>Impulsionamento e Análise de Resultados</t>
  </si>
  <si>
    <t>Geração de Conteúdo in loco (obras e escritório)</t>
  </si>
  <si>
    <t>Rol de serviços - pacotes e precificação</t>
  </si>
  <si>
    <t>Captação de clientes (ativo e passivo)</t>
  </si>
  <si>
    <t>Reuniões de Vendas</t>
  </si>
  <si>
    <t>Apresentações e propostas</t>
  </si>
  <si>
    <t xml:space="preserve">Geração e Análise de Relatórios </t>
  </si>
  <si>
    <t>Operacional Financeiro</t>
  </si>
  <si>
    <t>Estratégia Financeira (Receitas e Custos)</t>
  </si>
  <si>
    <t>Análise de Crédito dos Clientes</t>
  </si>
  <si>
    <t>Aprovação de Crédito dos Clientes</t>
  </si>
  <si>
    <t>Gerenciamento de Obras</t>
  </si>
  <si>
    <t>Gerenciamento das Vendas dos Imóveis</t>
  </si>
  <si>
    <t>Estudo de Viabilidade Econômica dos Investimentos</t>
  </si>
  <si>
    <t>Cálculo dos Resultados dos Investimentos e alimentação dos CASES de SUCESSO</t>
  </si>
  <si>
    <t>Apresentação FINAL dos Resultados ao Investidor</t>
  </si>
  <si>
    <t>PAULA</t>
  </si>
  <si>
    <t>1.</t>
  </si>
  <si>
    <t>2.</t>
  </si>
  <si>
    <t>3.</t>
  </si>
  <si>
    <t>1.1</t>
  </si>
  <si>
    <t>1.2</t>
  </si>
  <si>
    <t>1.3</t>
  </si>
  <si>
    <t>1.4</t>
  </si>
  <si>
    <t>1.5</t>
  </si>
  <si>
    <t>1.6</t>
  </si>
  <si>
    <t>2.1</t>
  </si>
  <si>
    <t>2.1.1</t>
  </si>
  <si>
    <t>2.1.2</t>
  </si>
  <si>
    <t>2.2</t>
  </si>
  <si>
    <t>2.1.2.1</t>
  </si>
  <si>
    <t>2.1.2.2</t>
  </si>
  <si>
    <t>2.1.2.3</t>
  </si>
  <si>
    <t>2.2.1</t>
  </si>
  <si>
    <t>2.2.2</t>
  </si>
  <si>
    <t>VENDAS</t>
  </si>
  <si>
    <t>3.1</t>
  </si>
  <si>
    <t>3.2</t>
  </si>
  <si>
    <t>FINANCEIRO</t>
  </si>
  <si>
    <t>RECURSOS HUMANOS</t>
  </si>
  <si>
    <t>3.1.1</t>
  </si>
  <si>
    <t>3.1.2</t>
  </si>
  <si>
    <t>3.1.1.1</t>
  </si>
  <si>
    <t>3.1.1.2</t>
  </si>
  <si>
    <t>3.1.2.1</t>
  </si>
  <si>
    <t>3.1.2.2</t>
  </si>
  <si>
    <t>3.1.2.3</t>
  </si>
  <si>
    <t>3.2.1</t>
  </si>
  <si>
    <t>3.2.2</t>
  </si>
  <si>
    <t>3.2.1.1</t>
  </si>
  <si>
    <t>3.2.2.1</t>
  </si>
  <si>
    <t>3.2.2.2</t>
  </si>
  <si>
    <t>3.2.2.3</t>
  </si>
  <si>
    <t>3.2.2.4</t>
  </si>
  <si>
    <t>3.2.2.5</t>
  </si>
  <si>
    <t>3.2.2.6</t>
  </si>
  <si>
    <t>3.2.2.7</t>
  </si>
  <si>
    <t>3.2.2.8</t>
  </si>
  <si>
    <t>CLAASSEN</t>
  </si>
  <si>
    <t>CLAASSEN/PAULA</t>
  </si>
  <si>
    <t>FERNANDO</t>
  </si>
  <si>
    <t>PAULA/FERNANDO</t>
  </si>
  <si>
    <t>FERNANDO/PAULA</t>
  </si>
  <si>
    <t>RESPONSÁVEL</t>
  </si>
  <si>
    <t>SETOR / SERVIÇO</t>
  </si>
  <si>
    <t>O QUE PRECISA PARA COMEÇAR?</t>
  </si>
  <si>
    <t>relacionamento com imobiliárias</t>
  </si>
  <si>
    <t>temos o trello de checklist</t>
  </si>
  <si>
    <t>modular receitas, custos de operação e testar viabilidade da empresa, metas, etc</t>
  </si>
  <si>
    <t>conta no banco, cnpj (podemos usar o de uma das empresas no início, claassen ou index)</t>
  </si>
  <si>
    <t>modelos de contrato</t>
  </si>
  <si>
    <t>contratação de software YAMPA ou outro</t>
  </si>
  <si>
    <t>definir nome e id visual</t>
  </si>
  <si>
    <t>criar todos os canais e registrar a empresa (podemos iniciar como autonomos para não precisar abrir empresa)</t>
  </si>
  <si>
    <t>definição do nome e id visual</t>
  </si>
  <si>
    <t>podemos iniciar com o portfolio da claassen e index</t>
  </si>
  <si>
    <t>estudar possibilidades e modelos</t>
  </si>
  <si>
    <t>montar rol de serviços e estratégia para captação</t>
  </si>
  <si>
    <t>montar modelo de apresentação de triagem e de proposta</t>
  </si>
  <si>
    <t>relacionamento com correspondente caixa aqui</t>
  </si>
  <si>
    <t>planilha OPV</t>
  </si>
  <si>
    <t>modelo de apresentação</t>
  </si>
  <si>
    <t>1.7</t>
  </si>
  <si>
    <t>1.8</t>
  </si>
  <si>
    <t>1.9</t>
  </si>
  <si>
    <t>Captação de empreiteiros e orçamentação de obra (mão de obra e materiais)</t>
  </si>
  <si>
    <t>Preenchimento de PCIs e PLS</t>
  </si>
  <si>
    <t>CONSTRUÇÃO</t>
  </si>
  <si>
    <t>HABITE-SE</t>
  </si>
  <si>
    <t>VENDA</t>
  </si>
  <si>
    <t>OPERAÇÃO TOTAL</t>
  </si>
  <si>
    <t>TERRENO</t>
  </si>
  <si>
    <t>BANCO</t>
  </si>
  <si>
    <t>FINANCIAMENTO</t>
  </si>
  <si>
    <t>PREÇO TERRENO</t>
  </si>
  <si>
    <t>CUSTO CONSTRUÇÃO</t>
  </si>
  <si>
    <t>CUSTO/M² CONSTRUÇÃO</t>
  </si>
  <si>
    <t>% ADM DE OBRA</t>
  </si>
  <si>
    <t>PROSPECÇÃO E TAXA DE ADESÃO</t>
  </si>
  <si>
    <t>% BANCO NO TERRENO</t>
  </si>
  <si>
    <t>SALDO DO FINANCIAMENTO PARA CONSTRUÇÃO</t>
  </si>
  <si>
    <t>PARCELAS FINANCIAMENTO</t>
  </si>
  <si>
    <t>TABELA</t>
  </si>
  <si>
    <t>SAC</t>
  </si>
  <si>
    <t>1º PARCELA</t>
  </si>
  <si>
    <t>INSS DE OBRA</t>
  </si>
  <si>
    <t>METRAGEM EQUIVALENTE DE CONSTRUÇÃO</t>
  </si>
  <si>
    <t>METRAGEM TERRENO</t>
  </si>
  <si>
    <t>M²</t>
  </si>
  <si>
    <t>CORRETAGEM</t>
  </si>
  <si>
    <t xml:space="preserve">PREÇO/M² ESPERADO DE VENDA </t>
  </si>
  <si>
    <t>ITBI TERRENO</t>
  </si>
  <si>
    <t>IMPOSTO DE RENDA - GANHO DE CAPITAL</t>
  </si>
  <si>
    <t>CALCULADORA INSS DE OBRA</t>
  </si>
  <si>
    <t>CONSTRUÇÃO + TERRENO</t>
  </si>
  <si>
    <t>BALIZADOR PELA RENDA DO CLIENTE</t>
  </si>
  <si>
    <t xml:space="preserve">SBPE 30% OU MAIS </t>
  </si>
  <si>
    <t>PESQUISA DE MERCADO</t>
  </si>
  <si>
    <t>SIMULAÇÃO CAIXA</t>
  </si>
  <si>
    <t>MÊS</t>
  </si>
  <si>
    <t>SALDO MÊS</t>
  </si>
  <si>
    <t>TAXAS/IMPOSTOS</t>
  </si>
  <si>
    <t>INVESTIDOR</t>
  </si>
  <si>
    <t>TAXA DE AVALIAÇÃO DE BENS CAIXA</t>
  </si>
  <si>
    <t>AMORTIZAÇÃO FINANC.</t>
  </si>
  <si>
    <t>SALDO DEVEDOR FINANC.</t>
  </si>
  <si>
    <t>PRAZO FINANCIAMENTO</t>
  </si>
  <si>
    <t>JUROS MENSAIS</t>
  </si>
  <si>
    <t>JUROS EFETIVOS ANUAIS</t>
  </si>
  <si>
    <t>TARIFAS FINANCIAMENTO</t>
  </si>
  <si>
    <t>TAXA APROVAÇÃO DE PROJETO PMC/M²</t>
  </si>
  <si>
    <t>TAXA CVCO PMC/M²</t>
  </si>
  <si>
    <t>REGISTRO CONTRATO DE VENDA TERRENO E FINANCIAMENTO</t>
  </si>
  <si>
    <t>AVERBAÇÃO CONSTRUÇÃO NA MATRÍCULA</t>
  </si>
  <si>
    <t>TAXA DE SUCESSO</t>
  </si>
  <si>
    <t>PRAZO</t>
  </si>
  <si>
    <t>TAXA SEGURO E ADM FINANCIAMENTO</t>
  </si>
  <si>
    <t>VISTORIA CAIXA (30%, 85%)</t>
  </si>
  <si>
    <t>FUNREJUS (CUBxM²x0,2%)</t>
  </si>
  <si>
    <t>CONDOMÍNIO E IPTU</t>
  </si>
  <si>
    <t xml:space="preserve">CUB SINDUSCON </t>
  </si>
  <si>
    <t>EXPOSIÇÃO DE CAIXA - INVESTIDOR</t>
  </si>
  <si>
    <t>EXPOSIÇÃO DE CAIXA DO INVESTIDOR</t>
  </si>
  <si>
    <t>NÚMERO DE MESES PAYBACK</t>
  </si>
  <si>
    <t>I.R. GANHO DE CAPITAL</t>
  </si>
  <si>
    <t>LUCRO LÍQUIDO</t>
  </si>
  <si>
    <t xml:space="preserve">RETORNO SOBRE O INVESTIMENTO </t>
  </si>
  <si>
    <t>RECURSOS PRÓPRIOS</t>
  </si>
  <si>
    <t>BW INVEST</t>
  </si>
  <si>
    <t>JUROS FINANCIAMENTO</t>
  </si>
  <si>
    <t>COMPRA TERRENO</t>
  </si>
  <si>
    <t>MANUTENÇÃO TERRENO</t>
  </si>
  <si>
    <t>METRAGEM TOTAL - VENDA</t>
  </si>
  <si>
    <t>LUCRO BRUTO</t>
  </si>
  <si>
    <t>TIR</t>
  </si>
  <si>
    <t>TIR MENSAL</t>
  </si>
  <si>
    <t>LEGENDA</t>
  </si>
  <si>
    <t>CÉLULAS EM BRANCO = PREENCHER</t>
  </si>
  <si>
    <t>CÉLULAS EM CINZA = CÁLCULO AUTOMÁTICO</t>
  </si>
  <si>
    <t>VALOR</t>
  </si>
  <si>
    <t>DESCRIÇÃO</t>
  </si>
  <si>
    <t>OBSERVAÇÃO</t>
  </si>
  <si>
    <t>MESES</t>
  </si>
  <si>
    <t>ESTIMATIVA PARA O PROJETO EM QUESTÃO</t>
  </si>
  <si>
    <t>CUB/PR</t>
  </si>
  <si>
    <t>CUSTO PROJETOS + SONDAGEM + TOPOGRÁFICO</t>
  </si>
  <si>
    <t>CÉLULAS EM VERDE = BW INVEST</t>
  </si>
  <si>
    <t>DESPESAS DURANTE A OBRA</t>
  </si>
  <si>
    <t>DESPESAS PÓS-OBRA</t>
  </si>
  <si>
    <t>DESPESAS PRÉ-OBRA</t>
  </si>
  <si>
    <t>INVESTIDORES</t>
  </si>
  <si>
    <t xml:space="preserve">ITBI </t>
  </si>
  <si>
    <t>PROJETOS E LEVANTAMENTOS</t>
  </si>
  <si>
    <t>TAXAS CEF</t>
  </si>
  <si>
    <t>TAXAS PMC</t>
  </si>
  <si>
    <t>TAXAS RI</t>
  </si>
  <si>
    <t>INSS</t>
  </si>
  <si>
    <t>CONDOMINIO E IPTU</t>
  </si>
  <si>
    <t>JUROS DO FINANCIAMENTO</t>
  </si>
  <si>
    <t>AVERBAÇÃO CARTÓRIO RI</t>
  </si>
  <si>
    <t>PRESTAÇÕES</t>
  </si>
  <si>
    <t>TAXAS E VISTORIAS CEF</t>
  </si>
  <si>
    <t>MESES ENTRE AVERB. E VENDA</t>
  </si>
  <si>
    <t>TAXA DE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</si>
</sst>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0.000%"/>
  </numFmts>
  <fonts count="9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7" borderId="1" xfId="0" applyFill="1" applyBorder="1"/>
    <xf numFmtId="0" fontId="0" fillId="0" borderId="2" xfId="0" applyBorder="1"/>
    <xf numFmtId="0" fontId="0" fillId="6" borderId="0" xfId="0" applyFill="1"/>
    <xf numFmtId="0" fontId="0" fillId="6" borderId="2" xfId="0" applyFill="1" applyBorder="1"/>
    <xf numFmtId="0" fontId="0" fillId="8" borderId="3" xfId="0" applyFill="1" applyBorder="1"/>
    <xf numFmtId="0" fontId="0" fillId="9" borderId="4" xfId="0" applyFill="1" applyBorder="1"/>
    <xf numFmtId="44" fontId="0" fillId="9" borderId="5" xfId="0" applyNumberFormat="1" applyFill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44" fontId="0" fillId="9" borderId="5" xfId="1" applyFont="1" applyFill="1" applyBorder="1"/>
    <xf numFmtId="0" fontId="0" fillId="0" borderId="9" xfId="0" applyBorder="1"/>
    <xf numFmtId="0" fontId="5" fillId="0" borderId="0" xfId="0" applyFont="1"/>
    <xf numFmtId="0" fontId="7" fillId="6" borderId="4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5" fillId="6" borderId="10" xfId="0" applyFont="1" applyFill="1" applyBorder="1"/>
    <xf numFmtId="0" fontId="0" fillId="6" borderId="10" xfId="0" applyFill="1" applyBorder="1"/>
    <xf numFmtId="0" fontId="0" fillId="6" borderId="5" xfId="0" applyFill="1" applyBorder="1"/>
    <xf numFmtId="8" fontId="0" fillId="0" borderId="0" xfId="1" applyNumberFormat="1" applyFont="1" applyBorder="1"/>
    <xf numFmtId="44" fontId="6" fillId="0" borderId="0" xfId="1" applyFont="1" applyBorder="1"/>
    <xf numFmtId="44" fontId="5" fillId="6" borderId="0" xfId="1" applyFont="1" applyFill="1" applyBorder="1"/>
    <xf numFmtId="44" fontId="0" fillId="0" borderId="0" xfId="1" applyFont="1" applyBorder="1"/>
    <xf numFmtId="8" fontId="0" fillId="0" borderId="0" xfId="0" applyNumberFormat="1"/>
    <xf numFmtId="8" fontId="0" fillId="6" borderId="7" xfId="0" applyNumberFormat="1" applyFill="1" applyBorder="1"/>
    <xf numFmtId="44" fontId="6" fillId="0" borderId="0" xfId="1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5" fillId="6" borderId="11" xfId="0" applyFont="1" applyFill="1" applyBorder="1"/>
    <xf numFmtId="0" fontId="0" fillId="6" borderId="9" xfId="0" applyFill="1" applyBorder="1"/>
    <xf numFmtId="8" fontId="0" fillId="0" borderId="4" xfId="1" applyNumberFormat="1" applyFont="1" applyBorder="1"/>
    <xf numFmtId="8" fontId="0" fillId="0" borderId="10" xfId="1" applyNumberFormat="1" applyFont="1" applyBorder="1"/>
    <xf numFmtId="44" fontId="6" fillId="0" borderId="10" xfId="1" applyFont="1" applyBorder="1"/>
    <xf numFmtId="8" fontId="0" fillId="0" borderId="5" xfId="1" applyNumberFormat="1" applyFont="1" applyBorder="1"/>
    <xf numFmtId="8" fontId="0" fillId="0" borderId="6" xfId="1" applyNumberFormat="1" applyFont="1" applyBorder="1"/>
    <xf numFmtId="8" fontId="0" fillId="0" borderId="7" xfId="1" applyNumberFormat="1" applyFont="1" applyBorder="1"/>
    <xf numFmtId="8" fontId="0" fillId="0" borderId="8" xfId="1" applyNumberFormat="1" applyFont="1" applyBorder="1"/>
    <xf numFmtId="8" fontId="0" fillId="0" borderId="11" xfId="1" applyNumberFormat="1" applyFont="1" applyBorder="1"/>
    <xf numFmtId="44" fontId="6" fillId="0" borderId="11" xfId="1" applyFont="1" applyBorder="1"/>
    <xf numFmtId="8" fontId="0" fillId="0" borderId="9" xfId="1" applyNumberFormat="1" applyFont="1" applyBorder="1"/>
    <xf numFmtId="44" fontId="0" fillId="0" borderId="4" xfId="1" applyFont="1" applyBorder="1"/>
    <xf numFmtId="44" fontId="0" fillId="0" borderId="6" xfId="1" applyFont="1" applyBorder="1"/>
    <xf numFmtId="44" fontId="0" fillId="0" borderId="8" xfId="1" applyFont="1" applyBorder="1"/>
    <xf numFmtId="8" fontId="0" fillId="0" borderId="4" xfId="1" applyNumberFormat="1" applyFont="1" applyFill="1" applyBorder="1" applyAlignment="1">
      <alignment horizontal="center"/>
    </xf>
    <xf numFmtId="8" fontId="0" fillId="0" borderId="5" xfId="0" applyNumberFormat="1" applyBorder="1"/>
    <xf numFmtId="8" fontId="0" fillId="0" borderId="6" xfId="1" applyNumberFormat="1" applyFont="1" applyFill="1" applyBorder="1" applyAlignment="1">
      <alignment horizontal="center"/>
    </xf>
    <xf numFmtId="8" fontId="0" fillId="0" borderId="7" xfId="0" applyNumberFormat="1" applyBorder="1"/>
    <xf numFmtId="8" fontId="0" fillId="0" borderId="8" xfId="1" applyNumberFormat="1" applyFont="1" applyFill="1" applyBorder="1" applyAlignment="1">
      <alignment horizontal="center"/>
    </xf>
    <xf numFmtId="8" fontId="0" fillId="0" borderId="9" xfId="0" applyNumberFormat="1" applyBorder="1"/>
    <xf numFmtId="0" fontId="8" fillId="6" borderId="6" xfId="0" applyFont="1" applyFill="1" applyBorder="1" applyAlignment="1">
      <alignment horizontal="center" vertical="center"/>
    </xf>
    <xf numFmtId="44" fontId="0" fillId="0" borderId="1" xfId="1" applyFont="1" applyFill="1" applyBorder="1"/>
    <xf numFmtId="44" fontId="0" fillId="0" borderId="2" xfId="1" applyFont="1" applyFill="1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0" fontId="0" fillId="7" borderId="5" xfId="0" applyFill="1" applyBorder="1"/>
    <xf numFmtId="0" fontId="0" fillId="6" borderId="0" xfId="1" applyNumberFormat="1" applyFont="1" applyFill="1" applyBorder="1" applyAlignment="1">
      <alignment horizontal="center"/>
    </xf>
    <xf numFmtId="0" fontId="0" fillId="0" borderId="7" xfId="0" applyBorder="1"/>
    <xf numFmtId="44" fontId="0" fillId="6" borderId="0" xfId="1" applyFont="1" applyFill="1" applyBorder="1"/>
    <xf numFmtId="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Border="1"/>
    <xf numFmtId="165" fontId="0" fillId="6" borderId="0" xfId="1" applyNumberFormat="1" applyFont="1" applyFill="1" applyBorder="1"/>
    <xf numFmtId="0" fontId="0" fillId="0" borderId="0" xfId="1" applyNumberFormat="1" applyFont="1" applyFill="1" applyBorder="1"/>
    <xf numFmtId="0" fontId="0" fillId="4" borderId="0" xfId="1" applyNumberFormat="1" applyFont="1" applyFill="1" applyBorder="1" applyAlignment="1">
      <alignment horizontal="center"/>
    </xf>
    <xf numFmtId="8" fontId="0" fillId="6" borderId="0" xfId="0" applyNumberFormat="1" applyFill="1"/>
    <xf numFmtId="8" fontId="0" fillId="8" borderId="0" xfId="0" applyNumberFormat="1" applyFill="1"/>
    <xf numFmtId="9" fontId="0" fillId="8" borderId="0" xfId="0" applyNumberFormat="1" applyFill="1"/>
    <xf numFmtId="0" fontId="0" fillId="6" borderId="0" xfId="0" applyFill="1" applyAlignment="1">
      <alignment horizontal="center"/>
    </xf>
    <xf numFmtId="9" fontId="0" fillId="0" borderId="0" xfId="0" applyNumberFormat="1"/>
    <xf numFmtId="164" fontId="0" fillId="0" borderId="0" xfId="0" applyNumberFormat="1"/>
    <xf numFmtId="44" fontId="0" fillId="0" borderId="0" xfId="1" applyFont="1" applyFill="1" applyBorder="1"/>
    <xf numFmtId="44" fontId="0" fillId="0" borderId="7" xfId="0" applyNumberFormat="1" applyBorder="1"/>
    <xf numFmtId="44" fontId="0" fillId="6" borderId="11" xfId="0" applyNumberFormat="1" applyFill="1" applyBorder="1"/>
    <xf numFmtId="0" fontId="0" fillId="6" borderId="11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44" fontId="0" fillId="6" borderId="2" xfId="1" applyFont="1" applyFill="1" applyBorder="1"/>
    <xf numFmtId="10" fontId="0" fillId="6" borderId="2" xfId="2" applyNumberFormat="1" applyFont="1" applyFill="1" applyBorder="1"/>
    <xf numFmtId="10" fontId="0" fillId="6" borderId="3" xfId="0" applyNumberFormat="1" applyFill="1" applyBorder="1"/>
    <xf numFmtId="44" fontId="0" fillId="10" borderId="0" xfId="1" applyFont="1" applyFill="1" applyBorder="1"/>
    <xf numFmtId="0" fontId="0" fillId="10" borderId="0" xfId="1" applyNumberFormat="1" applyFont="1" applyFill="1" applyBorder="1" applyAlignment="1">
      <alignment horizontal="center"/>
    </xf>
    <xf numFmtId="2" fontId="0" fillId="10" borderId="0" xfId="1" applyNumberFormat="1" applyFont="1" applyFill="1" applyBorder="1"/>
    <xf numFmtId="0" fontId="0" fillId="10" borderId="0" xfId="0" applyFill="1" applyAlignment="1">
      <alignment horizontal="center"/>
    </xf>
    <xf numFmtId="9" fontId="0" fillId="10" borderId="0" xfId="0" applyNumberFormat="1" applyFill="1"/>
    <xf numFmtId="0" fontId="0" fillId="6" borderId="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10" xfId="0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E61D-43D3-4FCC-90A7-CD7AE204CECF}">
  <sheetPr>
    <outlinePr summaryBelow="0" summaryRight="0"/>
  </sheetPr>
  <dimension ref="A1:D42"/>
  <sheetViews>
    <sheetView zoomScale="85" zoomScaleNormal="85" workbookViewId="0">
      <selection activeCell="B14" sqref="B14"/>
    </sheetView>
  </sheetViews>
  <sheetFormatPr defaultRowHeight="14.4" outlineLevelRow="3" x14ac:dyDescent="0.3"/>
  <cols>
    <col min="1" max="1" width="10.6640625" customWidth="1"/>
    <col min="2" max="2" width="73.5546875" bestFit="1" customWidth="1"/>
    <col min="3" max="3" width="24.109375" customWidth="1"/>
    <col min="4" max="4" width="75" customWidth="1"/>
    <col min="5" max="5" width="25.109375" customWidth="1"/>
    <col min="6" max="6" width="32.44140625" customWidth="1"/>
  </cols>
  <sheetData>
    <row r="1" spans="1:4" x14ac:dyDescent="0.3">
      <c r="B1" t="s">
        <v>83</v>
      </c>
      <c r="C1" t="s">
        <v>82</v>
      </c>
      <c r="D1" t="s">
        <v>84</v>
      </c>
    </row>
    <row r="2" spans="1:4" s="2" customFormat="1" x14ac:dyDescent="0.3">
      <c r="A2" s="2" t="s">
        <v>36</v>
      </c>
      <c r="B2" s="3" t="s">
        <v>0</v>
      </c>
    </row>
    <row r="3" spans="1:4" s="1" customFormat="1" ht="14.25" customHeight="1" outlineLevel="2" x14ac:dyDescent="0.3">
      <c r="A3" s="1" t="s">
        <v>39</v>
      </c>
      <c r="B3" s="1" t="s">
        <v>12</v>
      </c>
      <c r="C3" s="1" t="s">
        <v>35</v>
      </c>
      <c r="D3" s="1" t="s">
        <v>85</v>
      </c>
    </row>
    <row r="4" spans="1:4" s="1" customFormat="1" outlineLevel="2" x14ac:dyDescent="0.3">
      <c r="A4" s="1" t="s">
        <v>40</v>
      </c>
      <c r="B4" s="1" t="s">
        <v>9</v>
      </c>
      <c r="C4" s="1" t="s">
        <v>77</v>
      </c>
    </row>
    <row r="5" spans="1:4" s="1" customFormat="1" outlineLevel="2" x14ac:dyDescent="0.3">
      <c r="A5" s="1" t="s">
        <v>41</v>
      </c>
      <c r="B5" s="1" t="s">
        <v>10</v>
      </c>
      <c r="C5" s="1" t="s">
        <v>35</v>
      </c>
    </row>
    <row r="6" spans="1:4" s="1" customFormat="1" outlineLevel="2" x14ac:dyDescent="0.3">
      <c r="A6" s="1" t="s">
        <v>42</v>
      </c>
      <c r="B6" s="1" t="s">
        <v>11</v>
      </c>
      <c r="C6" s="1" t="s">
        <v>35</v>
      </c>
      <c r="D6" s="1" t="s">
        <v>86</v>
      </c>
    </row>
    <row r="7" spans="1:4" s="1" customFormat="1" outlineLevel="1" x14ac:dyDescent="0.3">
      <c r="A7" s="1" t="s">
        <v>43</v>
      </c>
      <c r="B7" s="1" t="s">
        <v>30</v>
      </c>
      <c r="C7" s="1" t="s">
        <v>78</v>
      </c>
    </row>
    <row r="8" spans="1:4" s="1" customFormat="1" outlineLevel="1" x14ac:dyDescent="0.3">
      <c r="A8" s="1" t="s">
        <v>44</v>
      </c>
      <c r="B8" s="1" t="s">
        <v>31</v>
      </c>
      <c r="C8" s="1" t="s">
        <v>35</v>
      </c>
      <c r="D8" s="1" t="s">
        <v>85</v>
      </c>
    </row>
    <row r="9" spans="1:4" s="1" customFormat="1" outlineLevel="1" x14ac:dyDescent="0.3">
      <c r="A9" s="1" t="s">
        <v>101</v>
      </c>
      <c r="B9" s="1" t="s">
        <v>104</v>
      </c>
      <c r="C9" s="1" t="s">
        <v>35</v>
      </c>
    </row>
    <row r="10" spans="1:4" s="1" customFormat="1" outlineLevel="1" x14ac:dyDescent="0.3">
      <c r="A10" s="1" t="s">
        <v>102</v>
      </c>
      <c r="B10" s="1" t="s">
        <v>105</v>
      </c>
      <c r="C10" s="1" t="s">
        <v>35</v>
      </c>
    </row>
    <row r="11" spans="1:4" s="1" customFormat="1" outlineLevel="1" x14ac:dyDescent="0.3">
      <c r="A11" s="1" t="s">
        <v>103</v>
      </c>
    </row>
    <row r="12" spans="1:4" s="2" customFormat="1" x14ac:dyDescent="0.3">
      <c r="A12" s="2" t="s">
        <v>37</v>
      </c>
      <c r="B12" s="3" t="s">
        <v>1</v>
      </c>
    </row>
    <row r="13" spans="1:4" s="4" customFormat="1" ht="15.75" customHeight="1" outlineLevel="1" x14ac:dyDescent="0.3">
      <c r="A13" s="4" t="s">
        <v>45</v>
      </c>
      <c r="B13" s="4" t="s">
        <v>57</v>
      </c>
    </row>
    <row r="14" spans="1:4" s="1" customFormat="1" ht="15.75" customHeight="1" outlineLevel="2" x14ac:dyDescent="0.3">
      <c r="A14" s="1" t="s">
        <v>46</v>
      </c>
      <c r="B14" s="1" t="s">
        <v>27</v>
      </c>
      <c r="C14" s="1" t="s">
        <v>79</v>
      </c>
      <c r="D14" s="1" t="s">
        <v>87</v>
      </c>
    </row>
    <row r="15" spans="1:4" s="6" customFormat="1" ht="15.75" customHeight="1" outlineLevel="2" x14ac:dyDescent="0.3">
      <c r="A15" s="6" t="s">
        <v>47</v>
      </c>
      <c r="B15" s="6" t="s">
        <v>26</v>
      </c>
    </row>
    <row r="16" spans="1:4" s="1" customFormat="1" ht="15.75" customHeight="1" outlineLevel="3" x14ac:dyDescent="0.3">
      <c r="A16" s="1" t="s">
        <v>49</v>
      </c>
      <c r="B16" s="1" t="s">
        <v>6</v>
      </c>
      <c r="C16" s="1" t="s">
        <v>80</v>
      </c>
      <c r="D16" s="1" t="s">
        <v>88</v>
      </c>
    </row>
    <row r="17" spans="1:4" s="1" customFormat="1" ht="15.75" customHeight="1" outlineLevel="3" x14ac:dyDescent="0.3">
      <c r="A17" s="1" t="s">
        <v>50</v>
      </c>
      <c r="B17" s="1" t="s">
        <v>13</v>
      </c>
      <c r="C17" s="1" t="s">
        <v>35</v>
      </c>
      <c r="D17" s="1" t="s">
        <v>89</v>
      </c>
    </row>
    <row r="18" spans="1:4" s="1" customFormat="1" ht="15.75" customHeight="1" outlineLevel="3" x14ac:dyDescent="0.3">
      <c r="A18" s="1" t="s">
        <v>51</v>
      </c>
      <c r="B18" s="1" t="s">
        <v>25</v>
      </c>
      <c r="C18" s="1" t="s">
        <v>79</v>
      </c>
      <c r="D18" s="1" t="s">
        <v>90</v>
      </c>
    </row>
    <row r="19" spans="1:4" s="4" customFormat="1" ht="15.75" customHeight="1" outlineLevel="1" x14ac:dyDescent="0.3">
      <c r="A19" s="4" t="s">
        <v>48</v>
      </c>
      <c r="B19" s="4" t="s">
        <v>58</v>
      </c>
    </row>
    <row r="20" spans="1:4" s="1" customFormat="1" ht="15.75" customHeight="1" outlineLevel="3" x14ac:dyDescent="0.3">
      <c r="A20" s="1" t="s">
        <v>52</v>
      </c>
      <c r="B20" s="1" t="s">
        <v>7</v>
      </c>
      <c r="C20" s="1" t="s">
        <v>35</v>
      </c>
    </row>
    <row r="21" spans="1:4" s="1" customFormat="1" ht="15.75" customHeight="1" outlineLevel="3" x14ac:dyDescent="0.3">
      <c r="A21" s="1" t="s">
        <v>53</v>
      </c>
      <c r="B21" s="1" t="s">
        <v>8</v>
      </c>
      <c r="C21" s="1" t="s">
        <v>80</v>
      </c>
    </row>
    <row r="22" spans="1:4" s="2" customFormat="1" x14ac:dyDescent="0.3">
      <c r="A22" s="2" t="s">
        <v>38</v>
      </c>
      <c r="B22" s="3" t="s">
        <v>2</v>
      </c>
    </row>
    <row r="23" spans="1:4" s="5" customFormat="1" outlineLevel="1" x14ac:dyDescent="0.3">
      <c r="A23" s="4" t="s">
        <v>55</v>
      </c>
      <c r="B23" s="5" t="s">
        <v>14</v>
      </c>
    </row>
    <row r="24" spans="1:4" s="7" customFormat="1" outlineLevel="2" x14ac:dyDescent="0.3">
      <c r="A24" s="6" t="s">
        <v>59</v>
      </c>
      <c r="B24" s="7" t="s">
        <v>3</v>
      </c>
    </row>
    <row r="25" spans="1:4" outlineLevel="3" x14ac:dyDescent="0.3">
      <c r="A25" s="1" t="s">
        <v>61</v>
      </c>
      <c r="B25" t="s">
        <v>15</v>
      </c>
      <c r="C25" t="s">
        <v>81</v>
      </c>
      <c r="D25" t="s">
        <v>91</v>
      </c>
    </row>
    <row r="26" spans="1:4" outlineLevel="3" x14ac:dyDescent="0.3">
      <c r="A26" s="1" t="s">
        <v>62</v>
      </c>
      <c r="B26" t="s">
        <v>18</v>
      </c>
      <c r="C26" t="s">
        <v>79</v>
      </c>
      <c r="D26" t="s">
        <v>92</v>
      </c>
    </row>
    <row r="27" spans="1:4" s="7" customFormat="1" outlineLevel="2" x14ac:dyDescent="0.3">
      <c r="A27" s="7" t="s">
        <v>60</v>
      </c>
      <c r="B27" s="7" t="s">
        <v>16</v>
      </c>
    </row>
    <row r="28" spans="1:4" outlineLevel="3" x14ac:dyDescent="0.3">
      <c r="A28" s="1" t="s">
        <v>63</v>
      </c>
      <c r="B28" t="s">
        <v>17</v>
      </c>
      <c r="C28" t="s">
        <v>79</v>
      </c>
      <c r="D28" t="s">
        <v>93</v>
      </c>
    </row>
    <row r="29" spans="1:4" outlineLevel="3" x14ac:dyDescent="0.3">
      <c r="A29" s="1" t="s">
        <v>64</v>
      </c>
      <c r="B29" t="s">
        <v>19</v>
      </c>
      <c r="C29" t="s">
        <v>79</v>
      </c>
    </row>
    <row r="30" spans="1:4" outlineLevel="3" x14ac:dyDescent="0.3">
      <c r="A30" s="1" t="s">
        <v>65</v>
      </c>
      <c r="B30" t="s">
        <v>20</v>
      </c>
      <c r="C30" t="s">
        <v>78</v>
      </c>
      <c r="D30" t="s">
        <v>94</v>
      </c>
    </row>
    <row r="31" spans="1:4" s="5" customFormat="1" outlineLevel="1" x14ac:dyDescent="0.3">
      <c r="A31" s="5" t="s">
        <v>56</v>
      </c>
      <c r="B31" s="5" t="s">
        <v>54</v>
      </c>
    </row>
    <row r="32" spans="1:4" s="7" customFormat="1" outlineLevel="2" x14ac:dyDescent="0.3">
      <c r="A32" s="6" t="s">
        <v>66</v>
      </c>
      <c r="B32" s="7" t="s">
        <v>4</v>
      </c>
    </row>
    <row r="33" spans="1:4" outlineLevel="3" x14ac:dyDescent="0.3">
      <c r="A33" s="1" t="s">
        <v>68</v>
      </c>
      <c r="B33" t="s">
        <v>21</v>
      </c>
      <c r="C33" t="s">
        <v>79</v>
      </c>
      <c r="D33" t="s">
        <v>95</v>
      </c>
    </row>
    <row r="34" spans="1:4" s="7" customFormat="1" outlineLevel="2" x14ac:dyDescent="0.3">
      <c r="A34" s="6" t="s">
        <v>67</v>
      </c>
      <c r="B34" s="7" t="s">
        <v>5</v>
      </c>
    </row>
    <row r="35" spans="1:4" outlineLevel="3" x14ac:dyDescent="0.3">
      <c r="A35" s="1" t="s">
        <v>69</v>
      </c>
      <c r="B35" t="s">
        <v>22</v>
      </c>
      <c r="C35" t="s">
        <v>79</v>
      </c>
      <c r="D35" t="s">
        <v>96</v>
      </c>
    </row>
    <row r="36" spans="1:4" outlineLevel="3" x14ac:dyDescent="0.3">
      <c r="A36" s="1" t="s">
        <v>70</v>
      </c>
      <c r="B36" t="s">
        <v>23</v>
      </c>
      <c r="C36" t="s">
        <v>79</v>
      </c>
    </row>
    <row r="37" spans="1:4" outlineLevel="3" x14ac:dyDescent="0.3">
      <c r="A37" s="1" t="s">
        <v>71</v>
      </c>
      <c r="B37" t="s">
        <v>24</v>
      </c>
      <c r="C37" t="s">
        <v>79</v>
      </c>
      <c r="D37" t="s">
        <v>97</v>
      </c>
    </row>
    <row r="38" spans="1:4" outlineLevel="3" x14ac:dyDescent="0.3">
      <c r="A38" s="1" t="s">
        <v>72</v>
      </c>
      <c r="B38" t="s">
        <v>28</v>
      </c>
      <c r="C38" t="s">
        <v>79</v>
      </c>
    </row>
    <row r="39" spans="1:4" outlineLevel="3" x14ac:dyDescent="0.3">
      <c r="A39" s="1" t="s">
        <v>73</v>
      </c>
      <c r="B39" t="s">
        <v>29</v>
      </c>
      <c r="C39" t="s">
        <v>79</v>
      </c>
      <c r="D39" t="s">
        <v>98</v>
      </c>
    </row>
    <row r="40" spans="1:4" outlineLevel="3" x14ac:dyDescent="0.3">
      <c r="A40" s="1" t="s">
        <v>74</v>
      </c>
      <c r="B40" t="s">
        <v>32</v>
      </c>
      <c r="C40" t="s">
        <v>79</v>
      </c>
      <c r="D40" t="s">
        <v>99</v>
      </c>
    </row>
    <row r="41" spans="1:4" outlineLevel="3" x14ac:dyDescent="0.3">
      <c r="A41" s="1" t="s">
        <v>75</v>
      </c>
      <c r="B41" t="s">
        <v>33</v>
      </c>
      <c r="C41" t="s">
        <v>79</v>
      </c>
    </row>
    <row r="42" spans="1:4" outlineLevel="3" x14ac:dyDescent="0.3">
      <c r="A42" s="1" t="s">
        <v>76</v>
      </c>
      <c r="B42" t="s">
        <v>34</v>
      </c>
      <c r="C42" t="s">
        <v>79</v>
      </c>
      <c r="D42" t="s">
        <v>100</v>
      </c>
    </row>
  </sheetData>
  <phoneticPr fontId="3" type="noConversion"/>
  <pageMargins left="0.511811024" right="0.511811024" top="0.78740157499999996" bottom="0.78740157499999996" header="0.31496062000000002" footer="0.31496062000000002"/>
  <headerFooter>
    <oddFooter>&amp;L_x000D_&amp;1#&amp;"Calibri"&amp;8&amp;K000000 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3C84-0768-4534-A8DD-1E764235CF01}">
  <dimension ref="B1:F46"/>
  <sheetViews>
    <sheetView tabSelected="1" zoomScaleNormal="100" workbookViewId="0">
      <selection activeCell="B23" sqref="B23"/>
    </sheetView>
  </sheetViews>
  <sheetFormatPr defaultRowHeight="14.4" x14ac:dyDescent="0.3"/>
  <cols>
    <col min="2" max="2" width="48.5546875" customWidth="1"/>
    <col min="3" max="3" width="18.33203125" customWidth="1"/>
    <col min="4" max="4" width="4.5546875" style="12" bestFit="1" customWidth="1"/>
    <col min="5" max="5" width="6.88671875" style="12" bestFit="1" customWidth="1"/>
    <col min="6" max="6" width="39" bestFit="1" customWidth="1"/>
    <col min="7" max="7" width="17.6640625" bestFit="1" customWidth="1"/>
  </cols>
  <sheetData>
    <row r="1" spans="2:6" x14ac:dyDescent="0.3">
      <c r="B1" s="14" t="s">
        <v>175</v>
      </c>
    </row>
    <row r="2" spans="2:6" x14ac:dyDescent="0.3">
      <c r="B2" s="15" t="s">
        <v>176</v>
      </c>
    </row>
    <row r="3" spans="2:6" x14ac:dyDescent="0.3">
      <c r="B3" s="17" t="s">
        <v>177</v>
      </c>
    </row>
    <row r="4" spans="2:6" ht="15" thickBot="1" x14ac:dyDescent="0.35">
      <c r="B4" s="18" t="s">
        <v>185</v>
      </c>
    </row>
    <row r="5" spans="2:6" ht="15" thickBot="1" x14ac:dyDescent="0.35"/>
    <row r="6" spans="2:6" x14ac:dyDescent="0.3">
      <c r="B6" s="14" t="s">
        <v>179</v>
      </c>
      <c r="C6" s="67" t="s">
        <v>178</v>
      </c>
      <c r="D6" s="68" t="s">
        <v>138</v>
      </c>
      <c r="E6" s="68" t="s">
        <v>154</v>
      </c>
      <c r="F6" s="69" t="s">
        <v>180</v>
      </c>
    </row>
    <row r="7" spans="2:6" x14ac:dyDescent="0.3">
      <c r="B7" s="88" t="s">
        <v>109</v>
      </c>
      <c r="C7" s="93">
        <v>1200000</v>
      </c>
      <c r="D7" s="70"/>
      <c r="E7" s="70"/>
      <c r="F7" s="71" t="s">
        <v>133</v>
      </c>
    </row>
    <row r="8" spans="2:6" x14ac:dyDescent="0.3">
      <c r="B8" s="88" t="s">
        <v>112</v>
      </c>
      <c r="C8" s="72">
        <f>C7*0.7</f>
        <v>840000</v>
      </c>
      <c r="D8" s="94">
        <v>5</v>
      </c>
      <c r="E8" s="73">
        <v>1</v>
      </c>
      <c r="F8" s="71" t="s">
        <v>134</v>
      </c>
    </row>
    <row r="9" spans="2:6" x14ac:dyDescent="0.3">
      <c r="B9" s="88" t="s">
        <v>166</v>
      </c>
      <c r="C9" s="72">
        <f>C7*0.3</f>
        <v>360000</v>
      </c>
      <c r="D9" s="70"/>
      <c r="E9" s="70"/>
      <c r="F9" s="71" t="s">
        <v>135</v>
      </c>
    </row>
    <row r="10" spans="2:6" x14ac:dyDescent="0.3">
      <c r="B10" s="88" t="s">
        <v>147</v>
      </c>
      <c r="C10" s="74">
        <v>0.11799999999999999</v>
      </c>
      <c r="D10" s="70"/>
      <c r="E10" s="70"/>
      <c r="F10" s="71"/>
    </row>
    <row r="11" spans="2:6" x14ac:dyDescent="0.3">
      <c r="B11" s="88" t="s">
        <v>146</v>
      </c>
      <c r="C11" s="75">
        <f>(1+C10)^(1/12)-1</f>
        <v>9.3384482983804862E-3</v>
      </c>
      <c r="D11" s="70"/>
      <c r="E11" s="70"/>
      <c r="F11" s="71"/>
    </row>
    <row r="12" spans="2:6" x14ac:dyDescent="0.3">
      <c r="B12" s="88" t="s">
        <v>145</v>
      </c>
      <c r="C12" s="76">
        <v>420</v>
      </c>
      <c r="D12" s="70"/>
      <c r="E12" s="70"/>
      <c r="F12" s="71" t="s">
        <v>181</v>
      </c>
    </row>
    <row r="13" spans="2:6" x14ac:dyDescent="0.3">
      <c r="B13" s="88" t="s">
        <v>126</v>
      </c>
      <c r="C13" s="95">
        <v>116.62</v>
      </c>
      <c r="D13" s="70"/>
      <c r="E13" s="70"/>
      <c r="F13" s="71" t="s">
        <v>127</v>
      </c>
    </row>
    <row r="14" spans="2:6" x14ac:dyDescent="0.3">
      <c r="B14" s="88" t="s">
        <v>171</v>
      </c>
      <c r="C14" s="95">
        <v>212</v>
      </c>
      <c r="D14" s="70"/>
      <c r="E14" s="70"/>
      <c r="F14" s="71" t="s">
        <v>127</v>
      </c>
    </row>
    <row r="15" spans="2:6" x14ac:dyDescent="0.3">
      <c r="B15" s="88" t="s">
        <v>125</v>
      </c>
      <c r="C15" s="95">
        <v>200</v>
      </c>
      <c r="D15" s="70"/>
      <c r="E15" s="70"/>
      <c r="F15" s="71" t="s">
        <v>127</v>
      </c>
    </row>
    <row r="16" spans="2:6" x14ac:dyDescent="0.3">
      <c r="B16" s="88" t="s">
        <v>115</v>
      </c>
      <c r="C16" s="93">
        <v>4000</v>
      </c>
      <c r="D16" s="70"/>
      <c r="E16" s="70"/>
      <c r="F16" s="71" t="s">
        <v>182</v>
      </c>
    </row>
    <row r="17" spans="2:6" x14ac:dyDescent="0.3">
      <c r="B17" s="88" t="s">
        <v>129</v>
      </c>
      <c r="C17" s="93">
        <v>10000</v>
      </c>
      <c r="D17" s="73">
        <v>16</v>
      </c>
      <c r="E17" s="73">
        <v>1</v>
      </c>
      <c r="F17" s="71" t="s">
        <v>136</v>
      </c>
    </row>
    <row r="18" spans="2:6" x14ac:dyDescent="0.3">
      <c r="B18" s="88" t="s">
        <v>159</v>
      </c>
      <c r="C18" s="36">
        <v>4000</v>
      </c>
      <c r="D18" s="70"/>
      <c r="E18" s="70"/>
      <c r="F18" s="71" t="s">
        <v>183</v>
      </c>
    </row>
    <row r="19" spans="2:6" x14ac:dyDescent="0.3">
      <c r="B19" s="88" t="s">
        <v>113</v>
      </c>
      <c r="C19" s="93">
        <v>440000</v>
      </c>
      <c r="D19" s="70">
        <v>1</v>
      </c>
      <c r="E19" s="73">
        <v>1</v>
      </c>
      <c r="F19" s="71"/>
    </row>
    <row r="20" spans="2:6" x14ac:dyDescent="0.3">
      <c r="B20" s="88" t="s">
        <v>158</v>
      </c>
      <c r="C20" s="36">
        <v>850</v>
      </c>
      <c r="D20" s="77">
        <f>mesitbi</f>
        <v>5</v>
      </c>
      <c r="E20" s="70"/>
      <c r="F20" s="71"/>
    </row>
    <row r="21" spans="2:6" x14ac:dyDescent="0.3">
      <c r="B21" s="88" t="s">
        <v>114</v>
      </c>
      <c r="C21" s="78">
        <f>C16*C15</f>
        <v>800000</v>
      </c>
      <c r="D21" s="96">
        <v>6</v>
      </c>
      <c r="E21" s="96">
        <v>8</v>
      </c>
      <c r="F21" s="71"/>
    </row>
    <row r="22" spans="2:6" x14ac:dyDescent="0.3">
      <c r="B22" s="88" t="s">
        <v>184</v>
      </c>
      <c r="C22" s="79">
        <v>42500</v>
      </c>
      <c r="D22" s="12">
        <v>2</v>
      </c>
      <c r="E22" s="12">
        <v>3</v>
      </c>
      <c r="F22" s="71"/>
    </row>
    <row r="23" spans="2:6" x14ac:dyDescent="0.3">
      <c r="B23" s="88" t="s">
        <v>116</v>
      </c>
      <c r="C23" s="80">
        <v>0.18</v>
      </c>
      <c r="D23" s="81">
        <f>D21</f>
        <v>6</v>
      </c>
      <c r="E23" s="81">
        <f>E21</f>
        <v>8</v>
      </c>
      <c r="F23" s="71"/>
    </row>
    <row r="24" spans="2:6" x14ac:dyDescent="0.3">
      <c r="B24" s="88" t="s">
        <v>202</v>
      </c>
      <c r="C24" s="97">
        <v>0.15</v>
      </c>
      <c r="D24" s="81"/>
      <c r="E24" s="81"/>
      <c r="F24" s="71"/>
    </row>
    <row r="25" spans="2:6" x14ac:dyDescent="0.3">
      <c r="B25" s="88" t="s">
        <v>117</v>
      </c>
      <c r="C25" s="79">
        <v>10000</v>
      </c>
      <c r="D25" s="12">
        <v>1</v>
      </c>
      <c r="E25" s="12">
        <v>1</v>
      </c>
      <c r="F25" s="71"/>
    </row>
    <row r="26" spans="2:6" x14ac:dyDescent="0.3">
      <c r="B26" s="88" t="s">
        <v>124</v>
      </c>
      <c r="C26" s="37">
        <v>23000</v>
      </c>
      <c r="D26" s="81">
        <f>mesconstrucao+prazoconstrucao</f>
        <v>14</v>
      </c>
      <c r="E26" s="81">
        <v>1</v>
      </c>
      <c r="F26" s="71" t="s">
        <v>132</v>
      </c>
    </row>
    <row r="27" spans="2:6" x14ac:dyDescent="0.3">
      <c r="B27" s="88" t="s">
        <v>128</v>
      </c>
      <c r="C27" s="97">
        <v>0.06</v>
      </c>
      <c r="D27" s="81"/>
      <c r="E27" s="81"/>
      <c r="F27" s="71"/>
    </row>
    <row r="28" spans="2:6" x14ac:dyDescent="0.3">
      <c r="B28" s="88" t="s">
        <v>130</v>
      </c>
      <c r="C28" s="83">
        <v>2.7E-2</v>
      </c>
      <c r="D28" s="81">
        <f>D8</f>
        <v>5</v>
      </c>
      <c r="E28" s="81">
        <v>1</v>
      </c>
      <c r="F28" s="71"/>
    </row>
    <row r="29" spans="2:6" x14ac:dyDescent="0.3">
      <c r="B29" s="88" t="s">
        <v>131</v>
      </c>
      <c r="C29" s="82">
        <v>0.15</v>
      </c>
      <c r="D29" s="81"/>
      <c r="E29" s="81"/>
      <c r="F29" s="71"/>
    </row>
    <row r="30" spans="2:6" x14ac:dyDescent="0.3">
      <c r="B30" s="88" t="s">
        <v>156</v>
      </c>
      <c r="C30" s="36">
        <f>750</f>
        <v>750</v>
      </c>
      <c r="D30" s="70"/>
      <c r="E30" s="70"/>
      <c r="F30" s="71"/>
    </row>
    <row r="31" spans="2:6" x14ac:dyDescent="0.3">
      <c r="B31" s="88" t="s">
        <v>142</v>
      </c>
      <c r="C31" s="36">
        <v>2039.86</v>
      </c>
      <c r="D31" s="70">
        <f>D8</f>
        <v>5</v>
      </c>
      <c r="E31" s="70">
        <v>1</v>
      </c>
      <c r="F31" s="71"/>
    </row>
    <row r="32" spans="2:6" x14ac:dyDescent="0.3">
      <c r="B32" s="88" t="s">
        <v>155</v>
      </c>
      <c r="C32" s="36">
        <f>120+25</f>
        <v>145</v>
      </c>
      <c r="D32" s="70"/>
      <c r="E32" s="70"/>
      <c r="F32" s="71"/>
    </row>
    <row r="33" spans="2:6" x14ac:dyDescent="0.3">
      <c r="B33" s="88" t="s">
        <v>149</v>
      </c>
      <c r="C33" s="36">
        <v>1.38</v>
      </c>
      <c r="D33" s="70">
        <f>2+D22</f>
        <v>4</v>
      </c>
      <c r="E33" s="70">
        <v>1</v>
      </c>
      <c r="F33" s="71"/>
    </row>
    <row r="34" spans="2:6" x14ac:dyDescent="0.3">
      <c r="B34" s="88" t="s">
        <v>150</v>
      </c>
      <c r="C34" s="36">
        <v>1.32</v>
      </c>
      <c r="D34" s="70">
        <f>D21+E21</f>
        <v>14</v>
      </c>
      <c r="E34" s="70">
        <v>1</v>
      </c>
      <c r="F34" s="71"/>
    </row>
    <row r="35" spans="2:6" x14ac:dyDescent="0.3">
      <c r="B35" s="88" t="s">
        <v>151</v>
      </c>
      <c r="C35" s="84">
        <v>7000</v>
      </c>
      <c r="D35" s="70">
        <f>mesfinanc</f>
        <v>5</v>
      </c>
      <c r="E35" s="70">
        <v>1</v>
      </c>
      <c r="F35" s="71"/>
    </row>
    <row r="36" spans="2:6" x14ac:dyDescent="0.3">
      <c r="B36" s="88" t="s">
        <v>152</v>
      </c>
      <c r="C36" s="84">
        <v>3000</v>
      </c>
      <c r="D36" s="81">
        <f>D34+1</f>
        <v>15</v>
      </c>
      <c r="E36" s="81">
        <v>1</v>
      </c>
      <c r="F36" s="71"/>
    </row>
    <row r="37" spans="2:6" x14ac:dyDescent="0.3">
      <c r="B37" s="88" t="s">
        <v>157</v>
      </c>
      <c r="C37" s="72">
        <f>CUB*metragemcasa*0.002</f>
        <v>1600</v>
      </c>
      <c r="D37" s="81">
        <f>mesaverbacao</f>
        <v>15</v>
      </c>
      <c r="E37" s="81">
        <v>1</v>
      </c>
      <c r="F37" s="71"/>
    </row>
    <row r="38" spans="2:6" x14ac:dyDescent="0.3">
      <c r="B38" s="88" t="s">
        <v>118</v>
      </c>
      <c r="C38" s="82">
        <v>0.8</v>
      </c>
      <c r="D38" s="81">
        <f>mesfinanc</f>
        <v>5</v>
      </c>
      <c r="E38" s="81">
        <v>1</v>
      </c>
      <c r="F38" s="85"/>
    </row>
    <row r="39" spans="2:6" ht="15" thickBot="1" x14ac:dyDescent="0.35">
      <c r="B39" s="89" t="s">
        <v>119</v>
      </c>
      <c r="C39" s="86">
        <f>C8-(C19*C38)</f>
        <v>488000</v>
      </c>
      <c r="D39" s="87">
        <f>D21+1</f>
        <v>7</v>
      </c>
      <c r="E39" s="87">
        <f>E21</f>
        <v>8</v>
      </c>
      <c r="F39" s="26"/>
    </row>
    <row r="40" spans="2:6" x14ac:dyDescent="0.3">
      <c r="C40" s="12"/>
    </row>
    <row r="43" spans="2:6" x14ac:dyDescent="0.3">
      <c r="B43" t="s">
        <v>120</v>
      </c>
    </row>
    <row r="44" spans="2:6" x14ac:dyDescent="0.3">
      <c r="B44" t="s">
        <v>121</v>
      </c>
      <c r="C44" s="11" t="s">
        <v>122</v>
      </c>
    </row>
    <row r="45" spans="2:6" x14ac:dyDescent="0.3">
      <c r="B45" t="s">
        <v>123</v>
      </c>
      <c r="C45" s="8">
        <v>12500</v>
      </c>
      <c r="D45" s="13"/>
      <c r="E45" s="13"/>
      <c r="F45" t="s">
        <v>137</v>
      </c>
    </row>
    <row r="46" spans="2:6" x14ac:dyDescent="0.3">
      <c r="C46" s="8"/>
      <c r="D46" s="13"/>
      <c r="E46" s="13"/>
    </row>
  </sheetData>
  <conditionalFormatting sqref="D17">
    <cfRule type="cellIs" dxfId="1" priority="2" operator="lessThanOrEqual">
      <formula>$D$36</formula>
    </cfRule>
  </conditionalFormatting>
  <conditionalFormatting sqref="D21">
    <cfRule type="cellIs" dxfId="0" priority="1" operator="lessThanOrEqual">
      <formula>$D$8</formula>
    </cfRule>
  </conditionalFormatting>
  <pageMargins left="0.511811024" right="0.511811024" top="0.78740157499999996" bottom="0.78740157499999996" header="0.31496062000000002" footer="0.31496062000000002"/>
  <headerFooter>
    <oddFooter>&amp;L_x000D_&amp;1#&amp;"Calibri"&amp;8&amp;K000000 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048E-F324-4FBC-A9C6-EFDE54EEBA8F}">
  <dimension ref="B2:W55"/>
  <sheetViews>
    <sheetView zoomScale="55" zoomScaleNormal="55" workbookViewId="0">
      <selection activeCell="A20" sqref="A20:XFD20"/>
    </sheetView>
  </sheetViews>
  <sheetFormatPr defaultRowHeight="14.4" x14ac:dyDescent="0.3"/>
  <cols>
    <col min="1" max="1" width="3.5546875" customWidth="1"/>
    <col min="2" max="2" width="4.88671875" bestFit="1" customWidth="1"/>
    <col min="3" max="3" width="18.44140625" bestFit="1" customWidth="1"/>
    <col min="4" max="4" width="23.5546875" bestFit="1" customWidth="1"/>
    <col min="5" max="5" width="24.109375" customWidth="1"/>
    <col min="6" max="6" width="16.5546875" customWidth="1"/>
    <col min="7" max="7" width="18.33203125" customWidth="1"/>
    <col min="8" max="8" width="24.44140625" bestFit="1" customWidth="1"/>
    <col min="9" max="9" width="22.5546875" bestFit="1" customWidth="1"/>
    <col min="10" max="10" width="23" bestFit="1" customWidth="1"/>
    <col min="11" max="11" width="25" bestFit="1" customWidth="1"/>
    <col min="12" max="12" width="17.109375" bestFit="1" customWidth="1"/>
    <col min="13" max="13" width="2.6640625" style="27" customWidth="1"/>
    <col min="14" max="14" width="17.6640625" bestFit="1" customWidth="1"/>
    <col min="15" max="15" width="17.44140625" customWidth="1"/>
    <col min="16" max="16" width="2.33203125" customWidth="1"/>
    <col min="17" max="17" width="15.33203125" bestFit="1" customWidth="1"/>
    <col min="18" max="18" width="26.33203125" customWidth="1"/>
    <col min="19" max="19" width="27.33203125" customWidth="1"/>
    <col min="20" max="20" width="2.5546875" customWidth="1"/>
    <col min="23" max="23" width="12.109375" customWidth="1"/>
  </cols>
  <sheetData>
    <row r="2" spans="2:23" ht="15" thickBot="1" x14ac:dyDescent="0.35"/>
    <row r="3" spans="2:23" x14ac:dyDescent="0.3">
      <c r="C3" s="102" t="s">
        <v>161</v>
      </c>
      <c r="D3" s="103"/>
      <c r="E3" s="65">
        <f>SMALL(R15:R54,1)</f>
        <v>-583265.48267846485</v>
      </c>
    </row>
    <row r="4" spans="2:23" x14ac:dyDescent="0.3">
      <c r="C4" s="98" t="s">
        <v>162</v>
      </c>
      <c r="D4" s="99"/>
      <c r="E4" s="15">
        <f>mesvenda+1</f>
        <v>17</v>
      </c>
    </row>
    <row r="5" spans="2:23" x14ac:dyDescent="0.3">
      <c r="C5" s="98" t="s">
        <v>128</v>
      </c>
      <c r="D5" s="99"/>
      <c r="E5" s="66">
        <f>metragemvenda*precom2venda*perc.corretagem</f>
        <v>127200</v>
      </c>
    </row>
    <row r="6" spans="2:23" x14ac:dyDescent="0.3">
      <c r="C6" s="98" t="s">
        <v>153</v>
      </c>
      <c r="D6" s="99"/>
      <c r="E6" s="66">
        <f>(LARGE(R15:R54,1)+LARGE(K15:K54,1)-E5)*perc.sucesso</f>
        <v>86511.142477862159</v>
      </c>
    </row>
    <row r="7" spans="2:23" x14ac:dyDescent="0.3">
      <c r="C7" s="98" t="s">
        <v>172</v>
      </c>
      <c r="D7" s="99"/>
      <c r="E7" s="66">
        <f>LARGE(R15:R54,1)+LARGE(K15:K54,1)-E5-E6</f>
        <v>490229.80737455224</v>
      </c>
    </row>
    <row r="8" spans="2:23" x14ac:dyDescent="0.3">
      <c r="C8" s="98" t="s">
        <v>163</v>
      </c>
      <c r="D8" s="99"/>
      <c r="E8" s="66">
        <f>E7*0.15</f>
        <v>73534.471106182827</v>
      </c>
    </row>
    <row r="9" spans="2:23" x14ac:dyDescent="0.3">
      <c r="C9" s="98" t="s">
        <v>164</v>
      </c>
      <c r="D9" s="99"/>
      <c r="E9" s="90">
        <f>E7-E8</f>
        <v>416695.3362683694</v>
      </c>
    </row>
    <row r="10" spans="2:23" x14ac:dyDescent="0.3">
      <c r="C10" s="98" t="s">
        <v>165</v>
      </c>
      <c r="D10" s="99"/>
      <c r="E10" s="91">
        <f>-E9/E3</f>
        <v>0.71441795999109359</v>
      </c>
    </row>
    <row r="11" spans="2:23" ht="15" thickBot="1" x14ac:dyDescent="0.35">
      <c r="C11" s="100" t="s">
        <v>174</v>
      </c>
      <c r="D11" s="101"/>
      <c r="E11" s="92">
        <f ca="1">IRR(S15:INDIRECT(CONCATENATE("S",ROW(S15)+E4-1)))</f>
        <v>5.4054399595887537E-2</v>
      </c>
    </row>
    <row r="13" spans="2:23" ht="15" thickBot="1" x14ac:dyDescent="0.35"/>
    <row r="14" spans="2:23" ht="30.75" customHeight="1" thickBot="1" x14ac:dyDescent="0.35">
      <c r="B14" s="28" t="s">
        <v>138</v>
      </c>
      <c r="C14" s="29" t="s">
        <v>169</v>
      </c>
      <c r="D14" s="29" t="s">
        <v>170</v>
      </c>
      <c r="E14" s="29" t="s">
        <v>167</v>
      </c>
      <c r="F14" s="29" t="s">
        <v>106</v>
      </c>
      <c r="G14" s="29" t="s">
        <v>140</v>
      </c>
      <c r="H14" s="29" t="s">
        <v>148</v>
      </c>
      <c r="I14" s="29" t="s">
        <v>143</v>
      </c>
      <c r="J14" s="29" t="s">
        <v>168</v>
      </c>
      <c r="K14" s="29" t="s">
        <v>144</v>
      </c>
      <c r="L14" s="29" t="s">
        <v>108</v>
      </c>
      <c r="M14" s="30"/>
      <c r="N14" s="29" t="s">
        <v>111</v>
      </c>
      <c r="O14" s="29" t="s">
        <v>141</v>
      </c>
      <c r="P14" s="31"/>
      <c r="Q14" s="29" t="s">
        <v>139</v>
      </c>
      <c r="R14" s="29" t="s">
        <v>160</v>
      </c>
      <c r="S14" s="29" t="s">
        <v>173</v>
      </c>
      <c r="T14" s="32"/>
    </row>
    <row r="15" spans="2:23" ht="15.6" x14ac:dyDescent="0.3">
      <c r="B15" s="64">
        <v>1</v>
      </c>
      <c r="C15" s="45">
        <f t="shared" ref="C15:C54" si="0">IF((IF(AND(ROW(B15)-ROW($B$15)+1&lt;=(mesterreno+prazoterreno-1),B15&gt;=(mesterreno)),-precoterreno*(1-perc.terrenobanco)/prazoterreno,"0")
+
IF(AND(ROW(B15)-ROW($B$15)+1&lt;=(mesterrenobanco+prazoterrenobanco-1),B15&gt;=(mesterrenobanco)),-precoterreno*perc.terrenobanco/prazoterrenobanco,"0"))=0,"",(IF(AND(ROW(B15)-ROW($B$15)+1&lt;=(mesterreno+prazoterreno-1),B15&gt;=(mesterreno)),-precoterreno*(1-perc.terrenobanco)/prazoterreno,"0")
+
IF(AND(ROW(B15)-ROW($B$15)+1&lt;=(mesterrenobanco+prazoterrenobanco-1),B15&gt;=(mesterrenobanco)),-precoterreno*perc.terrenobanco/prazoterrenobanco,"0")))</f>
        <v>-87999.999999999985</v>
      </c>
      <c r="D15" s="46" t="str">
        <f t="shared" ref="D15:D54" si="1">IF(IF(AND(B15&gt;=(mesitbi),B15&lt;=(mesvenda)),-custocondominio,"0")=0,"",(
IF(AND(B15&gt;=(mesitbi),B15&lt;=(mesvenda)),-custocondominio,"")))</f>
        <v/>
      </c>
      <c r="E15" s="46">
        <f t="shared" ref="E15:E44" si="2">IF((IF(AND(ROW(B15)-ROW($B$15)+1&lt;=(mesadesao+prazoadesao-1),B15&gt;=(mesadesao)),-precoadesao/prazoadesao,"0")
+
IF(AND(ROW(B15)-ROW($B$15)+1&lt;=(mesconstrucao+prazoconstrucao-1),B15&gt;=(mesconstrucao)),-custoconstrucao*perc.adm/prazoconstrucao,"0")
+
IF(AND(ROW(B15)-ROW($B$15)+1&lt;=(mesprojeto+prazoprojeto-1),B15&gt;=(mesprojeto)),-precoprojetos/prazoprojeto,"0"))=0,"",(IF(AND(ROW(B15)-ROW($B$15)+1&lt;=(mesadesao+prazoadesao-1),B15&gt;=(mesadesao)),-precoadesao/prazoadesao,"0")
+
IF(AND(ROW(B15)-ROW($B$15)+1&lt;=(mesconstrucao+prazoconstrucao-1),B15&gt;=(mesconstrucao)),-custoconstrucao*perc.adm/prazoconstrucao,"0")
+
IF(AND(ROW(B15)-ROW($B$15)+1&lt;=(mesprojeto+prazoprojeto-1),B15&gt;=(mesprojeto)),-precoprojetos/prazoprojeto,"0")))</f>
        <v>-10000</v>
      </c>
      <c r="F15" s="46" t="str">
        <f>IF((IF(AND(ROW(B15)-ROW($B$15)+1&lt;=(mesconstrucao+prazoconstrucao-1),B15&gt;=(mesconstrucao)),-custoconstrucao*(1-perc.adm)/prazoconstrucao,0))=0,"",(IF(AND(ROW(B15)-ROW($B$15)+1&lt;=(mesconstrucao+prazoconstrucao-1),B15&gt;=(mesconstrucao)),-custoconstrucao*(1-perc.adm)/prazoconstrucao,"0")))</f>
        <v/>
      </c>
      <c r="G15" s="46" t="str">
        <f>IF((IF(AND(ROW(B15)-ROW($B$15)+1&lt;=(mesitbi+prazoitbi-1),B15&gt;=(mesitbi)),-perc.itbi*precoterreno/prazoitbi,"0")
+
IF(AND(ROW(B15)-ROW($B$15)+1&lt;=(mesconstrucao+prazoconstrucao-1),B15=(mesconstrucao+2)),-precovistoria,"0")
+
IF(AND(ROW(B15)-ROW($B$15)+1&lt;=(mesconstrucao+prazoconstrucao-1),B15=(mesconstrucao+7)),-precovistoria,"0")
+
IF(AND(ROW(B15)-ROW($B$15)+1&lt;=(mesinss+prazoinss-1),B15&gt;=(mesinss)),-custoinss/prazoinss,"0")
+
IF(AND(ROW(B15)-ROW($B$15)+1&lt;=(mesalvara+prazoalvara-1),B15&gt;=(mesalvara)),-taxam2alvara*metragemcasa/prazoalvara,"0")
+
IF(AND(ROW(B15)-ROW($B$15)+1&lt;=(mescvco+prazocvco-1),B15&gt;=(mescvco)),-taxam2cvco*metragemcasa/prazocvco,"0")
+
IF(AND(ROW(B15)-ROW($B$15)+1&lt;=(mesregistrocartorio+prazoregistrocartorio-1),B15&gt;=(mesregistrocartorio)),-precoregistrocartorio/prazoregistrocartorio,"0")
+
IF(AND(ROW(B15)-ROW($B$15)+1&lt;=(mesaverbacao+prazoaverbacao-1),B15&gt;=(mesaverbacao)),-(precoaverbacao+custofunrejus)/prazoaverbacao,"0"))=0,"",(IF(AND(ROW(B15)-ROW($B$15)+1&lt;=(mesitbi+prazoitbi-1),B15&gt;=(mesitbi)),-perc.itbi*precoterreno/prazoitbi,"0")
+
IF(AND(ROW(B15)-ROW($B$15)+1&lt;=(mesconstrucao+prazoconstrucao-1),B15=(mesconstrucao+2)),-precovistoria,"0")
+
IF(AND(ROW(B15)-ROW($B$15)+1&lt;=(mesconstrucao+prazoconstrucao-1),B15=(mesconstrucao+7)),-precovistoria,"0")
+
IF(AND(ROW(B15)-ROW($B$15)+1&lt;=(mesinss+prazoinss-1),B15&gt;=(mesinss)),-custoinss/prazoinss,"0")
+
IF(AND(ROW(B15)-ROW($B$15)+1&lt;=(mesalvara+prazoalvara-1),B15&gt;=(mesalvara)),-taxam2alvara*metragemcasa/prazoalvara,"0")
+
IF(AND(ROW(B15)-ROW($B$15)+1&lt;=(mescvco+prazocvco-1),B15&gt;=(mescvco)),-taxam2cvco*metragemcasa/prazocvco,"0")
+
IF(AND(ROW(B15)-ROW($B$15)+1&lt;=(mesregistrocartorio+prazoregistrocartorio-1),B15&gt;=(mesregistrocartorio)),-precoregistrocartorio/prazoregistrocartorio,"0")
+
IF(AND(ROW(B15)-ROW($B$15)+1&lt;=(mesaverbacao+prazoaverbacao-1),B15&gt;=(mesaverbacao)),-(precoaverbacao+custofunrejus)/prazoaverbacao,"0")))</f>
        <v/>
      </c>
      <c r="H15" s="46" t="str">
        <f>IF((IF(AND(ROW(B15)-ROW($B$15)+1&lt;=(mesavaliacao+prazoavaliacao-1),B15&gt;=(mesavaliacao)),-precoavaliacao/prazoavaliacao,"0")
+
IF(AND(ROW(B15)-ROW($B$15)+1&lt;=(mesfinanc+mesesfinanc-1),B15&gt;=(mesfinanc+1),B15&lt;=(mesvenda)),-precotaxaseguro,"0"))=0,"",(IF(AND(ROW(B15)-ROW($B$15)+1&lt;=(mesavaliacao+prazoavaliacao-1),B15&gt;=(mesavaliacao)),-precoavaliacao/prazoavaliacao,"0")
+
IF(AND(ROW(B15)-ROW($B$15)+1&lt;=(mesfinanc+mesesfinanc-1),B15&gt;=(mesfinanc+1),B15&lt;=(mesvenda)),-precotaxaseguro,"0")))</f>
        <v/>
      </c>
      <c r="I15" s="46" t="str">
        <f t="shared" ref="I15:I54" si="3">IF(IF(AND(ROW(B15)-ROW($B$15)+1&lt;=(mesfinanc+mesesfinanc-1),B15&gt;(mescvco),B15&lt;=(mesvenda)),-financiamento/mesesfinanc,"0")=0,"",IF(AND(ROW(B15)-ROW($B$15)+1&lt;=(mesfinanc+mesesfinanc-1),B15&gt;(mescvco),B15&lt;=(mesvenda)),-financiamento/mesesfinanc,"0"))</f>
        <v>0</v>
      </c>
      <c r="J15" s="46" t="str">
        <f>IF(IF(AND(ROW(B15)-ROW($B$15)+1&lt;=(mesfinanc+mesesfinanc-1),B15&lt;=(mesvenda)),-(SUM($N14:N$15)+SUM($I14:I$15))*jurosmensais,"0")=0,"0",IF(AND(ROW(B15)-ROW($B$15)+1&lt;=(mesfinanc+mesesfinanc-1),B15&lt;=(mesvenda)),-(SUM($N14:N$15)+SUM($I14:I$15))*jurosmensais,"0"))</f>
        <v>0</v>
      </c>
      <c r="K15" s="47" t="str">
        <f>IF((IF(AND(ROW(B15)-ROW($B$15)+1&lt;=(mesfinanc+mesesfinanc-1),B15=(mesfinanc),B15&lt;=(mesvenda)),-financiamento,"0")
+
IF(AND(ROW(B15)-ROW($B$15)+1&lt;=(mesfinanc+mesesfinanc-1),B15&gt;(mesfinanc),B15&lt;=(mesvenda)),K14-I15,"0"))=0,"",(IF(AND(ROW(B15)-ROW($B$15)+1&lt;=(mesfinanc+mesesfinanc-1),B15=(mesfinanc),B15&lt;=(mesvenda)),-financiamento,"0")
+
IF(AND(ROW(B15)-ROW($B$15)+1&lt;=(mesfinanc+mesesfinanc-1),B15&gt;(mesfinanc),B15&lt;=(mesvenda)),K14-I15,"0")))</f>
        <v/>
      </c>
      <c r="L15" s="48" t="str">
        <f t="shared" ref="L15:L54" si="4">IF((IF(AND(ROW(B15)-ROW($B$15)+1&lt;=(mesvenda+prazovenda-1),B15&gt;=(mesvenda)),precom2venda*metragemvenda/prazovenda,0))=0,"",(IF(AND(ROW(B15)-ROW($B$15)+1&lt;=(mesvenda+prazovenda-1),B15&gt;=(mesvenda)),precom2venda*metragemvenda/prazovenda,0)))</f>
        <v/>
      </c>
      <c r="M15" s="35"/>
      <c r="N15" s="55" t="str">
        <f t="shared" ref="N15:N54" si="5">IF((IF(AND(ROW(B15)-ROW($B$15)+1&lt;=(mesterrenobanco+prazoterrenobanco-1),B15&gt;=(mesterrenobanco)),precoterreno*perc.terrenobanco/prazoterrenobanco,"0")
+
(IF(AND(ROW(B15)-ROW($B$15)+1&lt;=(mesconstrucao+prazoconstrucao),B15&gt;(mesconstrucao)),(financiamento-(precoterreno*perc.terrenobanco))/prazoconstrucao)))=0,"0",(IF(AND(ROW(B15)-ROW($B$15)+1&lt;=(mesterrenobanco+prazoterrenobanco-1),B15&gt;=(mesterrenobanco)),precoterreno*perc.terrenobanco/prazoterrenobanco,"0"))+(IF(AND(ROW(B15)-ROW($B$15)+1&lt;=(mesconstrucao+prazoconstrucao),B15&gt;(mesconstrucao)),(financiamento-(precoterreno*perc.terrenobanco))/prazoconstrucao)))</f>
        <v>0</v>
      </c>
      <c r="O15" s="48">
        <f t="shared" ref="O15:O54" si="6">-SUM(C15:J15)-N15</f>
        <v>97999.999999999985</v>
      </c>
      <c r="P15" s="16"/>
      <c r="Q15" s="58" t="str">
        <f>IF(SUM(C15:J15)=-SUM(N15:O15),"OK",SUM(C15:J15)-SUM(N15:O15))</f>
        <v>OK</v>
      </c>
      <c r="R15" s="46">
        <f>-SUM(L15,O15)</f>
        <v>-97999.999999999985</v>
      </c>
      <c r="S15" s="59">
        <f t="shared" ref="S15:S30" si="7">-O15
+
IF(B15=($E$4),$E$9-$E$3,"0")</f>
        <v>-97999.999999999985</v>
      </c>
      <c r="T15" s="38"/>
    </row>
    <row r="16" spans="2:23" ht="15.6" x14ac:dyDescent="0.3">
      <c r="B16" s="64">
        <v>2</v>
      </c>
      <c r="C16" s="49" t="str">
        <f t="shared" si="0"/>
        <v/>
      </c>
      <c r="D16" s="33" t="str">
        <f t="shared" si="1"/>
        <v/>
      </c>
      <c r="E16" s="33">
        <f t="shared" si="2"/>
        <v>-14166.666666666666</v>
      </c>
      <c r="F16" s="33" t="str">
        <f t="shared" ref="F16:F44" si="8">IF((IF(AND(ROW(B16)-ROW($B$15)+1&lt;=(mesconstrucao+prazoconstrucao-1),B16&gt;=(mesconstrucao)),-custoconstrucao*(1-perc.adm)/prazoconstrucao,0))=0,"",(IF(AND(ROW(B16)-ROW($B$15)+1&lt;=(mesconstrucao+prazoconstrucao-1),B16&gt;=(mesconstrucao)),-custoconstrucao*(1-perc.adm)/prazoconstrucao,"0")))</f>
        <v/>
      </c>
      <c r="G16" s="33" t="str">
        <f t="shared" ref="G16:G44" si="9">IF((IF(AND(ROW(B16)-ROW($B$15)+1&lt;=(mesitbi+prazoitbi-1),B16&gt;=(mesitbi)),-perc.itbi*precoterreno/prazoitbi,"0")
+
IF(AND(ROW(B16)-ROW($B$15)+1&lt;=(mesconstrucao+prazoconstrucao-1),B16=(mesconstrucao+2)),-precovistoria,"0")
+
IF(AND(ROW(B16)-ROW($B$15)+1&lt;=(mesconstrucao+prazoconstrucao-1),B16=(mesconstrucao+7)),-precovistoria,"0")
+
IF(AND(ROW(B16)-ROW($B$15)+1&lt;=(mesinss+prazoinss-1),B16&gt;=(mesinss)),-custoinss/prazoinss,"0")
+
IF(AND(ROW(B16)-ROW($B$15)+1&lt;=(mesalvara+prazoalvara-1),B16&gt;=(mesalvara)),-taxam2alvara*metragemcasa/prazoalvara,"0")
+
IF(AND(ROW(B16)-ROW($B$15)+1&lt;=(mescvco+prazocvco-1),B16&gt;=(mescvco)),-taxam2cvco*metragemcasa/prazocvco,"0")
+
IF(AND(ROW(B16)-ROW($B$15)+1&lt;=(mesregistrocartorio+prazoregistrocartorio-1),B16&gt;=(mesregistrocartorio)),-precoregistrocartorio/prazoregistrocartorio,"0")
+
IF(AND(ROW(B16)-ROW($B$15)+1&lt;=(mesaverbacao+prazoaverbacao-1),B16&gt;=(mesaverbacao)),-(precoaverbacao+custofunrejus)/prazoaverbacao,"0"))=0,"",(IF(AND(ROW(B16)-ROW($B$15)+1&lt;=(mesitbi+prazoitbi-1),B16&gt;=(mesitbi)),-perc.itbi*precoterreno/prazoitbi,"0")
+
IF(AND(ROW(B16)-ROW($B$15)+1&lt;=(mesconstrucao+prazoconstrucao-1),B16=(mesconstrucao+2)),-precovistoria,"0")
+
IF(AND(ROW(B16)-ROW($B$15)+1&lt;=(mesconstrucao+prazoconstrucao-1),B16=(mesconstrucao+7)),-precovistoria,"0")
+
IF(AND(ROW(B16)-ROW($B$15)+1&lt;=(mesinss+prazoinss-1),B16&gt;=(mesinss)),-custoinss/prazoinss,"0")
+
IF(AND(ROW(B16)-ROW($B$15)+1&lt;=(mesalvara+prazoalvara-1),B16&gt;=(mesalvara)),-taxam2alvara*metragemcasa/prazoalvara,"0")
+
IF(AND(ROW(B16)-ROW($B$15)+1&lt;=(mescvco+prazocvco-1),B16&gt;=(mescvco)),-taxam2cvco*metragemcasa/prazocvco,"0")
+
IF(AND(ROW(B16)-ROW($B$15)+1&lt;=(mesregistrocartorio+prazoregistrocartorio-1),B16&gt;=(mesregistrocartorio)),-precoregistrocartorio/prazoregistrocartorio,"0")
+
IF(AND(ROW(B16)-ROW($B$15)+1&lt;=(mesaverbacao+prazoaverbacao-1),B16&gt;=(mesaverbacao)),-(precoaverbacao+custofunrejus)/prazoaverbacao,"0")))</f>
        <v/>
      </c>
      <c r="H16" s="33" t="str">
        <f t="shared" ref="H16:H44" si="10">IF((IF(AND(ROW(B16)-ROW($B$15)+1&lt;=(mesavaliacao+prazoavaliacao-1),B16&gt;=(mesavaliacao)),-precoavaliacao/prazoavaliacao,"0")
+
IF(AND(ROW(B16)-ROW($B$15)+1&lt;=(mesfinanc+mesesfinanc-1),B16&gt;=(mesfinanc+1),B16&lt;=(mesvenda)),-precotaxaseguro,"0"))=0,"",(IF(AND(ROW(B16)-ROW($B$15)+1&lt;=(mesavaliacao+prazoavaliacao-1),B16&gt;=(mesavaliacao)),-precoavaliacao/prazoavaliacao,"0")
+
IF(AND(ROW(B16)-ROW($B$15)+1&lt;=(mesfinanc+mesesfinanc-1),B16&gt;=(mesfinanc+1),B16&lt;=(mesvenda)),-precotaxaseguro,"0")))</f>
        <v/>
      </c>
      <c r="I16" s="33" t="str">
        <f t="shared" si="3"/>
        <v>0</v>
      </c>
      <c r="J16" s="33" t="str">
        <f>IF(IF(AND(ROW(B16)-ROW($B$15)+1&lt;=(mesfinanc+mesesfinanc-1),B16&lt;=(mesvenda)),-(SUM($N$15:N15)+SUM($I$15:I15))*jurosmensais,"0")=0,"0",IF(AND(ROW(B16)-ROW($B$15)+1&lt;=(mesfinanc+mesesfinanc-1),B16&lt;=(mesvenda)),-(SUM($N$15:N15)+SUM($I$15:I15))*jurosmensais,"0"))</f>
        <v>0</v>
      </c>
      <c r="K16" s="34" t="str">
        <f>IF((IF(AND(ROW(B16)-ROW($B$15)+1&lt;=(mesfinanc+mesesfinanc-1),B16=(mesfinanc),B16&lt;=(mesvenda)),-financiamento,"0")
+
IF(AND(ROW(B16)-ROW($B$15)+1&lt;=(mesfinanc+mesesfinanc-1),B16&gt;(mesfinanc),B16&lt;=(mesvenda)),K15-I16,"0"))=0,"",(IF(AND(ROW(B16)-ROW($B$15)+1&lt;=(mesfinanc+mesesfinanc-1),B16=(mesfinanc),B16&lt;=(mesvenda)),-financiamento,"0")
+
IF(AND(ROW(B16)-ROW($B$15)+1&lt;=(mesfinanc+mesesfinanc-1),B16&gt;(mesfinanc),B16&lt;=(mesvenda)),K15-I16,"0")))</f>
        <v/>
      </c>
      <c r="L16" s="50" t="str">
        <f t="shared" si="4"/>
        <v/>
      </c>
      <c r="M16" s="35"/>
      <c r="N16" s="56" t="str">
        <f t="shared" si="5"/>
        <v>0</v>
      </c>
      <c r="O16" s="50">
        <f t="shared" si="6"/>
        <v>14166.666666666666</v>
      </c>
      <c r="P16" s="16"/>
      <c r="Q16" s="60" t="str">
        <f t="shared" ref="Q16:Q54" si="11">IF(SUM(C16:J16)=-SUM(N16:O16),"OK",SUM(C16:J16)-SUM(N16:O16))</f>
        <v>OK</v>
      </c>
      <c r="R16" s="33">
        <f>SUM(L16,R15)-O16</f>
        <v>-112166.66666666666</v>
      </c>
      <c r="S16" s="61">
        <f t="shared" si="7"/>
        <v>-14166.666666666666</v>
      </c>
      <c r="T16" s="38"/>
      <c r="W16" s="10"/>
    </row>
    <row r="17" spans="2:20" ht="15.6" x14ac:dyDescent="0.3">
      <c r="B17" s="64">
        <v>3</v>
      </c>
      <c r="C17" s="49" t="str">
        <f t="shared" si="0"/>
        <v/>
      </c>
      <c r="D17" s="33" t="str">
        <f t="shared" si="1"/>
        <v/>
      </c>
      <c r="E17" s="33">
        <f t="shared" si="2"/>
        <v>-14166.666666666666</v>
      </c>
      <c r="F17" s="33" t="str">
        <f t="shared" si="8"/>
        <v/>
      </c>
      <c r="G17" s="33" t="str">
        <f t="shared" si="9"/>
        <v/>
      </c>
      <c r="H17" s="33" t="str">
        <f t="shared" si="10"/>
        <v/>
      </c>
      <c r="I17" s="33" t="str">
        <f t="shared" si="3"/>
        <v>0</v>
      </c>
      <c r="J17" s="33" t="str">
        <f>IF(IF(AND(ROW(B17)-ROW($B$15)+1&lt;=(mesfinanc+mesesfinanc-1),B17&lt;=(mesvenda)),-(SUM($N$15:N16)+SUM($I$15:I16))*jurosmensais,"0")=0,"0",IF(AND(ROW(B17)-ROW($B$15)+1&lt;=(mesfinanc+mesesfinanc-1),B17&lt;=(mesvenda)),-(SUM($N$15:N16)+SUM($I$15:I16))*jurosmensais,"0"))</f>
        <v>0</v>
      </c>
      <c r="K17" s="34" t="str">
        <f>IF((IF(AND(ROW(B17)-ROW($B$15)+1&lt;=(mesfinanc+mesesfinanc-1),B17=(mesfinanc),B17&lt;=(mesvenda)),-financiamento,"0")
+
IF(AND(ROW(B17)-ROW($B$15)+1&lt;=(mesfinanc+mesesfinanc-1),B17&gt;(mesfinanc),B17&lt;=(mesvenda)),K16-I17,"0"))=0,"",(IF(AND(ROW(B17)-ROW($B$15)+1&lt;=(mesfinanc+mesesfinanc-1),B17=(mesfinanc),B17&lt;=(mesvenda)),-financiamento,"0")
+
IF(AND(ROW(B17)-ROW($B$15)+1&lt;=(mesfinanc+mesesfinanc-1),B17&gt;(mesfinanc),B17&lt;=(mesvenda)),K16-I17,"0")))</f>
        <v/>
      </c>
      <c r="L17" s="50" t="str">
        <f t="shared" si="4"/>
        <v/>
      </c>
      <c r="M17" s="35"/>
      <c r="N17" s="56" t="str">
        <f t="shared" si="5"/>
        <v>0</v>
      </c>
      <c r="O17" s="50">
        <f t="shared" si="6"/>
        <v>14166.666666666666</v>
      </c>
      <c r="P17" s="16"/>
      <c r="Q17" s="60" t="str">
        <f t="shared" si="11"/>
        <v>OK</v>
      </c>
      <c r="R17" s="33">
        <f>SUM(L17,R16)-O17</f>
        <v>-126333.33333333333</v>
      </c>
      <c r="S17" s="61">
        <f t="shared" si="7"/>
        <v>-14166.666666666666</v>
      </c>
      <c r="T17" s="38"/>
    </row>
    <row r="18" spans="2:20" ht="15.6" x14ac:dyDescent="0.3">
      <c r="B18" s="64">
        <v>4</v>
      </c>
      <c r="C18" s="49" t="str">
        <f t="shared" si="0"/>
        <v/>
      </c>
      <c r="D18" s="33" t="str">
        <f t="shared" si="1"/>
        <v/>
      </c>
      <c r="E18" s="33">
        <f t="shared" si="2"/>
        <v>-14166.666666666666</v>
      </c>
      <c r="F18" s="33" t="str">
        <f t="shared" si="8"/>
        <v/>
      </c>
      <c r="G18" s="33">
        <f t="shared" si="9"/>
        <v>-276</v>
      </c>
      <c r="H18" s="33" t="str">
        <f t="shared" si="10"/>
        <v/>
      </c>
      <c r="I18" s="33" t="str">
        <f t="shared" si="3"/>
        <v>0</v>
      </c>
      <c r="J18" s="33" t="str">
        <f>IF(IF(AND(ROW(B18)-ROW($B$15)+1&lt;=(mesfinanc+mesesfinanc-1),B18&lt;=(mesvenda)),-(SUM($N$15:N17)+SUM($I$15:I17))*jurosmensais,"0")=0,"0",IF(AND(ROW(B18)-ROW($B$15)+1&lt;=(mesfinanc+mesesfinanc-1),B18&lt;=(mesvenda)),-(SUM($N$15:N17)+SUM($I$15:I17))*jurosmensais,"0"))</f>
        <v>0</v>
      </c>
      <c r="K18" s="34" t="str">
        <f>IF((IF(AND(ROW(B18)-ROW($B$15)+1&lt;=(mesfinanc+mesesfinanc-1),B18=(mesfinanc),B18&lt;=(mesvenda)),-financiamento,"0")
+
IF(AND(ROW(B18)-ROW($B$15)+1&lt;=(mesfinanc+mesesfinanc-1),B18&gt;(mesfinanc),B18&lt;=(mesvenda)),K17-I18,"0"))=0,"",(IF(AND(ROW(B18)-ROW($B$15)+1&lt;=(mesfinanc+mesesfinanc-1),B18=(mesfinanc),B18&lt;=(mesvenda)),-financiamento,"0")
+
IF(AND(ROW(B18)-ROW($B$15)+1&lt;=(mesfinanc+mesesfinanc-1),B18&gt;(mesfinanc),B18&lt;=(mesvenda)),K17-I18,"0")))</f>
        <v/>
      </c>
      <c r="L18" s="50" t="str">
        <f t="shared" si="4"/>
        <v/>
      </c>
      <c r="M18" s="35"/>
      <c r="N18" s="56" t="str">
        <f t="shared" si="5"/>
        <v>0</v>
      </c>
      <c r="O18" s="50">
        <f t="shared" si="6"/>
        <v>14442.666666666666</v>
      </c>
      <c r="P18" s="16"/>
      <c r="Q18" s="60" t="str">
        <f t="shared" si="11"/>
        <v>OK</v>
      </c>
      <c r="R18" s="33">
        <f t="shared" ref="R18:R44" si="12">SUM(L18,R17)-O18</f>
        <v>-140776</v>
      </c>
      <c r="S18" s="61">
        <f t="shared" si="7"/>
        <v>-14442.666666666666</v>
      </c>
      <c r="T18" s="38"/>
    </row>
    <row r="19" spans="2:20" ht="15.6" x14ac:dyDescent="0.3">
      <c r="B19" s="64">
        <v>5</v>
      </c>
      <c r="C19" s="49">
        <f t="shared" si="0"/>
        <v>-352000</v>
      </c>
      <c r="D19" s="33">
        <f t="shared" si="1"/>
        <v>-850</v>
      </c>
      <c r="E19" s="33" t="str">
        <f t="shared" si="2"/>
        <v/>
      </c>
      <c r="F19" s="33" t="str">
        <f t="shared" si="8"/>
        <v/>
      </c>
      <c r="G19" s="33">
        <f t="shared" si="9"/>
        <v>-18880</v>
      </c>
      <c r="H19" s="33">
        <f t="shared" si="10"/>
        <v>-2039.86</v>
      </c>
      <c r="I19" s="33" t="str">
        <f t="shared" si="3"/>
        <v>0</v>
      </c>
      <c r="J19" s="33" t="str">
        <f>IF(IF(AND(ROW(B19)-ROW($B$15)+1&lt;=(mesfinanc+mesesfinanc-1),B19&lt;=(mesvenda)),-(SUM($N$15:N18)+SUM($I$15:I18))*jurosmensais,"0")=0,"0",IF(AND(ROW(B19)-ROW($B$15)+1&lt;=(mesfinanc+mesesfinanc-1),B19&lt;=(mesvenda)),-(SUM($N$15:N18)+SUM($I$15:I18))*jurosmensais,"0"))</f>
        <v>0</v>
      </c>
      <c r="K19" s="39">
        <f>IF((IF(AND(ROW(B19)-ROW($B$15)+1&lt;=(mesfinanc+mesesfinanc-1),B19=(mesfinanc),B19&lt;=(mesvenda)),-financiamento,"0")
+
IF(AND(ROW(B19)-ROW($B$15)+1&lt;=(mesfinanc+mesesfinanc-1),B19&gt;(mesconstrucao+prazoconstrucao),B19&lt;=(mesvenda)),K18-I19,"0"))=0,"",(IF(AND(ROW(B19)-ROW($B$15)+1&lt;=(mesfinanc+mesesfinanc-1),B19=(mesfinanc),B19&lt;=(mesvenda)),-financiamento,"0"))
+
IF(AND(ROW(B19)-ROW($B$15)+1&lt;=(mesfinanc+mesesfinanc-1),B19&gt;(mesfinanc),B19&lt;=(mesvenda)),K18-I19,"0"))</f>
        <v>-840000</v>
      </c>
      <c r="L19" s="50" t="str">
        <f t="shared" si="4"/>
        <v/>
      </c>
      <c r="M19" s="35"/>
      <c r="N19" s="56">
        <f t="shared" si="5"/>
        <v>352000</v>
      </c>
      <c r="O19" s="50">
        <f t="shared" si="6"/>
        <v>21769.859999999986</v>
      </c>
      <c r="P19" s="16"/>
      <c r="Q19" s="60" t="str">
        <f t="shared" si="11"/>
        <v>OK</v>
      </c>
      <c r="R19" s="33">
        <f t="shared" si="12"/>
        <v>-162545.85999999999</v>
      </c>
      <c r="S19" s="61">
        <f t="shared" si="7"/>
        <v>-21769.859999999986</v>
      </c>
      <c r="T19" s="38"/>
    </row>
    <row r="20" spans="2:20" ht="15.6" x14ac:dyDescent="0.3">
      <c r="B20" s="64">
        <v>6</v>
      </c>
      <c r="C20" s="49" t="str">
        <f t="shared" si="0"/>
        <v/>
      </c>
      <c r="D20" s="33">
        <f t="shared" si="1"/>
        <v>-850</v>
      </c>
      <c r="E20" s="33">
        <f t="shared" si="2"/>
        <v>-18000</v>
      </c>
      <c r="F20" s="33">
        <f>IF((IF(AND(ROW(B20)-ROW($B$15)+1&lt;=(mesconstrucao+prazoconstrucao-1),B20&gt;=(mesconstrucao)),-custoconstrucao*(1-perc.adm)/prazoconstrucao,0))=0,"",(IF(AND(ROW(B20)-ROW($B$15)+1&lt;=(mesconstrucao+prazoconstrucao-1),B20&gt;=(mesconstrucao)),-custoconstrucao*(1-perc.adm)/prazoconstrucao,"0")))</f>
        <v>-82000</v>
      </c>
      <c r="G20" s="33" t="str">
        <f>IF((IF(AND(ROW(B20)-ROW($B$15)+1&lt;=(mesitbi+prazoitbi-1),B20&gt;=(mesitbi)),-perc.itbi*precoterreno/prazoitbi,"0")
+
IF(AND(ROW(B20)-ROW($B$15)+1&lt;=(mesconstrucao+prazoconstrucao-1),B20=(mesconstrucao+2)),-precovistoria,"0")
+
IF(AND(ROW(B20)-ROW($B$15)+1&lt;=(mesconstrucao+prazoconstrucao-1),B20=(mesconstrucao+7)),-precovistoria,"0")
+
IF(AND(ROW(B20)-ROW($B$15)+1&lt;=(mesinss+prazoinss-1),B20&gt;=(mesinss)),-custoinss/prazoinss,"0")
+
IF(AND(ROW(B20)-ROW($B$15)+1&lt;=(mesalvara+prazoalvara-1),B20&gt;=(mesalvara)),-taxam2alvara*metragemcasa/prazoalvara,"0")
+
IF(AND(ROW(B20)-ROW($B$15)+1&lt;=(mescvco+prazocvco-1),B20&gt;=(mescvco)),-taxam2cvco*metragemcasa/prazocvco,"0")
+
IF(AND(ROW(B20)-ROW($B$15)+1&lt;=(mesregistrocartorio+prazoregistrocartorio-1),B20&gt;=(mesregistrocartorio)),-precoregistrocartorio/prazoregistrocartorio,"0")
+
IF(AND(ROW(B20)-ROW($B$15)+1&lt;=(mesaverbacao+prazoaverbacao-1),B20&gt;=(mesaverbacao)),-(precoaverbacao+custofunrejus)/prazoaverbacao,"0"))=0,"",(IF(AND(ROW(B20)-ROW($B$15)+1&lt;=(mesitbi+prazoitbi-1),B20&gt;=(mesitbi)),-perc.itbi*precoterreno/prazoitbi,"0")
+
IF(AND(ROW(B20)-ROW($B$15)+1&lt;=(mesconstrucao+prazoconstrucao-1),B20=(mesconstrucao+2)),-precovistoria,"0")
+
IF(AND(ROW(B20)-ROW($B$15)+1&lt;=(mesconstrucao+prazoconstrucao-1),B20=(mesconstrucao+7)),-precovistoria,"0")
+
IF(AND(ROW(B20)-ROW($B$15)+1&lt;=(mesinss+prazoinss-1),B20&gt;=(mesinss)),-custoinss/prazoinss,"0")
+
IF(AND(ROW(B20)-ROW($B$15)+1&lt;=(mesalvara+prazoalvara-1),B20&gt;=(mesalvara)),-taxam2alvara*metragemcasa/prazoalvara,"0")
+
IF(AND(ROW(B20)-ROW($B$15)+1&lt;=(mescvco+prazocvco-1),B20&gt;=(mescvco)),-taxam2cvco*metragemcasa/prazocvco,"0")
+
IF(AND(ROW(B20)-ROW($B$15)+1&lt;=(mesregistrocartorio+prazoregistrocartorio-1),B20&gt;=(mesregistrocartorio)),-precoregistrocartorio/prazoregistrocartorio,"0")
+
IF(AND(ROW(B20)-ROW($B$15)+1&lt;=(mesaverbacao+prazoaverbacao-1),B20&gt;=(mesaverbacao)),-(precoaverbacao+custofunrejus)/prazoaverbacao,"0")))</f>
        <v/>
      </c>
      <c r="H20" s="33">
        <f t="shared" si="10"/>
        <v>-145</v>
      </c>
      <c r="I20" s="33" t="str">
        <f t="shared" si="3"/>
        <v>0</v>
      </c>
      <c r="J20" s="33">
        <f>IF(IF(AND(ROW(B20)-ROW($B$15)+1&lt;=(mesfinanc+mesesfinanc-1),B20&lt;=(mesvenda)),-(SUM($N$15:N19)+SUM($I$15:I19))*jurosmensais,"0")=0,"0",IF(AND(ROW(B20)-ROW($B$15)+1&lt;=(mesfinanc+mesesfinanc-1),B20&lt;=(mesvenda)),-(SUM($N$15:N19)+SUM($I$15:I19))*jurosmensais,"0"))</f>
        <v>-3287.133801029931</v>
      </c>
      <c r="K20" s="39">
        <f t="shared" ref="K20:K54" si="13">IF((IF(AND(ROW(B20)-ROW($B$15)+1&lt;=(mesfinanc+mesesfinanc-1),B20=(mesfinanc),B20&lt;=(mesvenda)),-financiamento,"0")
+
IF(AND(ROW(B20)-ROW($B$15)+1&lt;=(mesfinanc+mesesfinanc-1),B20&gt;(mesfinanc),B20&lt;=(mesvenda)),K19-I20,"0"))=0,"",(IF(AND(ROW(B20)-ROW($B$15)+1&lt;=(mesfinanc+mesesfinanc-1),B20=(mesfinanc),B20&lt;=(mesvenda)),-financiamento,"0")
+
IF(AND(ROW(B20)-ROW($B$15)+1&lt;=(mesfinanc+mesesfinanc-1),B20&gt;(mesfinanc),B20&lt;=(mesvenda)),K19-I20,"0")))</f>
        <v>-840000</v>
      </c>
      <c r="L20" s="50" t="str">
        <f t="shared" si="4"/>
        <v/>
      </c>
      <c r="M20" s="35"/>
      <c r="N20" s="56" t="str">
        <f t="shared" si="5"/>
        <v>0</v>
      </c>
      <c r="O20" s="50">
        <f t="shared" si="6"/>
        <v>104282.13380102994</v>
      </c>
      <c r="P20" s="16"/>
      <c r="Q20" s="60" t="str">
        <f t="shared" si="11"/>
        <v>OK</v>
      </c>
      <c r="R20" s="33">
        <f t="shared" si="12"/>
        <v>-266827.99380102992</v>
      </c>
      <c r="S20" s="61">
        <f t="shared" si="7"/>
        <v>-104282.13380102994</v>
      </c>
      <c r="T20" s="38"/>
    </row>
    <row r="21" spans="2:20" ht="15.6" x14ac:dyDescent="0.3">
      <c r="B21" s="64">
        <v>7</v>
      </c>
      <c r="C21" s="49" t="str">
        <f t="shared" si="0"/>
        <v/>
      </c>
      <c r="D21" s="33">
        <f t="shared" si="1"/>
        <v>-850</v>
      </c>
      <c r="E21" s="33">
        <f t="shared" si="2"/>
        <v>-18000</v>
      </c>
      <c r="F21" s="33">
        <f t="shared" si="8"/>
        <v>-82000</v>
      </c>
      <c r="G21" s="33" t="str">
        <f t="shared" si="9"/>
        <v/>
      </c>
      <c r="H21" s="33">
        <f t="shared" si="10"/>
        <v>-145</v>
      </c>
      <c r="I21" s="33" t="str">
        <f t="shared" si="3"/>
        <v>0</v>
      </c>
      <c r="J21" s="33">
        <f>IF(IF(AND(ROW(B21)-ROW($B$15)+1&lt;=(mesfinanc+mesesfinanc-1),B21&lt;=(mesvenda)),-(SUM($N$15:N20)+SUM($I$15:I20))*jurosmensais,"0")=0,"0",IF(AND(ROW(B21)-ROW($B$15)+1&lt;=(mesfinanc+mesesfinanc-1),B21&lt;=(mesvenda)),-(SUM($N$15:N20)+SUM($I$15:I20))*jurosmensais,"0"))</f>
        <v>-3287.133801029931</v>
      </c>
      <c r="K21" s="39">
        <f t="shared" si="13"/>
        <v>-840000</v>
      </c>
      <c r="L21" s="50" t="str">
        <f t="shared" si="4"/>
        <v/>
      </c>
      <c r="M21" s="35"/>
      <c r="N21" s="56">
        <f t="shared" si="5"/>
        <v>61000</v>
      </c>
      <c r="O21" s="50">
        <f t="shared" si="6"/>
        <v>43282.133801029937</v>
      </c>
      <c r="P21" s="16"/>
      <c r="Q21" s="60" t="str">
        <f t="shared" si="11"/>
        <v>OK</v>
      </c>
      <c r="R21" s="33">
        <f t="shared" si="12"/>
        <v>-310110.12760205986</v>
      </c>
      <c r="S21" s="61">
        <f t="shared" si="7"/>
        <v>-43282.133801029937</v>
      </c>
      <c r="T21" s="38"/>
    </row>
    <row r="22" spans="2:20" ht="15.6" x14ac:dyDescent="0.3">
      <c r="B22" s="64">
        <v>8</v>
      </c>
      <c r="C22" s="49" t="str">
        <f t="shared" si="0"/>
        <v/>
      </c>
      <c r="D22" s="33">
        <f t="shared" si="1"/>
        <v>-850</v>
      </c>
      <c r="E22" s="33">
        <f t="shared" si="2"/>
        <v>-18000</v>
      </c>
      <c r="F22" s="33">
        <f t="shared" si="8"/>
        <v>-82000</v>
      </c>
      <c r="G22" s="33">
        <f t="shared" si="9"/>
        <v>-750</v>
      </c>
      <c r="H22" s="33">
        <f t="shared" si="10"/>
        <v>-145</v>
      </c>
      <c r="I22" s="33" t="str">
        <f t="shared" si="3"/>
        <v>0</v>
      </c>
      <c r="J22" s="33">
        <f>IF(IF(AND(ROW(B22)-ROW($B$15)+1&lt;=(mesfinanc+mesesfinanc-1),B22&lt;=(mesvenda)),-(SUM($N$15:N21)+SUM($I$15:I21))*jurosmensais,"0")=0,"0",IF(AND(ROW(B22)-ROW($B$15)+1&lt;=(mesfinanc+mesesfinanc-1),B22&lt;=(mesvenda)),-(SUM($N$15:N21)+SUM($I$15:I21))*jurosmensais,"0"))</f>
        <v>-3856.779147231141</v>
      </c>
      <c r="K22" s="39">
        <f t="shared" si="13"/>
        <v>-840000</v>
      </c>
      <c r="L22" s="50" t="str">
        <f t="shared" si="4"/>
        <v/>
      </c>
      <c r="M22" s="35"/>
      <c r="N22" s="56">
        <f t="shared" si="5"/>
        <v>61000</v>
      </c>
      <c r="O22" s="50">
        <f t="shared" si="6"/>
        <v>44601.779147231136</v>
      </c>
      <c r="P22" s="16"/>
      <c r="Q22" s="60" t="str">
        <f t="shared" si="11"/>
        <v>OK</v>
      </c>
      <c r="R22" s="33">
        <f t="shared" si="12"/>
        <v>-354711.906749291</v>
      </c>
      <c r="S22" s="61">
        <f t="shared" si="7"/>
        <v>-44601.779147231136</v>
      </c>
      <c r="T22" s="38"/>
    </row>
    <row r="23" spans="2:20" ht="15.6" x14ac:dyDescent="0.3">
      <c r="B23" s="64">
        <v>9</v>
      </c>
      <c r="C23" s="49" t="str">
        <f t="shared" si="0"/>
        <v/>
      </c>
      <c r="D23" s="33">
        <f t="shared" si="1"/>
        <v>-850</v>
      </c>
      <c r="E23" s="33">
        <f t="shared" si="2"/>
        <v>-18000</v>
      </c>
      <c r="F23" s="33">
        <f t="shared" si="8"/>
        <v>-82000</v>
      </c>
      <c r="G23" s="33" t="str">
        <f t="shared" si="9"/>
        <v/>
      </c>
      <c r="H23" s="33">
        <f t="shared" si="10"/>
        <v>-145</v>
      </c>
      <c r="I23" s="33" t="str">
        <f t="shared" si="3"/>
        <v>0</v>
      </c>
      <c r="J23" s="33">
        <f>IF(IF(AND(ROW(B23)-ROW($B$15)+1&lt;=(mesfinanc+mesesfinanc-1),B23&lt;=(mesvenda)),-(SUM($N$15:N22)+SUM($I$15:I22))*jurosmensais,"0")=0,"0",IF(AND(ROW(B23)-ROW($B$15)+1&lt;=(mesfinanc+mesesfinanc-1),B23&lt;=(mesvenda)),-(SUM($N$15:N22)+SUM($I$15:I22))*jurosmensais,"0"))</f>
        <v>-4426.4244934323506</v>
      </c>
      <c r="K23" s="39">
        <f t="shared" si="13"/>
        <v>-840000</v>
      </c>
      <c r="L23" s="50" t="str">
        <f t="shared" si="4"/>
        <v/>
      </c>
      <c r="M23" s="35"/>
      <c r="N23" s="56">
        <f t="shared" si="5"/>
        <v>61000</v>
      </c>
      <c r="O23" s="50">
        <f t="shared" si="6"/>
        <v>44421.424493432351</v>
      </c>
      <c r="P23" s="16"/>
      <c r="Q23" s="60" t="str">
        <f t="shared" si="11"/>
        <v>OK</v>
      </c>
      <c r="R23" s="33">
        <f t="shared" si="12"/>
        <v>-399133.33124272333</v>
      </c>
      <c r="S23" s="61">
        <f t="shared" si="7"/>
        <v>-44421.424493432351</v>
      </c>
      <c r="T23" s="38"/>
    </row>
    <row r="24" spans="2:20" ht="15.6" x14ac:dyDescent="0.3">
      <c r="B24" s="64">
        <v>10</v>
      </c>
      <c r="C24" s="49" t="str">
        <f t="shared" si="0"/>
        <v/>
      </c>
      <c r="D24" s="33">
        <f t="shared" si="1"/>
        <v>-850</v>
      </c>
      <c r="E24" s="33">
        <f t="shared" si="2"/>
        <v>-18000</v>
      </c>
      <c r="F24" s="33">
        <f t="shared" si="8"/>
        <v>-82000</v>
      </c>
      <c r="G24" s="33" t="str">
        <f t="shared" si="9"/>
        <v/>
      </c>
      <c r="H24" s="33">
        <f t="shared" si="10"/>
        <v>-145</v>
      </c>
      <c r="I24" s="33" t="str">
        <f t="shared" si="3"/>
        <v>0</v>
      </c>
      <c r="J24" s="33">
        <f>IF(IF(AND(ROW(B24)-ROW($B$15)+1&lt;=(mesfinanc+mesesfinanc-1),B24&lt;=(mesvenda)),-(SUM($N$15:N23)+SUM($I$15:I23))*jurosmensais,"0")=0,"0",IF(AND(ROW(B24)-ROW($B$15)+1&lt;=(mesfinanc+mesesfinanc-1),B24&lt;=(mesvenda)),-(SUM($N$15:N23)+SUM($I$15:I23))*jurosmensais,"0"))</f>
        <v>-4996.0698396335602</v>
      </c>
      <c r="K24" s="39">
        <f t="shared" si="13"/>
        <v>-840000</v>
      </c>
      <c r="L24" s="50" t="str">
        <f t="shared" si="4"/>
        <v/>
      </c>
      <c r="M24" s="35"/>
      <c r="N24" s="56">
        <f t="shared" si="5"/>
        <v>61000</v>
      </c>
      <c r="O24" s="50">
        <f t="shared" si="6"/>
        <v>44991.069839633565</v>
      </c>
      <c r="P24" s="16"/>
      <c r="Q24" s="60" t="str">
        <f t="shared" si="11"/>
        <v>OK</v>
      </c>
      <c r="R24" s="33">
        <f t="shared" si="12"/>
        <v>-444124.40108235693</v>
      </c>
      <c r="S24" s="61">
        <f t="shared" si="7"/>
        <v>-44991.069839633565</v>
      </c>
      <c r="T24" s="38"/>
    </row>
    <row r="25" spans="2:20" ht="15.6" x14ac:dyDescent="0.3">
      <c r="B25" s="64">
        <v>11</v>
      </c>
      <c r="C25" s="49" t="str">
        <f t="shared" si="0"/>
        <v/>
      </c>
      <c r="D25" s="33">
        <f t="shared" si="1"/>
        <v>-850</v>
      </c>
      <c r="E25" s="33">
        <f t="shared" si="2"/>
        <v>-18000</v>
      </c>
      <c r="F25" s="33">
        <f t="shared" si="8"/>
        <v>-82000</v>
      </c>
      <c r="G25" s="33" t="str">
        <f t="shared" si="9"/>
        <v/>
      </c>
      <c r="H25" s="33">
        <f t="shared" si="10"/>
        <v>-145</v>
      </c>
      <c r="I25" s="33" t="str">
        <f t="shared" si="3"/>
        <v>0</v>
      </c>
      <c r="J25" s="33">
        <f>IF(IF(AND(ROW(B25)-ROW($B$15)+1&lt;=(mesfinanc+mesesfinanc-1),B25&lt;=(mesvenda)),-(SUM($N$15:N24)+SUM($I$15:I24))*jurosmensais,"0")=0,"0",IF(AND(ROW(B25)-ROW($B$15)+1&lt;=(mesfinanc+mesesfinanc-1),B25&lt;=(mesvenda)),-(SUM($N$15:N24)+SUM($I$15:I24))*jurosmensais,"0"))</f>
        <v>-5565.7151858347697</v>
      </c>
      <c r="K25" s="39">
        <f t="shared" si="13"/>
        <v>-840000</v>
      </c>
      <c r="L25" s="50" t="str">
        <f t="shared" si="4"/>
        <v/>
      </c>
      <c r="M25" s="35"/>
      <c r="N25" s="56">
        <f t="shared" si="5"/>
        <v>61000</v>
      </c>
      <c r="O25" s="50">
        <f t="shared" si="6"/>
        <v>45560.715185834764</v>
      </c>
      <c r="P25" s="16"/>
      <c r="Q25" s="60" t="str">
        <f t="shared" si="11"/>
        <v>OK</v>
      </c>
      <c r="R25" s="33">
        <f t="shared" si="12"/>
        <v>-489685.11626819172</v>
      </c>
      <c r="S25" s="61">
        <f t="shared" si="7"/>
        <v>-45560.715185834764</v>
      </c>
      <c r="T25" s="38"/>
    </row>
    <row r="26" spans="2:20" ht="15.6" x14ac:dyDescent="0.3">
      <c r="B26" s="64">
        <v>12</v>
      </c>
      <c r="C26" s="49" t="str">
        <f t="shared" si="0"/>
        <v/>
      </c>
      <c r="D26" s="33">
        <f t="shared" si="1"/>
        <v>-850</v>
      </c>
      <c r="E26" s="33">
        <f t="shared" si="2"/>
        <v>-18000</v>
      </c>
      <c r="F26" s="33">
        <f t="shared" si="8"/>
        <v>-82000</v>
      </c>
      <c r="G26" s="33" t="str">
        <f t="shared" si="9"/>
        <v/>
      </c>
      <c r="H26" s="33">
        <f t="shared" si="10"/>
        <v>-145</v>
      </c>
      <c r="I26" s="33" t="str">
        <f t="shared" si="3"/>
        <v>0</v>
      </c>
      <c r="J26" s="33">
        <f>IF(IF(AND(ROW(B26)-ROW($B$15)+1&lt;=(mesfinanc+mesesfinanc-1),B26&lt;=(mesvenda)),-(SUM($N$15:N25)+SUM($I$15:I25))*jurosmensais,"0")=0,"0",IF(AND(ROW(B26)-ROW($B$15)+1&lt;=(mesfinanc+mesesfinanc-1),B26&lt;=(mesvenda)),-(SUM($N$15:N25)+SUM($I$15:I25))*jurosmensais,"0"))</f>
        <v>-6135.3605320359793</v>
      </c>
      <c r="K26" s="39">
        <f t="shared" si="13"/>
        <v>-840000</v>
      </c>
      <c r="L26" s="50" t="str">
        <f t="shared" si="4"/>
        <v/>
      </c>
      <c r="M26" s="35"/>
      <c r="N26" s="56">
        <f t="shared" si="5"/>
        <v>61000</v>
      </c>
      <c r="O26" s="50">
        <f t="shared" si="6"/>
        <v>46130.360532035978</v>
      </c>
      <c r="P26" s="16"/>
      <c r="Q26" s="60" t="str">
        <f t="shared" si="11"/>
        <v>OK</v>
      </c>
      <c r="R26" s="33">
        <f t="shared" si="12"/>
        <v>-535815.47680022765</v>
      </c>
      <c r="S26" s="61">
        <f t="shared" si="7"/>
        <v>-46130.360532035978</v>
      </c>
      <c r="T26" s="38"/>
    </row>
    <row r="27" spans="2:20" ht="15.6" x14ac:dyDescent="0.3">
      <c r="B27" s="64">
        <v>13</v>
      </c>
      <c r="C27" s="49" t="str">
        <f t="shared" si="0"/>
        <v/>
      </c>
      <c r="D27" s="33">
        <f t="shared" si="1"/>
        <v>-850</v>
      </c>
      <c r="E27" s="33">
        <f t="shared" si="2"/>
        <v>-18000</v>
      </c>
      <c r="F27" s="33">
        <f t="shared" si="8"/>
        <v>-82000</v>
      </c>
      <c r="G27" s="33">
        <f t="shared" si="9"/>
        <v>-750</v>
      </c>
      <c r="H27" s="33">
        <f t="shared" si="10"/>
        <v>-145</v>
      </c>
      <c r="I27" s="33" t="str">
        <f t="shared" si="3"/>
        <v>0</v>
      </c>
      <c r="J27" s="33">
        <f>IF(IF(AND(ROW(B27)-ROW($B$15)+1&lt;=(mesfinanc+mesesfinanc-1),B27&lt;=(mesvenda)),-(SUM($N$15:N26)+SUM($I$15:I26))*jurosmensais,"0")=0,"0",IF(AND(ROW(B27)-ROW($B$15)+1&lt;=(mesfinanc+mesesfinanc-1),B27&lt;=(mesvenda)),-(SUM($N$15:N26)+SUM($I$15:I26))*jurosmensais,"0"))</f>
        <v>-6705.0058782371889</v>
      </c>
      <c r="K27" s="39">
        <f t="shared" si="13"/>
        <v>-840000</v>
      </c>
      <c r="L27" s="50" t="str">
        <f t="shared" si="4"/>
        <v/>
      </c>
      <c r="M27" s="35"/>
      <c r="N27" s="56">
        <f t="shared" si="5"/>
        <v>61000</v>
      </c>
      <c r="O27" s="50">
        <f t="shared" si="6"/>
        <v>47450.005878237193</v>
      </c>
      <c r="P27" s="16"/>
      <c r="Q27" s="60" t="str">
        <f t="shared" si="11"/>
        <v>OK</v>
      </c>
      <c r="R27" s="33">
        <f t="shared" si="12"/>
        <v>-583265.48267846485</v>
      </c>
      <c r="S27" s="61">
        <f t="shared" si="7"/>
        <v>-47450.005878237193</v>
      </c>
      <c r="T27" s="38"/>
    </row>
    <row r="28" spans="2:20" ht="15.6" x14ac:dyDescent="0.3">
      <c r="B28" s="64">
        <v>14</v>
      </c>
      <c r="C28" s="49" t="str">
        <f t="shared" si="0"/>
        <v/>
      </c>
      <c r="D28" s="33">
        <f t="shared" si="1"/>
        <v>-850</v>
      </c>
      <c r="E28" s="33" t="str">
        <f t="shared" si="2"/>
        <v/>
      </c>
      <c r="F28" s="33" t="str">
        <f t="shared" si="8"/>
        <v/>
      </c>
      <c r="G28" s="33">
        <f t="shared" si="9"/>
        <v>-23264</v>
      </c>
      <c r="H28" s="33">
        <f t="shared" si="10"/>
        <v>-145</v>
      </c>
      <c r="I28" s="33" t="str">
        <f t="shared" si="3"/>
        <v>0</v>
      </c>
      <c r="J28" s="33">
        <f>IF(IF(AND(ROW(B28)-ROW($B$15)+1&lt;=(mesfinanc+mesesfinanc-1),B28&lt;=(mesvenda)),-(SUM($N$15:N27)+SUM($I$15:I27))*jurosmensais,"0")=0,"0",IF(AND(ROW(B28)-ROW($B$15)+1&lt;=(mesfinanc+mesesfinanc-1),B28&lt;=(mesvenda)),-(SUM($N$15:N27)+SUM($I$15:I27))*jurosmensais,"0"))</f>
        <v>-7274.6512244383985</v>
      </c>
      <c r="K28" s="39">
        <f t="shared" si="13"/>
        <v>-840000</v>
      </c>
      <c r="L28" s="50" t="str">
        <f t="shared" si="4"/>
        <v/>
      </c>
      <c r="M28" s="35"/>
      <c r="N28" s="56">
        <f t="shared" si="5"/>
        <v>61000</v>
      </c>
      <c r="O28" s="50">
        <f t="shared" si="6"/>
        <v>-29466.348775561601</v>
      </c>
      <c r="P28" s="16"/>
      <c r="Q28" s="60" t="str">
        <f t="shared" si="11"/>
        <v>OK</v>
      </c>
      <c r="R28" s="33">
        <f t="shared" si="12"/>
        <v>-553799.1339029033</v>
      </c>
      <c r="S28" s="61">
        <f t="shared" si="7"/>
        <v>29466.348775561601</v>
      </c>
      <c r="T28" s="38"/>
    </row>
    <row r="29" spans="2:20" ht="15.6" x14ac:dyDescent="0.3">
      <c r="B29" s="64">
        <v>15</v>
      </c>
      <c r="C29" s="49" t="str">
        <f t="shared" si="0"/>
        <v/>
      </c>
      <c r="D29" s="33">
        <f t="shared" si="1"/>
        <v>-850</v>
      </c>
      <c r="E29" s="33" t="str">
        <f t="shared" si="2"/>
        <v/>
      </c>
      <c r="F29" s="33" t="str">
        <f t="shared" si="8"/>
        <v/>
      </c>
      <c r="G29" s="33">
        <f t="shared" si="9"/>
        <v>-4600</v>
      </c>
      <c r="H29" s="33">
        <f t="shared" si="10"/>
        <v>-145</v>
      </c>
      <c r="I29" s="33">
        <f t="shared" si="3"/>
        <v>-2000</v>
      </c>
      <c r="J29" s="33">
        <f>IF(IF(AND(ROW(B29)-ROW($B$15)+1&lt;=(mesfinanc+mesesfinanc-1),B29&lt;=(mesvenda)),-(SUM($N$15:N28)+SUM($I$15:I28))*jurosmensais,"0")=0,"0",IF(AND(ROW(B29)-ROW($B$15)+1&lt;=(mesfinanc+mesesfinanc-1),B29&lt;=(mesvenda)),-(SUM($N$15:N28)+SUM($I$15:I28))*jurosmensais,"0"))</f>
        <v>-7844.296570639608</v>
      </c>
      <c r="K29" s="39">
        <f t="shared" si="13"/>
        <v>-838000</v>
      </c>
      <c r="L29" s="50" t="str">
        <f t="shared" si="4"/>
        <v/>
      </c>
      <c r="M29" s="35"/>
      <c r="N29" s="56" t="str">
        <f t="shared" si="5"/>
        <v>0</v>
      </c>
      <c r="O29" s="50">
        <f t="shared" si="6"/>
        <v>15439.296570639608</v>
      </c>
      <c r="P29" s="16"/>
      <c r="Q29" s="60" t="str">
        <f t="shared" si="11"/>
        <v>OK</v>
      </c>
      <c r="R29" s="33">
        <f t="shared" si="12"/>
        <v>-569238.43047354289</v>
      </c>
      <c r="S29" s="61">
        <f t="shared" si="7"/>
        <v>-15439.296570639608</v>
      </c>
      <c r="T29" s="38"/>
    </row>
    <row r="30" spans="2:20" ht="15.6" x14ac:dyDescent="0.3">
      <c r="B30" s="64">
        <v>16</v>
      </c>
      <c r="C30" s="49" t="str">
        <f t="shared" si="0"/>
        <v/>
      </c>
      <c r="D30" s="33">
        <f t="shared" si="1"/>
        <v>-850</v>
      </c>
      <c r="E30" s="33" t="str">
        <f t="shared" si="2"/>
        <v/>
      </c>
      <c r="F30" s="33" t="str">
        <f t="shared" si="8"/>
        <v/>
      </c>
      <c r="G30" s="33" t="str">
        <f t="shared" si="9"/>
        <v/>
      </c>
      <c r="H30" s="33">
        <f t="shared" si="10"/>
        <v>-145</v>
      </c>
      <c r="I30" s="33">
        <f t="shared" si="3"/>
        <v>-2000</v>
      </c>
      <c r="J30" s="33">
        <f>IF(IF(AND(ROW(B30)-ROW($B$15)+1&lt;=(mesfinanc+mesesfinanc-1),B30&lt;=(mesvenda)),-(SUM($N$15:N29)+SUM($I$15:I29))*jurosmensais,"0")=0,"0",IF(AND(ROW(B30)-ROW($B$15)+1&lt;=(mesfinanc+mesesfinanc-1),B30&lt;=(mesvenda)),-(SUM($N$15:N29)+SUM($I$15:I29))*jurosmensais,"0"))</f>
        <v>-7825.6196740428477</v>
      </c>
      <c r="K30" s="39">
        <f t="shared" si="13"/>
        <v>-836000</v>
      </c>
      <c r="L30" s="50">
        <f t="shared" si="4"/>
        <v>2120000</v>
      </c>
      <c r="M30" s="35"/>
      <c r="N30" s="56" t="str">
        <f t="shared" si="5"/>
        <v>0</v>
      </c>
      <c r="O30" s="50">
        <f t="shared" si="6"/>
        <v>10820.619674042848</v>
      </c>
      <c r="P30" s="16"/>
      <c r="Q30" s="60" t="str">
        <f t="shared" si="11"/>
        <v>OK</v>
      </c>
      <c r="R30" s="33">
        <f t="shared" si="12"/>
        <v>1539940.9498524144</v>
      </c>
      <c r="S30" s="61">
        <f t="shared" si="7"/>
        <v>-10820.619674042848</v>
      </c>
      <c r="T30" s="38"/>
    </row>
    <row r="31" spans="2:20" ht="15.6" x14ac:dyDescent="0.3">
      <c r="B31" s="64">
        <v>17</v>
      </c>
      <c r="C31" s="49" t="str">
        <f t="shared" si="0"/>
        <v/>
      </c>
      <c r="D31" s="33" t="str">
        <f t="shared" si="1"/>
        <v/>
      </c>
      <c r="E31" s="33" t="str">
        <f t="shared" si="2"/>
        <v/>
      </c>
      <c r="F31" s="33" t="str">
        <f t="shared" si="8"/>
        <v/>
      </c>
      <c r="G31" s="33" t="str">
        <f t="shared" si="9"/>
        <v/>
      </c>
      <c r="H31" s="33" t="str">
        <f t="shared" si="10"/>
        <v/>
      </c>
      <c r="I31" s="33" t="str">
        <f t="shared" si="3"/>
        <v>0</v>
      </c>
      <c r="J31" s="33" t="str">
        <f>IF(IF(AND(ROW(B31)-ROW($B$15)+1&lt;=(mesfinanc+mesesfinanc-1),B31&lt;=(mesvenda)),-(SUM($N$15:N30)+SUM($I$15:I30))*jurosmensais,"0")=0,"0",IF(AND(ROW(B31)-ROW($B$15)+1&lt;=(mesfinanc+mesesfinanc-1),B31&lt;=(mesvenda)),-(SUM($N$15:N30)+SUM($I$15:I30))*jurosmensais,"0"))</f>
        <v>0</v>
      </c>
      <c r="K31" s="39" t="str">
        <f t="shared" si="13"/>
        <v/>
      </c>
      <c r="L31" s="50" t="str">
        <f t="shared" si="4"/>
        <v/>
      </c>
      <c r="M31" s="35"/>
      <c r="N31" s="56" t="str">
        <f t="shared" si="5"/>
        <v>0</v>
      </c>
      <c r="O31" s="50">
        <f t="shared" si="6"/>
        <v>0</v>
      </c>
      <c r="P31" s="16"/>
      <c r="Q31" s="60" t="str">
        <f t="shared" si="11"/>
        <v>OK</v>
      </c>
      <c r="R31" s="33">
        <f t="shared" si="12"/>
        <v>1539940.9498524144</v>
      </c>
      <c r="S31" s="61">
        <f>-O31
+
IF(B31=($E$4),$E$9-SUM(S15:S30),"0")</f>
        <v>996754.38641595514</v>
      </c>
      <c r="T31" s="38"/>
    </row>
    <row r="32" spans="2:20" ht="15.6" x14ac:dyDescent="0.3">
      <c r="B32" s="64">
        <v>18</v>
      </c>
      <c r="C32" s="49" t="str">
        <f t="shared" si="0"/>
        <v/>
      </c>
      <c r="D32" s="33" t="str">
        <f t="shared" si="1"/>
        <v/>
      </c>
      <c r="E32" s="33" t="str">
        <f t="shared" si="2"/>
        <v/>
      </c>
      <c r="F32" s="33" t="str">
        <f t="shared" si="8"/>
        <v/>
      </c>
      <c r="G32" s="33" t="str">
        <f t="shared" si="9"/>
        <v/>
      </c>
      <c r="H32" s="33" t="str">
        <f t="shared" si="10"/>
        <v/>
      </c>
      <c r="I32" s="33" t="str">
        <f t="shared" si="3"/>
        <v>0</v>
      </c>
      <c r="J32" s="33" t="str">
        <f>IF(IF(AND(ROW(B32)-ROW($B$15)+1&lt;=(mesfinanc+mesesfinanc-1),B32&lt;=(mesvenda)),-(SUM($N$15:N31)+SUM($I$15:I31))*jurosmensais,"0")=0,"0",IF(AND(ROW(B32)-ROW($B$15)+1&lt;=(mesfinanc+mesesfinanc-1),B32&lt;=(mesvenda)),-(SUM($N$15:N31)+SUM($I$15:I31))*jurosmensais,"0"))</f>
        <v>0</v>
      </c>
      <c r="K32" s="39" t="str">
        <f t="shared" si="13"/>
        <v/>
      </c>
      <c r="L32" s="50" t="str">
        <f t="shared" si="4"/>
        <v/>
      </c>
      <c r="M32" s="35"/>
      <c r="N32" s="56" t="str">
        <f t="shared" si="5"/>
        <v>0</v>
      </c>
      <c r="O32" s="50">
        <f t="shared" si="6"/>
        <v>0</v>
      </c>
      <c r="P32" s="16"/>
      <c r="Q32" s="60" t="str">
        <f t="shared" si="11"/>
        <v>OK</v>
      </c>
      <c r="R32" s="33">
        <f t="shared" si="12"/>
        <v>1539940.9498524144</v>
      </c>
      <c r="S32" s="61">
        <f t="shared" ref="S32:S54" si="14">-O32
+
IF(B32=($E$4),$E$9-$E$3,"0")</f>
        <v>0</v>
      </c>
      <c r="T32" s="40"/>
    </row>
    <row r="33" spans="2:20" ht="15.6" x14ac:dyDescent="0.3">
      <c r="B33" s="64">
        <v>19</v>
      </c>
      <c r="C33" s="49" t="str">
        <f t="shared" si="0"/>
        <v/>
      </c>
      <c r="D33" s="33" t="str">
        <f t="shared" si="1"/>
        <v/>
      </c>
      <c r="E33" s="33" t="str">
        <f t="shared" si="2"/>
        <v/>
      </c>
      <c r="F33" s="33" t="str">
        <f t="shared" si="8"/>
        <v/>
      </c>
      <c r="G33" s="33" t="str">
        <f t="shared" si="9"/>
        <v/>
      </c>
      <c r="H33" s="33" t="str">
        <f t="shared" si="10"/>
        <v/>
      </c>
      <c r="I33" s="33" t="str">
        <f t="shared" si="3"/>
        <v>0</v>
      </c>
      <c r="J33" s="33" t="str">
        <f>IF(IF(AND(ROW(B33)-ROW($B$15)+1&lt;=(mesfinanc+mesesfinanc-1),B33&lt;=(mesvenda)),-(SUM($N$15:N32)+SUM($I$15:I32))*jurosmensais,"0")=0,"0",IF(AND(ROW(B33)-ROW($B$15)+1&lt;=(mesfinanc+mesesfinanc-1),B33&lt;=(mesvenda)),-(SUM($N$15:N32)+SUM($I$15:I32))*jurosmensais,"0"))</f>
        <v>0</v>
      </c>
      <c r="K33" s="34" t="str">
        <f t="shared" si="13"/>
        <v/>
      </c>
      <c r="L33" s="50" t="str">
        <f t="shared" si="4"/>
        <v/>
      </c>
      <c r="M33" s="35"/>
      <c r="N33" s="56" t="str">
        <f t="shared" si="5"/>
        <v>0</v>
      </c>
      <c r="O33" s="50">
        <f t="shared" si="6"/>
        <v>0</v>
      </c>
      <c r="P33" s="16"/>
      <c r="Q33" s="60" t="str">
        <f t="shared" si="11"/>
        <v>OK</v>
      </c>
      <c r="R33" s="33">
        <f t="shared" si="12"/>
        <v>1539940.9498524144</v>
      </c>
      <c r="S33" s="61">
        <f t="shared" si="14"/>
        <v>0</v>
      </c>
      <c r="T33" s="40"/>
    </row>
    <row r="34" spans="2:20" ht="15.6" x14ac:dyDescent="0.3">
      <c r="B34" s="64">
        <v>20</v>
      </c>
      <c r="C34" s="49" t="str">
        <f t="shared" si="0"/>
        <v/>
      </c>
      <c r="D34" s="33" t="str">
        <f t="shared" si="1"/>
        <v/>
      </c>
      <c r="E34" s="33" t="str">
        <f t="shared" si="2"/>
        <v/>
      </c>
      <c r="F34" s="33" t="str">
        <f t="shared" si="8"/>
        <v/>
      </c>
      <c r="G34" s="33" t="str">
        <f t="shared" si="9"/>
        <v/>
      </c>
      <c r="H34" s="33" t="str">
        <f t="shared" si="10"/>
        <v/>
      </c>
      <c r="I34" s="33" t="str">
        <f t="shared" si="3"/>
        <v>0</v>
      </c>
      <c r="J34" s="33" t="str">
        <f>IF(IF(AND(ROW(B34)-ROW($B$15)+1&lt;=(mesfinanc+mesesfinanc-1),B34&lt;=(mesvenda)),-(SUM($N$15:N33)+SUM($I$15:I33))*jurosmensais,"0")=0,"0",IF(AND(ROW(B34)-ROW($B$15)+1&lt;=(mesfinanc+mesesfinanc-1),B34&lt;=(mesvenda)),-(SUM($N$15:N33)+SUM($I$15:I33))*jurosmensais,"0"))</f>
        <v>0</v>
      </c>
      <c r="K34" s="34" t="str">
        <f t="shared" si="13"/>
        <v/>
      </c>
      <c r="L34" s="50" t="str">
        <f t="shared" si="4"/>
        <v/>
      </c>
      <c r="M34" s="35"/>
      <c r="N34" s="56" t="str">
        <f t="shared" si="5"/>
        <v>0</v>
      </c>
      <c r="O34" s="50">
        <f t="shared" si="6"/>
        <v>0</v>
      </c>
      <c r="P34" s="16"/>
      <c r="Q34" s="60" t="str">
        <f t="shared" si="11"/>
        <v>OK</v>
      </c>
      <c r="R34" s="33">
        <f t="shared" si="12"/>
        <v>1539940.9498524144</v>
      </c>
      <c r="S34" s="61">
        <f t="shared" si="14"/>
        <v>0</v>
      </c>
      <c r="T34" s="40"/>
    </row>
    <row r="35" spans="2:20" ht="15.6" x14ac:dyDescent="0.3">
      <c r="B35" s="64">
        <v>21</v>
      </c>
      <c r="C35" s="49" t="str">
        <f t="shared" si="0"/>
        <v/>
      </c>
      <c r="D35" s="33" t="str">
        <f t="shared" si="1"/>
        <v/>
      </c>
      <c r="E35" s="33" t="str">
        <f t="shared" si="2"/>
        <v/>
      </c>
      <c r="F35" s="33" t="str">
        <f t="shared" si="8"/>
        <v/>
      </c>
      <c r="G35" s="33" t="str">
        <f t="shared" si="9"/>
        <v/>
      </c>
      <c r="H35" s="33" t="str">
        <f t="shared" si="10"/>
        <v/>
      </c>
      <c r="I35" s="33" t="str">
        <f t="shared" si="3"/>
        <v>0</v>
      </c>
      <c r="J35" s="33" t="str">
        <f>IF(IF(AND(ROW(B35)-ROW($B$15)+1&lt;=(mesfinanc+mesesfinanc-1),B35&lt;=(mesvenda)),-(SUM($N$15:N34)+SUM($I$15:I34))*jurosmensais,"0")=0,"0",IF(AND(ROW(B35)-ROW($B$15)+1&lt;=(mesfinanc+mesesfinanc-1),B35&lt;=(mesvenda)),-(SUM($N$15:N34)+SUM($I$15:I34))*jurosmensais,"0"))</f>
        <v>0</v>
      </c>
      <c r="K35" s="34" t="str">
        <f t="shared" si="13"/>
        <v/>
      </c>
      <c r="L35" s="50" t="str">
        <f t="shared" si="4"/>
        <v/>
      </c>
      <c r="M35" s="35"/>
      <c r="N35" s="56" t="str">
        <f t="shared" si="5"/>
        <v>0</v>
      </c>
      <c r="O35" s="50">
        <f t="shared" si="6"/>
        <v>0</v>
      </c>
      <c r="P35" s="16"/>
      <c r="Q35" s="60" t="str">
        <f t="shared" si="11"/>
        <v>OK</v>
      </c>
      <c r="R35" s="33">
        <f t="shared" si="12"/>
        <v>1539940.9498524144</v>
      </c>
      <c r="S35" s="61">
        <f t="shared" si="14"/>
        <v>0</v>
      </c>
      <c r="T35" s="40"/>
    </row>
    <row r="36" spans="2:20" ht="15.6" x14ac:dyDescent="0.3">
      <c r="B36" s="64">
        <v>22</v>
      </c>
      <c r="C36" s="49" t="str">
        <f t="shared" si="0"/>
        <v/>
      </c>
      <c r="D36" s="33" t="str">
        <f t="shared" si="1"/>
        <v/>
      </c>
      <c r="E36" s="33" t="str">
        <f t="shared" si="2"/>
        <v/>
      </c>
      <c r="F36" s="33" t="str">
        <f t="shared" si="8"/>
        <v/>
      </c>
      <c r="G36" s="33" t="str">
        <f t="shared" si="9"/>
        <v/>
      </c>
      <c r="H36" s="33" t="str">
        <f t="shared" si="10"/>
        <v/>
      </c>
      <c r="I36" s="33" t="str">
        <f t="shared" si="3"/>
        <v>0</v>
      </c>
      <c r="J36" s="33" t="str">
        <f>IF(IF(AND(ROW(B36)-ROW($B$15)+1&lt;=(mesfinanc+mesesfinanc-1),B36&lt;=(mesvenda)),-(SUM($N$15:N35)+SUM($I$15:I35))*jurosmensais,"0")=0,"0",IF(AND(ROW(B36)-ROW($B$15)+1&lt;=(mesfinanc+mesesfinanc-1),B36&lt;=(mesvenda)),-(SUM($N$15:N35)+SUM($I$15:I35))*jurosmensais,"0"))</f>
        <v>0</v>
      </c>
      <c r="K36" s="34" t="str">
        <f t="shared" si="13"/>
        <v/>
      </c>
      <c r="L36" s="50" t="str">
        <f t="shared" si="4"/>
        <v/>
      </c>
      <c r="M36" s="35"/>
      <c r="N36" s="56" t="str">
        <f t="shared" si="5"/>
        <v>0</v>
      </c>
      <c r="O36" s="50">
        <f t="shared" si="6"/>
        <v>0</v>
      </c>
      <c r="P36" s="16"/>
      <c r="Q36" s="60" t="str">
        <f t="shared" si="11"/>
        <v>OK</v>
      </c>
      <c r="R36" s="33">
        <f t="shared" si="12"/>
        <v>1539940.9498524144</v>
      </c>
      <c r="S36" s="61">
        <f t="shared" si="14"/>
        <v>0</v>
      </c>
      <c r="T36" s="40"/>
    </row>
    <row r="37" spans="2:20" ht="15.6" x14ac:dyDescent="0.3">
      <c r="B37" s="64">
        <v>23</v>
      </c>
      <c r="C37" s="49" t="str">
        <f t="shared" si="0"/>
        <v/>
      </c>
      <c r="D37" s="33" t="str">
        <f t="shared" si="1"/>
        <v/>
      </c>
      <c r="E37" s="33" t="str">
        <f t="shared" si="2"/>
        <v/>
      </c>
      <c r="F37" s="33" t="str">
        <f t="shared" si="8"/>
        <v/>
      </c>
      <c r="G37" s="33" t="str">
        <f t="shared" si="9"/>
        <v/>
      </c>
      <c r="H37" s="33" t="str">
        <f t="shared" si="10"/>
        <v/>
      </c>
      <c r="I37" s="33" t="str">
        <f t="shared" si="3"/>
        <v>0</v>
      </c>
      <c r="J37" s="33" t="str">
        <f>IF(IF(AND(ROW(B37)-ROW($B$15)+1&lt;=(mesfinanc+mesesfinanc-1),B37&lt;=(mesvenda)),-(SUM($N$15:N36)+SUM($I$15:I36))*jurosmensais,"0")=0,"0",IF(AND(ROW(B37)-ROW($B$15)+1&lt;=(mesfinanc+mesesfinanc-1),B37&lt;=(mesvenda)),-(SUM($N$15:N36)+SUM($I$15:I36))*jurosmensais,"0"))</f>
        <v>0</v>
      </c>
      <c r="K37" s="34" t="str">
        <f t="shared" si="13"/>
        <v/>
      </c>
      <c r="L37" s="50" t="str">
        <f t="shared" si="4"/>
        <v/>
      </c>
      <c r="M37" s="35"/>
      <c r="N37" s="56" t="str">
        <f t="shared" si="5"/>
        <v>0</v>
      </c>
      <c r="O37" s="50">
        <f t="shared" si="6"/>
        <v>0</v>
      </c>
      <c r="P37" s="16"/>
      <c r="Q37" s="60" t="str">
        <f t="shared" si="11"/>
        <v>OK</v>
      </c>
      <c r="R37" s="33">
        <f t="shared" si="12"/>
        <v>1539940.9498524144</v>
      </c>
      <c r="S37" s="61">
        <f t="shared" si="14"/>
        <v>0</v>
      </c>
      <c r="T37" s="40"/>
    </row>
    <row r="38" spans="2:20" ht="15.6" x14ac:dyDescent="0.3">
      <c r="B38" s="64">
        <v>24</v>
      </c>
      <c r="C38" s="49" t="str">
        <f t="shared" si="0"/>
        <v/>
      </c>
      <c r="D38" s="33" t="str">
        <f t="shared" si="1"/>
        <v/>
      </c>
      <c r="E38" s="33" t="str">
        <f t="shared" si="2"/>
        <v/>
      </c>
      <c r="F38" s="33" t="str">
        <f t="shared" si="8"/>
        <v/>
      </c>
      <c r="G38" s="33" t="str">
        <f t="shared" si="9"/>
        <v/>
      </c>
      <c r="H38" s="33" t="str">
        <f t="shared" si="10"/>
        <v/>
      </c>
      <c r="I38" s="33" t="str">
        <f t="shared" si="3"/>
        <v>0</v>
      </c>
      <c r="J38" s="33" t="str">
        <f>IF(IF(AND(ROW(B38)-ROW($B$15)+1&lt;=(mesfinanc+mesesfinanc-1),B38&lt;=(mesvenda)),-(SUM($N$15:N37)+SUM($I$15:I37))*jurosmensais,"0")=0,"0",IF(AND(ROW(B38)-ROW($B$15)+1&lt;=(mesfinanc+mesesfinanc-1),B38&lt;=(mesvenda)),-(SUM($N$15:N37)+SUM($I$15:I37))*jurosmensais,"0"))</f>
        <v>0</v>
      </c>
      <c r="K38" s="34" t="str">
        <f t="shared" si="13"/>
        <v/>
      </c>
      <c r="L38" s="50" t="str">
        <f t="shared" si="4"/>
        <v/>
      </c>
      <c r="M38" s="35"/>
      <c r="N38" s="56" t="str">
        <f t="shared" si="5"/>
        <v>0</v>
      </c>
      <c r="O38" s="50">
        <f t="shared" si="6"/>
        <v>0</v>
      </c>
      <c r="P38" s="16"/>
      <c r="Q38" s="60" t="str">
        <f t="shared" si="11"/>
        <v>OK</v>
      </c>
      <c r="R38" s="33">
        <f t="shared" si="12"/>
        <v>1539940.9498524144</v>
      </c>
      <c r="S38" s="61">
        <f t="shared" si="14"/>
        <v>0</v>
      </c>
      <c r="T38" s="38"/>
    </row>
    <row r="39" spans="2:20" ht="15.6" x14ac:dyDescent="0.3">
      <c r="B39" s="64">
        <v>25</v>
      </c>
      <c r="C39" s="49" t="str">
        <f t="shared" si="0"/>
        <v/>
      </c>
      <c r="D39" s="33" t="str">
        <f t="shared" si="1"/>
        <v/>
      </c>
      <c r="E39" s="33" t="str">
        <f t="shared" si="2"/>
        <v/>
      </c>
      <c r="F39" s="33" t="str">
        <f t="shared" si="8"/>
        <v/>
      </c>
      <c r="G39" s="33" t="str">
        <f t="shared" si="9"/>
        <v/>
      </c>
      <c r="H39" s="33" t="str">
        <f t="shared" si="10"/>
        <v/>
      </c>
      <c r="I39" s="33" t="str">
        <f t="shared" si="3"/>
        <v>0</v>
      </c>
      <c r="J39" s="33" t="str">
        <f>IF(IF(AND(ROW(B39)-ROW($B$15)+1&lt;=(mesfinanc+mesesfinanc-1),B39&lt;=(mesvenda)),-(SUM($N$15:N38)+SUM($I$15:I38))*jurosmensais,"0")=0,"0",IF(AND(ROW(B39)-ROW($B$15)+1&lt;=(mesfinanc+mesesfinanc-1),B39&lt;=(mesvenda)),-(SUM($N$15:N38)+SUM($I$15:I38))*jurosmensais,"0"))</f>
        <v>0</v>
      </c>
      <c r="K39" s="34" t="str">
        <f t="shared" si="13"/>
        <v/>
      </c>
      <c r="L39" s="50" t="str">
        <f t="shared" si="4"/>
        <v/>
      </c>
      <c r="M39" s="35"/>
      <c r="N39" s="56" t="str">
        <f t="shared" si="5"/>
        <v>0</v>
      </c>
      <c r="O39" s="50">
        <f t="shared" si="6"/>
        <v>0</v>
      </c>
      <c r="P39" s="16"/>
      <c r="Q39" s="60" t="str">
        <f t="shared" si="11"/>
        <v>OK</v>
      </c>
      <c r="R39" s="33">
        <f t="shared" si="12"/>
        <v>1539940.9498524144</v>
      </c>
      <c r="S39" s="61">
        <f t="shared" si="14"/>
        <v>0</v>
      </c>
      <c r="T39" s="40"/>
    </row>
    <row r="40" spans="2:20" ht="15.6" x14ac:dyDescent="0.3">
      <c r="B40" s="64">
        <v>26</v>
      </c>
      <c r="C40" s="49" t="str">
        <f t="shared" si="0"/>
        <v/>
      </c>
      <c r="D40" s="33" t="str">
        <f t="shared" si="1"/>
        <v/>
      </c>
      <c r="E40" s="33" t="str">
        <f t="shared" si="2"/>
        <v/>
      </c>
      <c r="F40" s="33" t="str">
        <f t="shared" si="8"/>
        <v/>
      </c>
      <c r="G40" s="33" t="str">
        <f t="shared" si="9"/>
        <v/>
      </c>
      <c r="H40" s="33" t="str">
        <f t="shared" si="10"/>
        <v/>
      </c>
      <c r="I40" s="33" t="str">
        <f t="shared" si="3"/>
        <v>0</v>
      </c>
      <c r="J40" s="33" t="str">
        <f>IF(IF(AND(ROW(B40)-ROW($B$15)+1&lt;=(mesfinanc+mesesfinanc-1),B40&lt;=(mesvenda)),-(SUM($N$15:N39)+SUM($I$15:I39))*jurosmensais,"0")=0,"0",IF(AND(ROW(B40)-ROW($B$15)+1&lt;=(mesfinanc+mesesfinanc-1),B40&lt;=(mesvenda)),-(SUM($N$15:N39)+SUM($I$15:I39))*jurosmensais,"0"))</f>
        <v>0</v>
      </c>
      <c r="K40" s="34" t="str">
        <f t="shared" si="13"/>
        <v/>
      </c>
      <c r="L40" s="50" t="str">
        <f t="shared" si="4"/>
        <v/>
      </c>
      <c r="M40" s="35"/>
      <c r="N40" s="56" t="str">
        <f t="shared" si="5"/>
        <v>0</v>
      </c>
      <c r="O40" s="50">
        <f t="shared" si="6"/>
        <v>0</v>
      </c>
      <c r="P40" s="16"/>
      <c r="Q40" s="60" t="str">
        <f t="shared" si="11"/>
        <v>OK</v>
      </c>
      <c r="R40" s="33">
        <f t="shared" si="12"/>
        <v>1539940.9498524144</v>
      </c>
      <c r="S40" s="61">
        <f t="shared" si="14"/>
        <v>0</v>
      </c>
      <c r="T40" s="40"/>
    </row>
    <row r="41" spans="2:20" ht="15.6" x14ac:dyDescent="0.3">
      <c r="B41" s="64">
        <v>27</v>
      </c>
      <c r="C41" s="49" t="str">
        <f t="shared" si="0"/>
        <v/>
      </c>
      <c r="D41" s="33" t="str">
        <f t="shared" si="1"/>
        <v/>
      </c>
      <c r="E41" s="33" t="str">
        <f t="shared" si="2"/>
        <v/>
      </c>
      <c r="F41" s="33" t="str">
        <f t="shared" si="8"/>
        <v/>
      </c>
      <c r="G41" s="33" t="str">
        <f t="shared" si="9"/>
        <v/>
      </c>
      <c r="H41" s="33" t="str">
        <f t="shared" si="10"/>
        <v/>
      </c>
      <c r="I41" s="33" t="str">
        <f t="shared" si="3"/>
        <v>0</v>
      </c>
      <c r="J41" s="33" t="str">
        <f>IF(IF(AND(ROW(B41)-ROW($B$15)+1&lt;=(mesfinanc+mesesfinanc-1),B41&lt;=(mesvenda)),-(SUM($N$15:N40)+SUM($I$15:I40))*jurosmensais,"0")=0,"0",IF(AND(ROW(B41)-ROW($B$15)+1&lt;=(mesfinanc+mesesfinanc-1),B41&lt;=(mesvenda)),-(SUM($N$15:N40)+SUM($I$15:I40))*jurosmensais,"0"))</f>
        <v>0</v>
      </c>
      <c r="K41" s="34" t="str">
        <f t="shared" si="13"/>
        <v/>
      </c>
      <c r="L41" s="50" t="str">
        <f t="shared" si="4"/>
        <v/>
      </c>
      <c r="M41" s="35"/>
      <c r="N41" s="56" t="str">
        <f t="shared" si="5"/>
        <v>0</v>
      </c>
      <c r="O41" s="50">
        <f t="shared" si="6"/>
        <v>0</v>
      </c>
      <c r="P41" s="16"/>
      <c r="Q41" s="60" t="str">
        <f t="shared" si="11"/>
        <v>OK</v>
      </c>
      <c r="R41" s="33">
        <f t="shared" si="12"/>
        <v>1539940.9498524144</v>
      </c>
      <c r="S41" s="61">
        <f t="shared" si="14"/>
        <v>0</v>
      </c>
      <c r="T41" s="40"/>
    </row>
    <row r="42" spans="2:20" ht="15.6" x14ac:dyDescent="0.3">
      <c r="B42" s="64">
        <v>28</v>
      </c>
      <c r="C42" s="49" t="str">
        <f t="shared" si="0"/>
        <v/>
      </c>
      <c r="D42" s="33" t="str">
        <f t="shared" si="1"/>
        <v/>
      </c>
      <c r="E42" s="33" t="str">
        <f t="shared" si="2"/>
        <v/>
      </c>
      <c r="F42" s="33" t="str">
        <f t="shared" si="8"/>
        <v/>
      </c>
      <c r="G42" s="33" t="str">
        <f t="shared" si="9"/>
        <v/>
      </c>
      <c r="H42" s="33" t="str">
        <f t="shared" si="10"/>
        <v/>
      </c>
      <c r="I42" s="33" t="str">
        <f t="shared" si="3"/>
        <v>0</v>
      </c>
      <c r="J42" s="33" t="str">
        <f>IF(IF(AND(ROW(B42)-ROW($B$15)+1&lt;=(mesfinanc+mesesfinanc-1),B42&lt;=(mesvenda)),-(SUM($N$15:N41)+SUM($I$15:I41))*jurosmensais,"0")=0,"0",IF(AND(ROW(B42)-ROW($B$15)+1&lt;=(mesfinanc+mesesfinanc-1),B42&lt;=(mesvenda)),-(SUM($N$15:N41)+SUM($I$15:I41))*jurosmensais,"0"))</f>
        <v>0</v>
      </c>
      <c r="K42" s="34" t="str">
        <f t="shared" si="13"/>
        <v/>
      </c>
      <c r="L42" s="50" t="str">
        <f t="shared" si="4"/>
        <v/>
      </c>
      <c r="M42" s="35"/>
      <c r="N42" s="56" t="str">
        <f t="shared" si="5"/>
        <v>0</v>
      </c>
      <c r="O42" s="50">
        <f t="shared" si="6"/>
        <v>0</v>
      </c>
      <c r="P42" s="16"/>
      <c r="Q42" s="60" t="str">
        <f t="shared" si="11"/>
        <v>OK</v>
      </c>
      <c r="R42" s="33">
        <f t="shared" si="12"/>
        <v>1539940.9498524144</v>
      </c>
      <c r="S42" s="61">
        <f t="shared" si="14"/>
        <v>0</v>
      </c>
      <c r="T42" s="40"/>
    </row>
    <row r="43" spans="2:20" ht="15.6" x14ac:dyDescent="0.3">
      <c r="B43" s="64">
        <v>29</v>
      </c>
      <c r="C43" s="49" t="str">
        <f t="shared" si="0"/>
        <v/>
      </c>
      <c r="D43" s="33" t="str">
        <f t="shared" si="1"/>
        <v/>
      </c>
      <c r="E43" s="33" t="str">
        <f t="shared" si="2"/>
        <v/>
      </c>
      <c r="F43" s="33" t="str">
        <f t="shared" si="8"/>
        <v/>
      </c>
      <c r="G43" s="33" t="str">
        <f t="shared" si="9"/>
        <v/>
      </c>
      <c r="H43" s="33" t="str">
        <f t="shared" si="10"/>
        <v/>
      </c>
      <c r="I43" s="33" t="str">
        <f t="shared" si="3"/>
        <v>0</v>
      </c>
      <c r="J43" s="33" t="str">
        <f>IF(IF(AND(ROW(B43)-ROW($B$15)+1&lt;=(mesfinanc+mesesfinanc-1),B43&lt;=(mesvenda)),-(SUM($N$15:N42)+SUM($I$15:I42))*jurosmensais,"0")=0,"0",IF(AND(ROW(B43)-ROW($B$15)+1&lt;=(mesfinanc+mesesfinanc-1),B43&lt;=(mesvenda)),-(SUM($N$15:N42)+SUM($I$15:I42))*jurosmensais,"0"))</f>
        <v>0</v>
      </c>
      <c r="K43" s="34" t="str">
        <f t="shared" si="13"/>
        <v/>
      </c>
      <c r="L43" s="50" t="str">
        <f t="shared" si="4"/>
        <v/>
      </c>
      <c r="M43" s="35"/>
      <c r="N43" s="56" t="str">
        <f t="shared" si="5"/>
        <v>0</v>
      </c>
      <c r="O43" s="50">
        <f t="shared" si="6"/>
        <v>0</v>
      </c>
      <c r="P43" s="16"/>
      <c r="Q43" s="60" t="str">
        <f t="shared" si="11"/>
        <v>OK</v>
      </c>
      <c r="R43" s="33">
        <f t="shared" si="12"/>
        <v>1539940.9498524144</v>
      </c>
      <c r="S43" s="61">
        <f t="shared" si="14"/>
        <v>0</v>
      </c>
      <c r="T43" s="40"/>
    </row>
    <row r="44" spans="2:20" ht="15.6" x14ac:dyDescent="0.3">
      <c r="B44" s="64">
        <v>30</v>
      </c>
      <c r="C44" s="49" t="str">
        <f t="shared" si="0"/>
        <v/>
      </c>
      <c r="D44" s="33" t="str">
        <f t="shared" si="1"/>
        <v/>
      </c>
      <c r="E44" s="33" t="str">
        <f t="shared" si="2"/>
        <v/>
      </c>
      <c r="F44" s="33" t="str">
        <f t="shared" si="8"/>
        <v/>
      </c>
      <c r="G44" s="33" t="str">
        <f t="shared" si="9"/>
        <v/>
      </c>
      <c r="H44" s="33" t="str">
        <f t="shared" si="10"/>
        <v/>
      </c>
      <c r="I44" s="33" t="str">
        <f t="shared" si="3"/>
        <v>0</v>
      </c>
      <c r="J44" s="33" t="str">
        <f>IF(IF(AND(ROW(B44)-ROW($B$15)+1&lt;=(mesfinanc+mesesfinanc-1),B44&lt;=(mesvenda)),-(SUM($N$15:N43)+SUM($I$15:I43))*jurosmensais,"0")=0,"0",IF(AND(ROW(B44)-ROW($B$15)+1&lt;=(mesfinanc+mesesfinanc-1),B44&lt;=(mesvenda)),-(SUM($N$15:N43)+SUM($I$15:I43))*jurosmensais,"0"))</f>
        <v>0</v>
      </c>
      <c r="K44" s="34" t="str">
        <f t="shared" si="13"/>
        <v/>
      </c>
      <c r="L44" s="50" t="str">
        <f t="shared" si="4"/>
        <v/>
      </c>
      <c r="M44" s="35"/>
      <c r="N44" s="56" t="str">
        <f t="shared" si="5"/>
        <v>0</v>
      </c>
      <c r="O44" s="50">
        <f t="shared" si="6"/>
        <v>0</v>
      </c>
      <c r="P44" s="16"/>
      <c r="Q44" s="60" t="str">
        <f t="shared" si="11"/>
        <v>OK</v>
      </c>
      <c r="R44" s="33">
        <f t="shared" si="12"/>
        <v>1539940.9498524144</v>
      </c>
      <c r="S44" s="61">
        <f t="shared" si="14"/>
        <v>0</v>
      </c>
      <c r="T44" s="40"/>
    </row>
    <row r="45" spans="2:20" ht="15.6" x14ac:dyDescent="0.3">
      <c r="B45" s="64">
        <v>31</v>
      </c>
      <c r="C45" s="49" t="str">
        <f t="shared" si="0"/>
        <v/>
      </c>
      <c r="D45" s="33" t="str">
        <f t="shared" si="1"/>
        <v/>
      </c>
      <c r="E45" s="33" t="str">
        <f t="shared" ref="E45:E54" si="15">IF((IF(AND(ROW(B45)-ROW($B$15)+1&lt;=(mesadesao+prazoadesao-1),B45&gt;=(mesadesao)),-precoadesao/prazoadesao,"0")
+
IF(AND(ROW(B45)-ROW($B$15)+1&lt;=(mesconstrucao+prazoconstrucao-1),B45&gt;=(mesconstrucao)),-custoconstrucao*perc.adm/prazoconstrucao,"0")
+
IF(AND(ROW(B45)-ROW($B$15)+1&lt;=(mesprojeto+prazoprojeto-1),B45&gt;=(mesprojeto)),-precoprojetos/prazoprojeto,"0"))=0,"",(IF(AND(ROW(B45)-ROW($B$15)+1&lt;=(mesadesao+prazoadesao-1),B45&gt;=(mesadesao)),-precoadesao/prazoadesao,"0")
+
IF(AND(ROW(B45)-ROW($B$15)+1&lt;=(mesconstrucao+prazoconstrucao-1),B45&gt;=(mesconstrucao)),-custoconstrucao*perc.adm/prazoconstrucao,"0")
+
IF(AND(ROW(B45)-ROW($B$15)+1&lt;=(mesprojeto+prazoprojeto-1),B45&gt;=(mesprojeto)),-precoprojetos/prazoprojeto,"0")))</f>
        <v/>
      </c>
      <c r="F45" s="33" t="str">
        <f t="shared" ref="F45:F54" si="16">IF((IF(AND(ROW(B45)-ROW($B$15)+1&lt;=(mesconstrucao+prazoconstrucao-1),B45&gt;=(mesconstrucao)),-custoconstrucao*(1-perc.adm)/prazoconstrucao,0))=0,"",(IF(AND(ROW(B45)-ROW($B$15)+1&lt;=(mesconstrucao+prazoconstrucao-1),B45&gt;=(mesconstrucao)),-custoconstrucao*(1-perc.adm)/prazoconstrucao,"0")))</f>
        <v/>
      </c>
      <c r="G45" s="33" t="str">
        <f t="shared" ref="G45:G54" si="17">IF((IF(AND(ROW(B45)-ROW($B$15)+1&lt;=(mesitbi+prazoitbi-1),B45&gt;=(mesitbi)),-perc.itbi*precoterreno/prazoitbi,"0")
+
IF(AND(ROW(B45)-ROW($B$15)+1&lt;=(mesconstrucao+prazoconstrucao-1),B45=(mesconstrucao+2)),-precovistoria,"0")
+
IF(AND(ROW(B45)-ROW($B$15)+1&lt;=(mesconstrucao+prazoconstrucao-1),B45=(mesconstrucao+7)),-precovistoria,"0")
+
IF(AND(ROW(B45)-ROW($B$15)+1&lt;=(mesinss+prazoinss-1),B45&gt;=(mesinss)),-custoinss/prazoinss,"0")
+
IF(AND(ROW(B45)-ROW($B$15)+1&lt;=(mesalvara+prazoalvara-1),B45&gt;=(mesalvara)),-taxam2alvara*metragemcasa/prazoalvara,"0")
+
IF(AND(ROW(B45)-ROW($B$15)+1&lt;=(mescvco+prazocvco-1),B45&gt;=(mescvco)),-taxam2cvco*metragemcasa/prazocvco,"0")
+
IF(AND(ROW(B45)-ROW($B$15)+1&lt;=(mesregistrocartorio+prazoregistrocartorio-1),B45&gt;=(mesregistrocartorio)),-precoregistrocartorio/prazoregistrocartorio,"0")
+
IF(AND(ROW(B45)-ROW($B$15)+1&lt;=(mesaverbacao+prazoaverbacao-1),B45&gt;=(mesaverbacao)),-(precoaverbacao+custofunrejus)/prazoaverbacao,"0"))=0,"",(IF(AND(ROW(B45)-ROW($B$15)+1&lt;=(mesitbi+prazoitbi-1),B45&gt;=(mesitbi)),-perc.itbi*precoterreno/prazoitbi,"0")
+
IF(AND(ROW(B45)-ROW($B$15)+1&lt;=(mesconstrucao+prazoconstrucao-1),B45=(mesconstrucao+2)),-precovistoria,"0")
+
IF(AND(ROW(B45)-ROW($B$15)+1&lt;=(mesconstrucao+prazoconstrucao-1),B45=(mesconstrucao+7)),-precovistoria,"0")
+
IF(AND(ROW(B45)-ROW($B$15)+1&lt;=(mesinss+prazoinss-1),B45&gt;=(mesinss)),-custoinss/prazoinss,"0")
+
IF(AND(ROW(B45)-ROW($B$15)+1&lt;=(mesalvara+prazoalvara-1),B45&gt;=(mesalvara)),-taxam2alvara*metragemcasa/prazoalvara,"0")
+
IF(AND(ROW(B45)-ROW($B$15)+1&lt;=(mescvco+prazocvco-1),B45&gt;=(mescvco)),-taxam2cvco*metragemcasa/prazocvco,"0")
+
IF(AND(ROW(B45)-ROW($B$15)+1&lt;=(mesregistrocartorio+prazoregistrocartorio-1),B45&gt;=(mesregistrocartorio)),-precoregistrocartorio/prazoregistrocartorio,"0")
+
IF(AND(ROW(B45)-ROW($B$15)+1&lt;=(mesaverbacao+prazoaverbacao-1),B45&gt;=(mesaverbacao)),-(precoaverbacao+custofunrejus)/prazoaverbacao,"0")))</f>
        <v/>
      </c>
      <c r="H45" s="33" t="str">
        <f t="shared" ref="H45:H54" si="18">IF((IF(AND(ROW(B45)-ROW($B$15)+1&lt;=(mesavaliacao+prazoavaliacao-1),B45&gt;=(mesavaliacao)),-precoavaliacao/prazoavaliacao,"0")
+
IF(AND(ROW(B45)-ROW($B$15)+1&lt;=(mesfinanc+mesesfinanc-1),B45&gt;=(mesfinanc+1),B45&lt;=(mesvenda)),-precotaxaseguro,"0"))=0,"",(IF(AND(ROW(B45)-ROW($B$15)+1&lt;=(mesavaliacao+prazoavaliacao-1),B45&gt;=(mesavaliacao)),-precoavaliacao/prazoavaliacao,"0")
+
IF(AND(ROW(B45)-ROW($B$15)+1&lt;=(mesfinanc+mesesfinanc-1),B45&gt;=(mesfinanc+1),B45&lt;=(mesvenda)),-precotaxaseguro,"0")))</f>
        <v/>
      </c>
      <c r="I45" s="33" t="str">
        <f t="shared" si="3"/>
        <v>0</v>
      </c>
      <c r="J45" s="33" t="str">
        <f>IF(IF(AND(ROW(B45)-ROW($B$15)+1&lt;=(mesfinanc+mesesfinanc-1),B45&lt;=(mesvenda)),-(SUM($N$15:N44)+SUM($I$15:I44))*jurosmensais,"0")=0,"0",IF(AND(ROW(B45)-ROW($B$15)+1&lt;=(mesfinanc+mesesfinanc-1),B45&lt;=(mesvenda)),-(SUM($N$15:N44)+SUM($I$15:I44))*jurosmensais,"0"))</f>
        <v>0</v>
      </c>
      <c r="K45" s="34" t="str">
        <f t="shared" si="13"/>
        <v/>
      </c>
      <c r="L45" s="50" t="str">
        <f t="shared" si="4"/>
        <v/>
      </c>
      <c r="M45" s="35"/>
      <c r="N45" s="56" t="str">
        <f t="shared" si="5"/>
        <v>0</v>
      </c>
      <c r="O45" s="50">
        <f t="shared" si="6"/>
        <v>0</v>
      </c>
      <c r="P45" s="16"/>
      <c r="Q45" s="60" t="str">
        <f t="shared" si="11"/>
        <v>OK</v>
      </c>
      <c r="R45" s="33">
        <f>SUM(L45,R44)-O45</f>
        <v>1539940.9498524144</v>
      </c>
      <c r="S45" s="61">
        <f t="shared" si="14"/>
        <v>0</v>
      </c>
      <c r="T45" s="40"/>
    </row>
    <row r="46" spans="2:20" ht="15.6" x14ac:dyDescent="0.3">
      <c r="B46" s="64">
        <v>32</v>
      </c>
      <c r="C46" s="49" t="str">
        <f t="shared" si="0"/>
        <v/>
      </c>
      <c r="D46" s="33" t="str">
        <f t="shared" si="1"/>
        <v/>
      </c>
      <c r="E46" s="33" t="str">
        <f t="shared" si="15"/>
        <v/>
      </c>
      <c r="F46" s="33" t="str">
        <f t="shared" si="16"/>
        <v/>
      </c>
      <c r="G46" s="33" t="str">
        <f t="shared" si="17"/>
        <v/>
      </c>
      <c r="H46" s="33" t="str">
        <f t="shared" si="18"/>
        <v/>
      </c>
      <c r="I46" s="33" t="str">
        <f t="shared" si="3"/>
        <v>0</v>
      </c>
      <c r="J46" s="33" t="str">
        <f>IF(IF(AND(ROW(B46)-ROW($B$15)+1&lt;=(mesfinanc+mesesfinanc-1),B46&lt;=(mesvenda)),-(SUM($N$15:N45)+SUM($I$15:I45))*jurosmensais,"0")=0,"0",IF(AND(ROW(B46)-ROW($B$15)+1&lt;=(mesfinanc+mesesfinanc-1),B46&lt;=(mesvenda)),-(SUM($N$15:N45)+SUM($I$15:I45))*jurosmensais,"0"))</f>
        <v>0</v>
      </c>
      <c r="K46" s="34" t="str">
        <f t="shared" si="13"/>
        <v/>
      </c>
      <c r="L46" s="50" t="str">
        <f t="shared" si="4"/>
        <v/>
      </c>
      <c r="M46" s="35"/>
      <c r="N46" s="56" t="str">
        <f t="shared" si="5"/>
        <v>0</v>
      </c>
      <c r="O46" s="50">
        <f t="shared" si="6"/>
        <v>0</v>
      </c>
      <c r="P46" s="16"/>
      <c r="Q46" s="60" t="str">
        <f t="shared" si="11"/>
        <v>OK</v>
      </c>
      <c r="R46" s="33">
        <f>SUM(L46,R45)-O46</f>
        <v>1539940.9498524144</v>
      </c>
      <c r="S46" s="61">
        <f t="shared" si="14"/>
        <v>0</v>
      </c>
      <c r="T46" s="40"/>
    </row>
    <row r="47" spans="2:20" ht="15.6" x14ac:dyDescent="0.3">
      <c r="B47" s="64">
        <v>33</v>
      </c>
      <c r="C47" s="49" t="str">
        <f t="shared" si="0"/>
        <v/>
      </c>
      <c r="D47" s="33" t="str">
        <f t="shared" si="1"/>
        <v/>
      </c>
      <c r="E47" s="33" t="str">
        <f t="shared" si="15"/>
        <v/>
      </c>
      <c r="F47" s="33" t="str">
        <f t="shared" si="16"/>
        <v/>
      </c>
      <c r="G47" s="33" t="str">
        <f t="shared" si="17"/>
        <v/>
      </c>
      <c r="H47" s="33" t="str">
        <f t="shared" si="18"/>
        <v/>
      </c>
      <c r="I47" s="33" t="str">
        <f t="shared" si="3"/>
        <v>0</v>
      </c>
      <c r="J47" s="33" t="str">
        <f>IF(IF(AND(ROW(B47)-ROW($B$15)+1&lt;=(mesfinanc+mesesfinanc-1),B47&lt;=(mesvenda)),-(SUM($N$15:N46)+SUM($I$15:I46))*jurosmensais,"0")=0,"0",IF(AND(ROW(B47)-ROW($B$15)+1&lt;=(mesfinanc+mesesfinanc-1),B47&lt;=(mesvenda)),-(SUM($N$15:N46)+SUM($I$15:I46))*jurosmensais,"0"))</f>
        <v>0</v>
      </c>
      <c r="K47" s="34" t="str">
        <f t="shared" si="13"/>
        <v/>
      </c>
      <c r="L47" s="50" t="str">
        <f t="shared" si="4"/>
        <v/>
      </c>
      <c r="M47" s="35"/>
      <c r="N47" s="56" t="str">
        <f t="shared" si="5"/>
        <v>0</v>
      </c>
      <c r="O47" s="50">
        <f t="shared" si="6"/>
        <v>0</v>
      </c>
      <c r="P47" s="16"/>
      <c r="Q47" s="60" t="str">
        <f t="shared" si="11"/>
        <v>OK</v>
      </c>
      <c r="R47" s="33">
        <f t="shared" ref="R47:R54" si="19">SUM(L47,R46)-O47</f>
        <v>1539940.9498524144</v>
      </c>
      <c r="S47" s="61">
        <f t="shared" si="14"/>
        <v>0</v>
      </c>
      <c r="T47" s="40"/>
    </row>
    <row r="48" spans="2:20" ht="15.6" x14ac:dyDescent="0.3">
      <c r="B48" s="64">
        <v>34</v>
      </c>
      <c r="C48" s="49" t="str">
        <f t="shared" si="0"/>
        <v/>
      </c>
      <c r="D48" s="33" t="str">
        <f t="shared" si="1"/>
        <v/>
      </c>
      <c r="E48" s="33" t="str">
        <f t="shared" si="15"/>
        <v/>
      </c>
      <c r="F48" s="33" t="str">
        <f t="shared" si="16"/>
        <v/>
      </c>
      <c r="G48" s="33" t="str">
        <f t="shared" si="17"/>
        <v/>
      </c>
      <c r="H48" s="33" t="str">
        <f t="shared" si="18"/>
        <v/>
      </c>
      <c r="I48" s="33" t="str">
        <f t="shared" si="3"/>
        <v>0</v>
      </c>
      <c r="J48" s="33" t="str">
        <f>IF(IF(AND(ROW(B48)-ROW($B$15)+1&lt;=(mesfinanc+mesesfinanc-1),B48&lt;=(mesvenda)),-(SUM($N$15:N47)+SUM($I$15:I47))*jurosmensais,"0")=0,"0",IF(AND(ROW(B48)-ROW($B$15)+1&lt;=(mesfinanc+mesesfinanc-1),B48&lt;=(mesvenda)),-(SUM($N$15:N47)+SUM($I$15:I47))*jurosmensais,"0"))</f>
        <v>0</v>
      </c>
      <c r="K48" s="34" t="str">
        <f t="shared" si="13"/>
        <v/>
      </c>
      <c r="L48" s="50" t="str">
        <f t="shared" si="4"/>
        <v/>
      </c>
      <c r="M48" s="35"/>
      <c r="N48" s="56" t="str">
        <f t="shared" si="5"/>
        <v>0</v>
      </c>
      <c r="O48" s="50">
        <f t="shared" si="6"/>
        <v>0</v>
      </c>
      <c r="P48" s="16"/>
      <c r="Q48" s="60" t="str">
        <f t="shared" si="11"/>
        <v>OK</v>
      </c>
      <c r="R48" s="33">
        <f t="shared" si="19"/>
        <v>1539940.9498524144</v>
      </c>
      <c r="S48" s="61">
        <f t="shared" si="14"/>
        <v>0</v>
      </c>
      <c r="T48" s="40"/>
    </row>
    <row r="49" spans="2:20" ht="15.6" x14ac:dyDescent="0.3">
      <c r="B49" s="64">
        <v>35</v>
      </c>
      <c r="C49" s="49" t="str">
        <f t="shared" si="0"/>
        <v/>
      </c>
      <c r="D49" s="33" t="str">
        <f t="shared" si="1"/>
        <v/>
      </c>
      <c r="E49" s="33" t="str">
        <f t="shared" si="15"/>
        <v/>
      </c>
      <c r="F49" s="33" t="str">
        <f t="shared" si="16"/>
        <v/>
      </c>
      <c r="G49" s="33" t="str">
        <f t="shared" si="17"/>
        <v/>
      </c>
      <c r="H49" s="33" t="str">
        <f t="shared" si="18"/>
        <v/>
      </c>
      <c r="I49" s="33" t="str">
        <f t="shared" si="3"/>
        <v>0</v>
      </c>
      <c r="J49" s="33" t="str">
        <f>IF(IF(AND(ROW(B49)-ROW($B$15)+1&lt;=(mesfinanc+mesesfinanc-1),B49&lt;=(mesvenda)),-(SUM($N$15:N48)+SUM($I$15:I48))*jurosmensais,"0")=0,"0",IF(AND(ROW(B49)-ROW($B$15)+1&lt;=(mesfinanc+mesesfinanc-1),B49&lt;=(mesvenda)),-(SUM($N$15:N48)+SUM($I$15:I48))*jurosmensais,"0"))</f>
        <v>0</v>
      </c>
      <c r="K49" s="34" t="str">
        <f t="shared" si="13"/>
        <v/>
      </c>
      <c r="L49" s="50" t="str">
        <f t="shared" si="4"/>
        <v/>
      </c>
      <c r="M49" s="35"/>
      <c r="N49" s="56" t="str">
        <f t="shared" si="5"/>
        <v>0</v>
      </c>
      <c r="O49" s="50">
        <f t="shared" si="6"/>
        <v>0</v>
      </c>
      <c r="P49" s="16"/>
      <c r="Q49" s="60" t="str">
        <f t="shared" si="11"/>
        <v>OK</v>
      </c>
      <c r="R49" s="33">
        <f t="shared" si="19"/>
        <v>1539940.9498524144</v>
      </c>
      <c r="S49" s="61">
        <f t="shared" si="14"/>
        <v>0</v>
      </c>
      <c r="T49" s="40"/>
    </row>
    <row r="50" spans="2:20" ht="15.6" x14ac:dyDescent="0.3">
      <c r="B50" s="64">
        <v>36</v>
      </c>
      <c r="C50" s="49" t="str">
        <f t="shared" si="0"/>
        <v/>
      </c>
      <c r="D50" s="33" t="str">
        <f t="shared" si="1"/>
        <v/>
      </c>
      <c r="E50" s="33" t="str">
        <f t="shared" si="15"/>
        <v/>
      </c>
      <c r="F50" s="33" t="str">
        <f t="shared" si="16"/>
        <v/>
      </c>
      <c r="G50" s="33" t="str">
        <f t="shared" si="17"/>
        <v/>
      </c>
      <c r="H50" s="33" t="str">
        <f t="shared" si="18"/>
        <v/>
      </c>
      <c r="I50" s="33" t="str">
        <f t="shared" si="3"/>
        <v>0</v>
      </c>
      <c r="J50" s="33" t="str">
        <f>IF(IF(AND(ROW(B50)-ROW($B$15)+1&lt;=(mesfinanc+mesesfinanc-1),B50&lt;=(mesvenda)),-(SUM($N$15:N49)+SUM($I$15:I49))*jurosmensais,"0")=0,"0",IF(AND(ROW(B50)-ROW($B$15)+1&lt;=(mesfinanc+mesesfinanc-1),B50&lt;=(mesvenda)),-(SUM($N$15:N49)+SUM($I$15:I49))*jurosmensais,"0"))</f>
        <v>0</v>
      </c>
      <c r="K50" s="34" t="str">
        <f t="shared" si="13"/>
        <v/>
      </c>
      <c r="L50" s="50" t="str">
        <f t="shared" si="4"/>
        <v/>
      </c>
      <c r="M50" s="35"/>
      <c r="N50" s="56" t="str">
        <f t="shared" si="5"/>
        <v>0</v>
      </c>
      <c r="O50" s="50">
        <f t="shared" si="6"/>
        <v>0</v>
      </c>
      <c r="P50" s="16"/>
      <c r="Q50" s="60" t="str">
        <f t="shared" si="11"/>
        <v>OK</v>
      </c>
      <c r="R50" s="33">
        <f t="shared" si="19"/>
        <v>1539940.9498524144</v>
      </c>
      <c r="S50" s="61">
        <f t="shared" si="14"/>
        <v>0</v>
      </c>
      <c r="T50" s="40"/>
    </row>
    <row r="51" spans="2:20" ht="15.6" x14ac:dyDescent="0.3">
      <c r="B51" s="64">
        <v>37</v>
      </c>
      <c r="C51" s="49" t="str">
        <f t="shared" si="0"/>
        <v/>
      </c>
      <c r="D51" s="33" t="str">
        <f t="shared" si="1"/>
        <v/>
      </c>
      <c r="E51" s="33" t="str">
        <f t="shared" si="15"/>
        <v/>
      </c>
      <c r="F51" s="33" t="str">
        <f t="shared" si="16"/>
        <v/>
      </c>
      <c r="G51" s="33" t="str">
        <f t="shared" si="17"/>
        <v/>
      </c>
      <c r="H51" s="33" t="str">
        <f t="shared" si="18"/>
        <v/>
      </c>
      <c r="I51" s="33" t="str">
        <f t="shared" si="3"/>
        <v>0</v>
      </c>
      <c r="J51" s="33" t="str">
        <f>IF(IF(AND(ROW(B51)-ROW($B$15)+1&lt;=(mesfinanc+mesesfinanc-1),B51&lt;=(mesvenda)),-(SUM($N$15:N50)+SUM($I$15:I50))*jurosmensais,"0")=0,"0",IF(AND(ROW(B51)-ROW($B$15)+1&lt;=(mesfinanc+mesesfinanc-1),B51&lt;=(mesvenda)),-(SUM($N$15:N50)+SUM($I$15:I50))*jurosmensais,"0"))</f>
        <v>0</v>
      </c>
      <c r="K51" s="34" t="str">
        <f t="shared" si="13"/>
        <v/>
      </c>
      <c r="L51" s="50" t="str">
        <f t="shared" si="4"/>
        <v/>
      </c>
      <c r="M51" s="35"/>
      <c r="N51" s="56" t="str">
        <f t="shared" si="5"/>
        <v>0</v>
      </c>
      <c r="O51" s="50">
        <f t="shared" si="6"/>
        <v>0</v>
      </c>
      <c r="P51" s="16"/>
      <c r="Q51" s="60" t="str">
        <f t="shared" si="11"/>
        <v>OK</v>
      </c>
      <c r="R51" s="33">
        <f t="shared" si="19"/>
        <v>1539940.9498524144</v>
      </c>
      <c r="S51" s="61">
        <f t="shared" si="14"/>
        <v>0</v>
      </c>
      <c r="T51" s="40"/>
    </row>
    <row r="52" spans="2:20" ht="15.6" x14ac:dyDescent="0.3">
      <c r="B52" s="64">
        <v>38</v>
      </c>
      <c r="C52" s="49" t="str">
        <f t="shared" si="0"/>
        <v/>
      </c>
      <c r="D52" s="33" t="str">
        <f t="shared" si="1"/>
        <v/>
      </c>
      <c r="E52" s="33" t="str">
        <f t="shared" si="15"/>
        <v/>
      </c>
      <c r="F52" s="33" t="str">
        <f t="shared" si="16"/>
        <v/>
      </c>
      <c r="G52" s="33" t="str">
        <f t="shared" si="17"/>
        <v/>
      </c>
      <c r="H52" s="33" t="str">
        <f t="shared" si="18"/>
        <v/>
      </c>
      <c r="I52" s="33" t="str">
        <f t="shared" si="3"/>
        <v>0</v>
      </c>
      <c r="J52" s="33" t="str">
        <f>IF(IF(AND(ROW(B52)-ROW($B$15)+1&lt;=(mesfinanc+mesesfinanc-1),B52&lt;=(mesvenda)),-(SUM($N$15:N51)+SUM($I$15:I51))*jurosmensais,"0")=0,"0",IF(AND(ROW(B52)-ROW($B$15)+1&lt;=(mesfinanc+mesesfinanc-1),B52&lt;=(mesvenda)),-(SUM($N$15:N51)+SUM($I$15:I51))*jurosmensais,"0"))</f>
        <v>0</v>
      </c>
      <c r="K52" s="34" t="str">
        <f t="shared" si="13"/>
        <v/>
      </c>
      <c r="L52" s="50" t="str">
        <f t="shared" si="4"/>
        <v/>
      </c>
      <c r="M52" s="35"/>
      <c r="N52" s="56" t="str">
        <f t="shared" si="5"/>
        <v>0</v>
      </c>
      <c r="O52" s="50">
        <f t="shared" si="6"/>
        <v>0</v>
      </c>
      <c r="P52" s="16"/>
      <c r="Q52" s="60" t="str">
        <f t="shared" si="11"/>
        <v>OK</v>
      </c>
      <c r="R52" s="33">
        <f t="shared" si="19"/>
        <v>1539940.9498524144</v>
      </c>
      <c r="S52" s="61">
        <f t="shared" si="14"/>
        <v>0</v>
      </c>
      <c r="T52" s="40"/>
    </row>
    <row r="53" spans="2:20" ht="15.6" x14ac:dyDescent="0.3">
      <c r="B53" s="64">
        <v>39</v>
      </c>
      <c r="C53" s="49" t="str">
        <f t="shared" si="0"/>
        <v/>
      </c>
      <c r="D53" s="33" t="str">
        <f t="shared" si="1"/>
        <v/>
      </c>
      <c r="E53" s="33" t="str">
        <f t="shared" si="15"/>
        <v/>
      </c>
      <c r="F53" s="33" t="str">
        <f t="shared" si="16"/>
        <v/>
      </c>
      <c r="G53" s="33" t="str">
        <f t="shared" si="17"/>
        <v/>
      </c>
      <c r="H53" s="33" t="str">
        <f t="shared" si="18"/>
        <v/>
      </c>
      <c r="I53" s="33" t="str">
        <f t="shared" si="3"/>
        <v>0</v>
      </c>
      <c r="J53" s="33" t="str">
        <f>IF(IF(AND(ROW(B53)-ROW($B$15)+1&lt;=(mesfinanc+mesesfinanc-1),B53&lt;=(mesvenda)),-(SUM($N$15:N52)+SUM($I$15:I52))*jurosmensais,"0")=0,"0",IF(AND(ROW(B53)-ROW($B$15)+1&lt;=(mesfinanc+mesesfinanc-1),B53&lt;=(mesvenda)),-(SUM($N$15:N52)+SUM($I$15:I52))*jurosmensais,"0"))</f>
        <v>0</v>
      </c>
      <c r="K53" s="34" t="str">
        <f t="shared" si="13"/>
        <v/>
      </c>
      <c r="L53" s="50" t="str">
        <f t="shared" si="4"/>
        <v/>
      </c>
      <c r="M53" s="35"/>
      <c r="N53" s="56" t="str">
        <f t="shared" si="5"/>
        <v>0</v>
      </c>
      <c r="O53" s="50">
        <f t="shared" si="6"/>
        <v>0</v>
      </c>
      <c r="P53" s="16"/>
      <c r="Q53" s="60" t="str">
        <f t="shared" si="11"/>
        <v>OK</v>
      </c>
      <c r="R53" s="33">
        <f t="shared" si="19"/>
        <v>1539940.9498524144</v>
      </c>
      <c r="S53" s="61">
        <f t="shared" si="14"/>
        <v>0</v>
      </c>
      <c r="T53" s="40"/>
    </row>
    <row r="54" spans="2:20" ht="16.2" thickBot="1" x14ac:dyDescent="0.35">
      <c r="B54" s="64">
        <v>40</v>
      </c>
      <c r="C54" s="51" t="str">
        <f t="shared" si="0"/>
        <v/>
      </c>
      <c r="D54" s="52" t="str">
        <f t="shared" si="1"/>
        <v/>
      </c>
      <c r="E54" s="52" t="str">
        <f t="shared" si="15"/>
        <v/>
      </c>
      <c r="F54" s="52" t="str">
        <f t="shared" si="16"/>
        <v/>
      </c>
      <c r="G54" s="52" t="str">
        <f t="shared" si="17"/>
        <v/>
      </c>
      <c r="H54" s="52" t="str">
        <f t="shared" si="18"/>
        <v/>
      </c>
      <c r="I54" s="52" t="str">
        <f t="shared" si="3"/>
        <v>0</v>
      </c>
      <c r="J54" s="52" t="str">
        <f>IF(IF(AND(ROW(B54)-ROW($B$15)+1&lt;=(mesfinanc+mesesfinanc-1),B54&lt;=(mesvenda)),-(SUM($N$15:N53)+SUM($I$15:I53))*jurosmensais,"0")=0,"0",IF(AND(ROW(B54)-ROW($B$15)+1&lt;=(mesfinanc+mesesfinanc-1),B54&lt;=(mesvenda)),-(SUM($N$15:N53)+SUM($I$15:I53))*jurosmensais,"0"))</f>
        <v>0</v>
      </c>
      <c r="K54" s="53" t="str">
        <f t="shared" si="13"/>
        <v/>
      </c>
      <c r="L54" s="54" t="str">
        <f t="shared" si="4"/>
        <v/>
      </c>
      <c r="M54" s="35"/>
      <c r="N54" s="57" t="str">
        <f t="shared" si="5"/>
        <v>0</v>
      </c>
      <c r="O54" s="54">
        <f t="shared" si="6"/>
        <v>0</v>
      </c>
      <c r="P54" s="16"/>
      <c r="Q54" s="62" t="str">
        <f t="shared" si="11"/>
        <v>OK</v>
      </c>
      <c r="R54" s="52">
        <f t="shared" si="19"/>
        <v>1539940.9498524144</v>
      </c>
      <c r="S54" s="63">
        <f t="shared" si="14"/>
        <v>0</v>
      </c>
      <c r="T54" s="40"/>
    </row>
    <row r="55" spans="2:20" ht="15" thickBot="1" x14ac:dyDescent="0.35">
      <c r="B55" s="41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3"/>
      <c r="N55" s="42"/>
      <c r="O55" s="42"/>
      <c r="P55" s="42"/>
      <c r="Q55" s="42"/>
      <c r="R55" s="42"/>
      <c r="S55" s="42"/>
      <c r="T55" s="44"/>
    </row>
  </sheetData>
  <mergeCells count="9">
    <mergeCell ref="C8:D8"/>
    <mergeCell ref="C9:D9"/>
    <mergeCell ref="C10:D10"/>
    <mergeCell ref="C11:D11"/>
    <mergeCell ref="C3:D3"/>
    <mergeCell ref="C4:D4"/>
    <mergeCell ref="C5:D5"/>
    <mergeCell ref="C6:D6"/>
    <mergeCell ref="C7:D7"/>
  </mergeCells>
  <pageMargins left="0.511811024" right="0.511811024" top="0.78740157499999996" bottom="0.78740157499999996" header="0.31496062000000002" footer="0.31496062000000002"/>
  <headerFooter>
    <oddFooter>&amp;L_x000D_&amp;1#&amp;"Calibri"&amp;8&amp;K000000 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9DDD-52EA-4426-8F25-5489031331F0}">
  <dimension ref="B2:C28"/>
  <sheetViews>
    <sheetView zoomScale="130" zoomScaleNormal="130" workbookViewId="0">
      <selection activeCell="C2" sqref="C2"/>
    </sheetView>
  </sheetViews>
  <sheetFormatPr defaultRowHeight="14.4" x14ac:dyDescent="0.3"/>
  <cols>
    <col min="2" max="2" width="28" customWidth="1"/>
    <col min="3" max="3" width="17.33203125" bestFit="1" customWidth="1"/>
  </cols>
  <sheetData>
    <row r="2" spans="2:3" x14ac:dyDescent="0.3">
      <c r="B2" t="s">
        <v>189</v>
      </c>
      <c r="C2" s="9">
        <f>SUM(C4,C15,C25)</f>
        <v>580091.45014758583</v>
      </c>
    </row>
    <row r="3" spans="2:3" ht="15" thickBot="1" x14ac:dyDescent="0.35"/>
    <row r="4" spans="2:3" x14ac:dyDescent="0.3">
      <c r="B4" s="19" t="s">
        <v>188</v>
      </c>
      <c r="C4" s="20">
        <f>SUM(C5:C11)</f>
        <v>162707.41999999998</v>
      </c>
    </row>
    <row r="5" spans="2:3" x14ac:dyDescent="0.3">
      <c r="B5" s="21" t="s">
        <v>110</v>
      </c>
      <c r="C5" s="22">
        <f>precoterreno*(1-perc.terrenobanco)</f>
        <v>87999.999999999985</v>
      </c>
    </row>
    <row r="6" spans="2:3" x14ac:dyDescent="0.3">
      <c r="B6" s="21" t="s">
        <v>190</v>
      </c>
      <c r="C6" s="22">
        <f>perc.itbi*precoterreno</f>
        <v>11880</v>
      </c>
    </row>
    <row r="7" spans="2:3" x14ac:dyDescent="0.3">
      <c r="B7" s="21" t="s">
        <v>191</v>
      </c>
      <c r="C7" s="22">
        <f>precoprojetos+precoadesao</f>
        <v>52500</v>
      </c>
    </row>
    <row r="8" spans="2:3" x14ac:dyDescent="0.3">
      <c r="B8" s="21" t="s">
        <v>192</v>
      </c>
      <c r="C8" s="22">
        <f>precoavaliacao+precotaxaseguro*(mesconstrucao-mesitbi)</f>
        <v>2184.8599999999997</v>
      </c>
    </row>
    <row r="9" spans="2:3" x14ac:dyDescent="0.3">
      <c r="B9" s="21" t="s">
        <v>193</v>
      </c>
      <c r="C9" s="22">
        <f>taxam2alvara*metragemvenda</f>
        <v>292.56</v>
      </c>
    </row>
    <row r="10" spans="2:3" x14ac:dyDescent="0.3">
      <c r="B10" s="21" t="s">
        <v>194</v>
      </c>
      <c r="C10" s="22">
        <f>precoregistrocartorio</f>
        <v>7000</v>
      </c>
    </row>
    <row r="11" spans="2:3" ht="15" thickBot="1" x14ac:dyDescent="0.35">
      <c r="B11" s="23" t="s">
        <v>196</v>
      </c>
      <c r="C11" s="24">
        <f>custocondominio*(mesconstrucao-mesitbi)</f>
        <v>850</v>
      </c>
    </row>
    <row r="14" spans="2:3" ht="15" thickBot="1" x14ac:dyDescent="0.35"/>
    <row r="15" spans="2:3" x14ac:dyDescent="0.3">
      <c r="B15" s="19" t="s">
        <v>186</v>
      </c>
      <c r="C15" s="25">
        <f>SUM(C16:C22)</f>
        <v>396014.11390290328</v>
      </c>
    </row>
    <row r="16" spans="2:3" x14ac:dyDescent="0.3">
      <c r="B16" s="21" t="s">
        <v>106</v>
      </c>
      <c r="C16" s="22">
        <f>custoconstrucao-(financiamento-precoterreno*perc.terrenobanco)</f>
        <v>312000</v>
      </c>
    </row>
    <row r="17" spans="2:3" x14ac:dyDescent="0.3">
      <c r="B17" s="21" t="s">
        <v>196</v>
      </c>
      <c r="C17" s="22">
        <f>custocondominio*(mesaverbacao-mesadm)</f>
        <v>7650</v>
      </c>
    </row>
    <row r="18" spans="2:3" x14ac:dyDescent="0.3">
      <c r="B18" s="21" t="s">
        <v>200</v>
      </c>
      <c r="C18" s="22">
        <f>precovistoria*2+precotaxaseguro*(mesvenda-mesconstrucao)</f>
        <v>2950</v>
      </c>
    </row>
    <row r="19" spans="2:3" x14ac:dyDescent="0.3">
      <c r="B19" s="21" t="s">
        <v>197</v>
      </c>
      <c r="C19" s="22">
        <f>-SUMIFS('FLUXO AUTOMATICO'!J15:J54,'FLUXO AUTOMATICO'!I15:I54,"0")</f>
        <v>45534.273902903245</v>
      </c>
    </row>
    <row r="20" spans="2:3" x14ac:dyDescent="0.3">
      <c r="B20" s="21" t="s">
        <v>107</v>
      </c>
      <c r="C20" s="22">
        <f>taxam2cvco*metragemvenda</f>
        <v>279.84000000000003</v>
      </c>
    </row>
    <row r="21" spans="2:3" x14ac:dyDescent="0.3">
      <c r="B21" s="21" t="s">
        <v>195</v>
      </c>
      <c r="C21" s="22">
        <f>custoinss</f>
        <v>23000</v>
      </c>
    </row>
    <row r="22" spans="2:3" ht="15" thickBot="1" x14ac:dyDescent="0.35">
      <c r="B22" s="23" t="s">
        <v>198</v>
      </c>
      <c r="C22" s="24">
        <f>precoaverbacao+custofunrejus</f>
        <v>4600</v>
      </c>
    </row>
    <row r="24" spans="2:3" ht="15" thickBot="1" x14ac:dyDescent="0.35"/>
    <row r="25" spans="2:3" x14ac:dyDescent="0.3">
      <c r="B25" s="19" t="s">
        <v>187</v>
      </c>
      <c r="C25" s="20">
        <f>SUM(C26:C27)</f>
        <v>21369.916244682456</v>
      </c>
    </row>
    <row r="26" spans="2:3" x14ac:dyDescent="0.3">
      <c r="B26" s="21" t="s">
        <v>196</v>
      </c>
      <c r="C26" s="22">
        <f>custocondominio*(mesvenda-(prazoconstrucao+mesconstrucao))</f>
        <v>1700</v>
      </c>
    </row>
    <row r="27" spans="2:3" x14ac:dyDescent="0.3">
      <c r="B27" s="21" t="s">
        <v>199</v>
      </c>
      <c r="C27" s="22">
        <f>-SUM('FLUXO AUTOMATICO'!I15:J54)-'RESUMO DESPESAS'!C19</f>
        <v>19669.916244682456</v>
      </c>
    </row>
    <row r="28" spans="2:3" ht="15" thickBot="1" x14ac:dyDescent="0.35">
      <c r="B28" s="23" t="s">
        <v>201</v>
      </c>
      <c r="C28" s="26">
        <f>mesvenda-mesaverbacao</f>
        <v>1</v>
      </c>
    </row>
  </sheetData>
  <pageMargins left="0.511811024" right="0.511811024" top="0.78740157499999996" bottom="0.78740157499999996" header="0.31496062000000002" footer="0.31496062000000002"/>
  <headerFooter>
    <oddFooter>&amp;L_x000D_&amp;1#&amp;"Calibri"&amp;8&amp;K000000 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8CBF-5F9A-4462-82A3-27CE16C410B3}">
  <dimension ref="C10:I40"/>
  <sheetViews>
    <sheetView zoomScaleNormal="100" workbookViewId="0">
      <selection activeCell="C22" sqref="C22"/>
    </sheetView>
  </sheetViews>
  <sheetFormatPr defaultRowHeight="14.4" x14ac:dyDescent="0.3"/>
  <cols>
    <col min="2" max="2" width="34.44140625" customWidth="1"/>
    <col min="3" max="3" width="27.33203125" customWidth="1"/>
    <col min="4" max="4" width="33.5546875" customWidth="1"/>
    <col min="5" max="5" width="14.6640625" customWidth="1"/>
    <col min="6" max="6" width="13.109375" customWidth="1"/>
    <col min="7" max="9" width="14.33203125" bestFit="1" customWidth="1"/>
  </cols>
  <sheetData>
    <row r="10" spans="4:9" x14ac:dyDescent="0.3">
      <c r="G10" s="8"/>
      <c r="H10" s="9"/>
      <c r="I10" s="9"/>
    </row>
    <row r="11" spans="4:9" x14ac:dyDescent="0.3">
      <c r="D11" s="8"/>
      <c r="G11" s="8"/>
      <c r="H11" s="8"/>
    </row>
    <row r="12" spans="4:9" x14ac:dyDescent="0.3">
      <c r="D12" s="8"/>
    </row>
    <row r="13" spans="4:9" x14ac:dyDescent="0.3">
      <c r="D13" s="8"/>
    </row>
    <row r="14" spans="4:9" x14ac:dyDescent="0.3">
      <c r="D14" s="8"/>
    </row>
    <row r="15" spans="4:9" x14ac:dyDescent="0.3">
      <c r="D15" s="8"/>
    </row>
    <row r="16" spans="4:9" x14ac:dyDescent="0.3">
      <c r="D16" s="8"/>
    </row>
    <row r="17" spans="4:4" x14ac:dyDescent="0.3">
      <c r="D17" s="8"/>
    </row>
    <row r="18" spans="4:4" x14ac:dyDescent="0.3">
      <c r="D18" s="8"/>
    </row>
    <row r="19" spans="4:4" x14ac:dyDescent="0.3">
      <c r="D19" s="9"/>
    </row>
    <row r="20" spans="4:4" x14ac:dyDescent="0.3">
      <c r="D20" s="9"/>
    </row>
    <row r="21" spans="4:4" x14ac:dyDescent="0.3">
      <c r="D21" s="9"/>
    </row>
    <row r="22" spans="4:4" x14ac:dyDescent="0.3">
      <c r="D22" s="9"/>
    </row>
    <row r="23" spans="4:4" x14ac:dyDescent="0.3">
      <c r="D23" s="9"/>
    </row>
    <row r="24" spans="4:4" x14ac:dyDescent="0.3">
      <c r="D24" s="9"/>
    </row>
    <row r="25" spans="4:4" x14ac:dyDescent="0.3">
      <c r="D25" s="9"/>
    </row>
    <row r="26" spans="4:4" x14ac:dyDescent="0.3">
      <c r="D26" s="9"/>
    </row>
    <row r="27" spans="4:4" x14ac:dyDescent="0.3">
      <c r="D27" s="9"/>
    </row>
    <row r="28" spans="4:4" x14ac:dyDescent="0.3">
      <c r="D28" s="9"/>
    </row>
    <row r="29" spans="4:4" x14ac:dyDescent="0.3">
      <c r="D29" s="8"/>
    </row>
    <row r="30" spans="4:4" x14ac:dyDescent="0.3">
      <c r="D30" s="8"/>
    </row>
    <row r="31" spans="4:4" x14ac:dyDescent="0.3">
      <c r="D31" s="8"/>
    </row>
    <row r="32" spans="4:4" x14ac:dyDescent="0.3">
      <c r="D32" s="8"/>
    </row>
    <row r="33" spans="3:5" x14ac:dyDescent="0.3">
      <c r="D33" s="8"/>
      <c r="E33" s="8"/>
    </row>
    <row r="34" spans="3:5" x14ac:dyDescent="0.3">
      <c r="D34" s="8"/>
    </row>
    <row r="35" spans="3:5" x14ac:dyDescent="0.3">
      <c r="D35" s="8"/>
    </row>
    <row r="37" spans="3:5" x14ac:dyDescent="0.3">
      <c r="C37" s="9"/>
      <c r="D37" s="9"/>
    </row>
    <row r="40" spans="3:5" x14ac:dyDescent="0.3">
      <c r="D40" s="10"/>
    </row>
  </sheetData>
  <pageMargins left="0.511811024" right="0.511811024" top="0.78740157499999996" bottom="0.78740157499999996" header="0.31496062000000002" footer="0.31496062000000002"/>
  <headerFooter>
    <oddFooter>&amp;L_x000D_&amp;1#&amp;"Calibri"&amp;8&amp;K000000 Classified as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D51924D8200B4D829B0177F1777443" ma:contentTypeVersion="13" ma:contentTypeDescription="Crie um novo documento." ma:contentTypeScope="" ma:versionID="d5c5a8bc5dac3d671f3b64beced0c6f1">
  <xsd:schema xmlns:xsd="http://www.w3.org/2001/XMLSchema" xmlns:xs="http://www.w3.org/2001/XMLSchema" xmlns:p="http://schemas.microsoft.com/office/2006/metadata/properties" xmlns:ns2="b6111d95-04e0-4a21-a659-9562ec9fc2f8" xmlns:ns3="fa2adb2c-3fcc-4c6e-b7c4-2c6177008a9e" targetNamespace="http://schemas.microsoft.com/office/2006/metadata/properties" ma:root="true" ma:fieldsID="b292e4c17841cf64d7c127f5adc0475d" ns2:_="" ns3:_="">
    <xsd:import namespace="b6111d95-04e0-4a21-a659-9562ec9fc2f8"/>
    <xsd:import namespace="fa2adb2c-3fcc-4c6e-b7c4-2c6177008a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11d95-04e0-4a21-a659-9562ec9fc2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f233ea9b-fdeb-47bf-8459-c1199290f6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adb2c-3fcc-4c6e-b7c4-2c6177008a9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2f4376b-1995-467d-8c3f-43f959415cb9}" ma:internalName="TaxCatchAll" ma:showField="CatchAllData" ma:web="fa2adb2c-3fcc-4c6e-b7c4-2c6177008a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2adb2c-3fcc-4c6e-b7c4-2c6177008a9e" xsi:nil="true"/>
    <lcf76f155ced4ddcb4097134ff3c332f xmlns="b6111d95-04e0-4a21-a659-9562ec9fc2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AE2D6DF-7251-4DC4-AED0-15989C4DF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1ED845-EEAD-4C31-9B6E-6EEE2437A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111d95-04e0-4a21-a659-9562ec9fc2f8"/>
    <ds:schemaRef ds:uri="fa2adb2c-3fcc-4c6e-b7c4-2c6177008a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43E312-F024-42F5-A625-17EFFA85C90B}">
  <ds:schemaRefs>
    <ds:schemaRef ds:uri="http://schemas.microsoft.com/office/2006/metadata/properties"/>
    <ds:schemaRef ds:uri="http://schemas.microsoft.com/office/infopath/2007/PartnerControls"/>
    <ds:schemaRef ds:uri="fa2adb2c-3fcc-4c6e-b7c4-2c6177008a9e"/>
    <ds:schemaRef ds:uri="b6111d95-04e0-4a21-a659-9562ec9fc2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77</vt:i4>
      </vt:variant>
    </vt:vector>
  </HeadingPairs>
  <TitlesOfParts>
    <vt:vector size="82" baseType="lpstr">
      <vt:lpstr>BP</vt:lpstr>
      <vt:lpstr>INPUTS</vt:lpstr>
      <vt:lpstr>FLUXO AUTOMATICO</vt:lpstr>
      <vt:lpstr>RESUMO DESPESAS</vt:lpstr>
      <vt:lpstr>ESTRUTURA FINANCEIRA</vt:lpstr>
      <vt:lpstr>CUB</vt:lpstr>
      <vt:lpstr>custocondominio</vt:lpstr>
      <vt:lpstr>custoconstrucao</vt:lpstr>
      <vt:lpstr>custofunrejus</vt:lpstr>
      <vt:lpstr>custoinss</vt:lpstr>
      <vt:lpstr>financiamento</vt:lpstr>
      <vt:lpstr>ganhodecapital</vt:lpstr>
      <vt:lpstr>jurosfinanc</vt:lpstr>
      <vt:lpstr>jurosmensais</vt:lpstr>
      <vt:lpstr>mesadesao</vt:lpstr>
      <vt:lpstr>mesadm</vt:lpstr>
      <vt:lpstr>mesalvara</vt:lpstr>
      <vt:lpstr>mesavaliacao</vt:lpstr>
      <vt:lpstr>mesaverbacao</vt:lpstr>
      <vt:lpstr>mesconstrucao</vt:lpstr>
      <vt:lpstr>mescorretagem</vt:lpstr>
      <vt:lpstr>mescvco</vt:lpstr>
      <vt:lpstr>mesesfinanc</vt:lpstr>
      <vt:lpstr>mesfinanc</vt:lpstr>
      <vt:lpstr>mesfunrejus</vt:lpstr>
      <vt:lpstr>mesinss</vt:lpstr>
      <vt:lpstr>mesir</vt:lpstr>
      <vt:lpstr>mesitbi</vt:lpstr>
      <vt:lpstr>mespagtofinanciamento</vt:lpstr>
      <vt:lpstr>mesprojeto</vt:lpstr>
      <vt:lpstr>mesregistrocartorio</vt:lpstr>
      <vt:lpstr>messucesso</vt:lpstr>
      <vt:lpstr>mesterreno</vt:lpstr>
      <vt:lpstr>mesterrenobanco</vt:lpstr>
      <vt:lpstr>mesvenda</vt:lpstr>
      <vt:lpstr>mesvistoria</vt:lpstr>
      <vt:lpstr>metragemcasa</vt:lpstr>
      <vt:lpstr>metragemterreno</vt:lpstr>
      <vt:lpstr>metragemvenda</vt:lpstr>
      <vt:lpstr>metroterreno</vt:lpstr>
      <vt:lpstr>perc.adm</vt:lpstr>
      <vt:lpstr>perc.corretagem</vt:lpstr>
      <vt:lpstr>perc.itbi</vt:lpstr>
      <vt:lpstr>perc.sucesso</vt:lpstr>
      <vt:lpstr>perc.terrenobanco</vt:lpstr>
      <vt:lpstr>prazoadesao</vt:lpstr>
      <vt:lpstr>prazoadm</vt:lpstr>
      <vt:lpstr>prazoalvara</vt:lpstr>
      <vt:lpstr>prazoalvará</vt:lpstr>
      <vt:lpstr>prazoavaliacao</vt:lpstr>
      <vt:lpstr>prazoaverbacao</vt:lpstr>
      <vt:lpstr>prazoconstrucao</vt:lpstr>
      <vt:lpstr>prazocorretagem</vt:lpstr>
      <vt:lpstr>prazocvco</vt:lpstr>
      <vt:lpstr>prazofinanc</vt:lpstr>
      <vt:lpstr>prazofunrejus</vt:lpstr>
      <vt:lpstr>prazoinss</vt:lpstr>
      <vt:lpstr>prazoir</vt:lpstr>
      <vt:lpstr>prazoitbi</vt:lpstr>
      <vt:lpstr>prazopagtofinanciamento</vt:lpstr>
      <vt:lpstr>prazoprojeto</vt:lpstr>
      <vt:lpstr>prazoregistrocartorio</vt:lpstr>
      <vt:lpstr>prazosucesso</vt:lpstr>
      <vt:lpstr>prazoterreno</vt:lpstr>
      <vt:lpstr>prazoterrenobanco</vt:lpstr>
      <vt:lpstr>prazovenda</vt:lpstr>
      <vt:lpstr>prazovistoria</vt:lpstr>
      <vt:lpstr>precoadesao</vt:lpstr>
      <vt:lpstr>precoavaliacao</vt:lpstr>
      <vt:lpstr>precoaverbacao</vt:lpstr>
      <vt:lpstr>preçom2construcao</vt:lpstr>
      <vt:lpstr>precom2venda</vt:lpstr>
      <vt:lpstr>precoprojetos</vt:lpstr>
      <vt:lpstr>precoregistrocartorio</vt:lpstr>
      <vt:lpstr>precotaxaseguro</vt:lpstr>
      <vt:lpstr>precoterreno</vt:lpstr>
      <vt:lpstr>precovistoria</vt:lpstr>
      <vt:lpstr>preçovistoria</vt:lpstr>
      <vt:lpstr>saldofinancconstrucao</vt:lpstr>
      <vt:lpstr>taxam2alvara</vt:lpstr>
      <vt:lpstr>taxam2cvco</vt:lpstr>
      <vt:lpstr>taxaterrenofinanciamento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Campos</dc:creator>
  <cp:lastModifiedBy>Edward Wilms</cp:lastModifiedBy>
  <dcterms:created xsi:type="dcterms:W3CDTF">2025-01-04T20:37:37Z</dcterms:created>
  <dcterms:modified xsi:type="dcterms:W3CDTF">2025-02-06T00:50:48Z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0x0101003CD51924D8200B4D829B0177F1777443</vt:lpwstr>
  </property>
  <property fmtid="{D5CDD505-2E9C-101B-9397-08002B2CF9AE}" pid="3" name="MediaServiceImageTags">
    <vt:lpwstr/>
  </property>
  <property fmtid="{D5CDD505-2E9C-101B-9397-08002B2CF9AE}" pid="4" name="MSIP_Label_477eab6e-04c6-4822-9252-98ab9f25736b_Enabled">
    <vt:lpwstr>true</vt:lpwstr>
  </property>
  <property fmtid="{D5CDD505-2E9C-101B-9397-08002B2CF9AE}" pid="5" name="MSIP_Label_477eab6e-04c6-4822-9252-98ab9f25736b_SetDate">
    <vt:lpwstr>2025-02-05T17:01:00Z</vt:lpwstr>
  </property>
  <property fmtid="{D5CDD505-2E9C-101B-9397-08002B2CF9AE}" pid="6" name="MSIP_Label_477eab6e-04c6-4822-9252-98ab9f25736b_Method">
    <vt:lpwstr>Standard</vt:lpwstr>
  </property>
  <property fmtid="{D5CDD505-2E9C-101B-9397-08002B2CF9AE}" pid="7" name="MSIP_Label_477eab6e-04c6-4822-9252-98ab9f25736b_Name">
    <vt:lpwstr>477eab6e-04c6-4822-9252-98ab9f25736b</vt:lpwstr>
  </property>
  <property fmtid="{D5CDD505-2E9C-101B-9397-08002B2CF9AE}" pid="8" name="MSIP_Label_477eab6e-04c6-4822-9252-98ab9f25736b_SiteId">
    <vt:lpwstr>d2007bef-127d-4591-97ac-10d72fe28031</vt:lpwstr>
  </property>
  <property fmtid="{D5CDD505-2E9C-101B-9397-08002B2CF9AE}" pid="9" name="MSIP_Label_477eab6e-04c6-4822-9252-98ab9f25736b_ActionId">
    <vt:lpwstr>1dc56bc6-e519-4b14-ad24-d5d3f9698735</vt:lpwstr>
  </property>
  <property fmtid="{D5CDD505-2E9C-101B-9397-08002B2CF9AE}" pid="10" name="MSIP_Label_477eab6e-04c6-4822-9252-98ab9f25736b_ContentBits">
    <vt:lpwstr>2</vt:lpwstr>
  </property>
</Properties>
</file>