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2025_DigiLivo\GERENTE DE PROYECTOS\Proyecto Choriboni\Base Total_Choriboni Parrilla\Sucursarl_Choriboni\"/>
    </mc:Choice>
  </mc:AlternateContent>
  <xr:revisionPtr revIDLastSave="0" documentId="13_ncr:1_{08AB7ABF-564F-4759-B5A7-DABBD30074E9}" xr6:coauthVersionLast="47" xr6:coauthVersionMax="47" xr10:uidLastSave="{00000000-0000-0000-0000-000000000000}"/>
  <bookViews>
    <workbookView xWindow="-120" yWindow="-120" windowWidth="20730" windowHeight="11160" tabRatio="749" activeTab="2" xr2:uid="{00000000-000D-0000-FFFF-FFFF00000000}"/>
  </bookViews>
  <sheets>
    <sheet name="maestro" sheetId="48" r:id="rId1"/>
    <sheet name="sales" sheetId="28" r:id="rId2"/>
    <sheet name="products" sheetId="52" r:id="rId3"/>
    <sheet name="egresos" sheetId="49" r:id="rId4"/>
    <sheet name="bolsas" sheetId="51" r:id="rId5"/>
    <sheet name="Opex" sheetId="43" r:id="rId6"/>
    <sheet name="Hoja3" sheetId="50" state="hidden" r:id="rId7"/>
    <sheet name="Inicio" sheetId="34" r:id="rId8"/>
    <sheet name="Activos" sheetId="35" r:id="rId9"/>
    <sheet name="Ingresos" sheetId="33" r:id="rId10"/>
    <sheet name="Cuentas x Pagar" sheetId="23" r:id="rId11"/>
    <sheet name="Cuentas x Cobrar" sheetId="46" state="hidden" r:id="rId12"/>
    <sheet name="Forecast" sheetId="45" r:id="rId13"/>
    <sheet name="Hoja1" sheetId="44" state="hidden" r:id="rId14"/>
    <sheet name="Opex (2)" sheetId="47" state="hidden" r:id="rId15"/>
    <sheet name="cc" sheetId="40" state="hidden" r:id="rId16"/>
    <sheet name="Misión y visión" sheetId="38" state="hidden" r:id="rId17"/>
    <sheet name="Aliados" sheetId="41" state="hidden" r:id="rId18"/>
    <sheet name="Servicios" sheetId="42" state="hidden" r:id="rId19"/>
    <sheet name="Fondo-Emprender" sheetId="7" state="hidden" r:id="rId20"/>
  </sheets>
  <externalReferences>
    <externalReference r:id="rId21"/>
    <externalReference r:id="rId22"/>
    <externalReference r:id="rId23"/>
    <externalReference r:id="rId24"/>
    <externalReference r:id="rId25"/>
  </externalReferences>
  <definedNames>
    <definedName name="_Fill" localSheetId="8" hidden="1">#REF!</definedName>
    <definedName name="_Fill" localSheetId="3" hidden="1">#REF!</definedName>
    <definedName name="_Fill" hidden="1">#REF!</definedName>
    <definedName name="_xlnm._FilterDatabase" localSheetId="19" hidden="1">'Fondo-Emprender'!$A$6:$H$25</definedName>
    <definedName name="_xlnm._FilterDatabase" localSheetId="0" hidden="1">maestro!$A$1:$D$314</definedName>
    <definedName name="Costo_MP">[1]!Inventario6[#Data]</definedName>
    <definedName name="Cuentas_x_pagar" localSheetId="8">Pasivos[]</definedName>
    <definedName name="Cuentas_x_pagar" localSheetId="11">Pasivos8[]</definedName>
    <definedName name="Cuentas_x_pagar" localSheetId="3">Pasivos[]</definedName>
    <definedName name="Cuentas_x_pagar" localSheetId="14">Pasivos[]</definedName>
    <definedName name="Cuentas_x_pagar">Pasivos[]</definedName>
    <definedName name="Efectivo">[1]!Pérdidas_Ganancias[#Data]</definedName>
    <definedName name="SegmentaciónDeDatos_Mes">#N/A</definedName>
    <definedName name="SegmentaciónDeDatos_Tipo_día">#N/A</definedName>
    <definedName name="Stock_Inventario">[1]!Inventario_SICOV2[#Data]</definedName>
  </definedNames>
  <calcPr calcId="191029"/>
  <pivotCaches>
    <pivotCache cacheId="8" r:id="rId26"/>
    <pivotCache cacheId="9" r:id="rId27"/>
  </pivotCaches>
  <extLst>
    <ext xmlns:x14="http://schemas.microsoft.com/office/spreadsheetml/2009/9/main" uri="{BBE1A952-AA13-448e-AADC-164F8A28A991}">
      <x14:slicerCaches>
        <x14:slicerCache r:id="rId28"/>
        <x14:slicerCache r:id="rId2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2" l="1"/>
  <c r="I6" i="52"/>
  <c r="I7" i="52"/>
  <c r="I8" i="52"/>
  <c r="I9" i="52"/>
  <c r="F4" i="49" l="1"/>
  <c r="F5" i="49"/>
  <c r="F6" i="49"/>
  <c r="F7" i="49"/>
  <c r="F8" i="49"/>
  <c r="F9" i="49"/>
  <c r="F10" i="49"/>
  <c r="F11" i="49"/>
  <c r="F12" i="49"/>
  <c r="F13" i="49"/>
  <c r="F14" i="49"/>
  <c r="F15" i="49"/>
  <c r="F16" i="49"/>
  <c r="F17" i="49"/>
  <c r="F18" i="49"/>
  <c r="F19" i="49"/>
  <c r="F20" i="49"/>
  <c r="F21" i="49"/>
  <c r="F22" i="49"/>
  <c r="F23" i="49"/>
  <c r="F24" i="49"/>
  <c r="F25" i="49"/>
  <c r="F26" i="49"/>
  <c r="F27" i="49"/>
  <c r="F28" i="49"/>
  <c r="F29" i="49"/>
  <c r="F30" i="49"/>
  <c r="F31" i="49"/>
  <c r="F32" i="49"/>
  <c r="F33" i="49"/>
  <c r="F34" i="49"/>
  <c r="F35" i="49"/>
  <c r="F36" i="49"/>
  <c r="F37" i="49"/>
  <c r="F38" i="49"/>
  <c r="F39" i="49"/>
  <c r="F40" i="49"/>
  <c r="F41" i="49"/>
  <c r="F42" i="49"/>
  <c r="F43" i="49"/>
  <c r="F44" i="49"/>
  <c r="F45" i="49"/>
  <c r="F46" i="49"/>
  <c r="F47" i="49"/>
  <c r="F48" i="49"/>
  <c r="F49" i="49"/>
  <c r="F50" i="49"/>
  <c r="F51" i="49"/>
  <c r="F52" i="49"/>
  <c r="F53" i="49"/>
  <c r="F54" i="49"/>
  <c r="F55" i="49"/>
  <c r="F56" i="49"/>
  <c r="F57" i="49"/>
  <c r="F58" i="49"/>
  <c r="F59" i="49"/>
  <c r="F60" i="49"/>
  <c r="F61" i="49"/>
  <c r="F62" i="49"/>
  <c r="F63" i="49"/>
  <c r="F64" i="49"/>
  <c r="F65" i="49"/>
  <c r="F66" i="49"/>
  <c r="F67" i="49"/>
  <c r="F68" i="49"/>
  <c r="F69" i="49"/>
  <c r="F70" i="49"/>
  <c r="F71" i="49"/>
  <c r="F72" i="49"/>
  <c r="F73" i="49"/>
  <c r="F74" i="49"/>
  <c r="F75" i="49"/>
  <c r="F76" i="49"/>
  <c r="F77" i="49"/>
  <c r="F78" i="49"/>
  <c r="F79" i="49"/>
  <c r="F80" i="49"/>
  <c r="F81" i="49"/>
  <c r="F82" i="49"/>
  <c r="F83" i="49"/>
  <c r="F84" i="49"/>
  <c r="F85" i="49"/>
  <c r="F86" i="49"/>
  <c r="F87" i="49"/>
  <c r="F88" i="49"/>
  <c r="F89" i="49"/>
  <c r="F90" i="49"/>
  <c r="F91" i="49"/>
  <c r="F92" i="49"/>
  <c r="F93" i="49"/>
  <c r="F94" i="49"/>
  <c r="F95" i="49"/>
  <c r="F96" i="49"/>
  <c r="F97" i="49"/>
  <c r="F98" i="49"/>
  <c r="F99" i="49"/>
  <c r="F100" i="49"/>
  <c r="F101" i="49"/>
  <c r="F102" i="49"/>
  <c r="F103" i="49"/>
  <c r="F104" i="49"/>
  <c r="F105" i="49"/>
  <c r="F106" i="49"/>
  <c r="F107" i="49"/>
  <c r="F108" i="49"/>
  <c r="F109" i="49"/>
  <c r="F110" i="49"/>
  <c r="F111" i="49"/>
  <c r="F112" i="49"/>
  <c r="F113" i="49"/>
  <c r="F114" i="49"/>
  <c r="F115" i="49"/>
  <c r="F116" i="49"/>
  <c r="F117" i="49"/>
  <c r="F118" i="49"/>
  <c r="F119" i="49"/>
  <c r="F120" i="49"/>
  <c r="F121" i="49"/>
  <c r="F122" i="49"/>
  <c r="F3" i="49"/>
  <c r="K4" i="49"/>
  <c r="K5" i="49"/>
  <c r="K6" i="49"/>
  <c r="K7" i="49"/>
  <c r="K8" i="49"/>
  <c r="K9" i="49"/>
  <c r="K10" i="49"/>
  <c r="K11" i="49"/>
  <c r="K12" i="49"/>
  <c r="K13" i="49"/>
  <c r="K14" i="49"/>
  <c r="K15" i="49"/>
  <c r="K16" i="49"/>
  <c r="K17" i="49"/>
  <c r="K18" i="49"/>
  <c r="K19" i="49"/>
  <c r="K20" i="49"/>
  <c r="K21" i="49"/>
  <c r="K22" i="49"/>
  <c r="K23" i="49"/>
  <c r="K24" i="49"/>
  <c r="K25" i="49"/>
  <c r="K26" i="49"/>
  <c r="K27" i="49"/>
  <c r="K28" i="49"/>
  <c r="K29" i="49"/>
  <c r="K30" i="49"/>
  <c r="K31" i="49"/>
  <c r="K32" i="49"/>
  <c r="K33" i="49"/>
  <c r="K34" i="49"/>
  <c r="K35" i="49"/>
  <c r="K36" i="49"/>
  <c r="K37" i="49"/>
  <c r="K38" i="49"/>
  <c r="K39" i="49"/>
  <c r="K40" i="49"/>
  <c r="K41" i="49"/>
  <c r="K42" i="49"/>
  <c r="K43" i="49"/>
  <c r="K44" i="49"/>
  <c r="K45" i="49"/>
  <c r="K46" i="49"/>
  <c r="K47" i="49"/>
  <c r="K48" i="49"/>
  <c r="K3" i="49"/>
  <c r="C3" i="49"/>
  <c r="C4" i="51"/>
  <c r="C6" i="51" s="1"/>
  <c r="B4" i="49"/>
  <c r="B5" i="49" s="1"/>
  <c r="C5" i="49" s="1"/>
  <c r="F2" i="50"/>
  <c r="A3" i="50"/>
  <c r="E3" i="28"/>
  <c r="E4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58" i="28"/>
  <c r="E59" i="28"/>
  <c r="E60" i="28"/>
  <c r="E61" i="28"/>
  <c r="E62" i="28"/>
  <c r="E63" i="28"/>
  <c r="E64" i="28"/>
  <c r="E65" i="28"/>
  <c r="E66" i="28"/>
  <c r="E67" i="28"/>
  <c r="E68" i="28"/>
  <c r="E69" i="28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K109" i="28" s="1"/>
  <c r="E110" i="28"/>
  <c r="E111" i="28"/>
  <c r="E112" i="28"/>
  <c r="E113" i="28"/>
  <c r="E114" i="28"/>
  <c r="E115" i="28"/>
  <c r="E116" i="28"/>
  <c r="E117" i="28"/>
  <c r="E118" i="28"/>
  <c r="E119" i="28"/>
  <c r="E120" i="28"/>
  <c r="E121" i="28"/>
  <c r="E122" i="28"/>
  <c r="C4" i="49" l="1"/>
  <c r="B6" i="49"/>
  <c r="C6" i="49" l="1"/>
  <c r="B7" i="49"/>
  <c r="C7" i="49" l="1"/>
  <c r="B8" i="49"/>
  <c r="C8" i="49" l="1"/>
  <c r="B9" i="49"/>
  <c r="O95" i="49"/>
  <c r="Q8" i="49"/>
  <c r="C9" i="49" l="1"/>
  <c r="B10" i="49"/>
  <c r="C8" i="43"/>
  <c r="G8" i="43"/>
  <c r="K8" i="43"/>
  <c r="S8" i="43"/>
  <c r="T8" i="43"/>
  <c r="C9" i="43"/>
  <c r="E9" i="43" s="1"/>
  <c r="G9" i="43"/>
  <c r="K9" i="43"/>
  <c r="S9" i="43"/>
  <c r="T9" i="43"/>
  <c r="C10" i="43"/>
  <c r="I10" i="43" s="1"/>
  <c r="G10" i="43"/>
  <c r="K10" i="43"/>
  <c r="S10" i="43"/>
  <c r="T10" i="43"/>
  <c r="C11" i="43"/>
  <c r="E11" i="43" s="1"/>
  <c r="G11" i="43"/>
  <c r="K11" i="43"/>
  <c r="S11" i="43"/>
  <c r="T11" i="43"/>
  <c r="C12" i="43"/>
  <c r="I12" i="43" s="1"/>
  <c r="E12" i="43"/>
  <c r="G12" i="43"/>
  <c r="K12" i="43"/>
  <c r="S12" i="43"/>
  <c r="T12" i="43"/>
  <c r="C13" i="43"/>
  <c r="I13" i="43" s="1"/>
  <c r="J13" i="43" s="1"/>
  <c r="G13" i="43"/>
  <c r="K13" i="43"/>
  <c r="S13" i="43"/>
  <c r="T13" i="43"/>
  <c r="C4" i="43"/>
  <c r="E4" i="43" s="1"/>
  <c r="C5" i="43"/>
  <c r="I5" i="43" s="1"/>
  <c r="C6" i="43"/>
  <c r="I6" i="43" s="1"/>
  <c r="C7" i="43"/>
  <c r="E7" i="43" s="1"/>
  <c r="C3" i="43"/>
  <c r="E3" i="43" s="1"/>
  <c r="I2" i="43"/>
  <c r="J2" i="43" s="1"/>
  <c r="E9" i="49" l="1"/>
  <c r="D9" i="49" s="1"/>
  <c r="C10" i="49"/>
  <c r="E10" i="49"/>
  <c r="E8" i="43"/>
  <c r="E13" i="43"/>
  <c r="I8" i="43"/>
  <c r="J8" i="43" s="1"/>
  <c r="E5" i="49"/>
  <c r="E4" i="49"/>
  <c r="D4" i="49" s="1"/>
  <c r="E6" i="49"/>
  <c r="D6" i="49" s="1"/>
  <c r="E7" i="49"/>
  <c r="D7" i="49" s="1"/>
  <c r="E8" i="49"/>
  <c r="E3" i="49"/>
  <c r="D3" i="49" s="1"/>
  <c r="D5" i="49"/>
  <c r="D8" i="49"/>
  <c r="B11" i="49"/>
  <c r="D10" i="49"/>
  <c r="Q3" i="49"/>
  <c r="L13" i="43"/>
  <c r="Q12" i="43"/>
  <c r="O13" i="43"/>
  <c r="O12" i="43"/>
  <c r="I11" i="43"/>
  <c r="J11" i="43" s="1"/>
  <c r="Q10" i="43"/>
  <c r="J10" i="43"/>
  <c r="O10" i="43"/>
  <c r="L11" i="43"/>
  <c r="E6" i="43"/>
  <c r="Q13" i="43"/>
  <c r="J12" i="43"/>
  <c r="E10" i="43"/>
  <c r="I9" i="43"/>
  <c r="L9" i="43"/>
  <c r="Q11" i="43"/>
  <c r="O8" i="43"/>
  <c r="I4" i="43"/>
  <c r="E5" i="43"/>
  <c r="I3" i="43"/>
  <c r="J3" i="43" s="1"/>
  <c r="I7" i="43"/>
  <c r="L8" i="43" s="1"/>
  <c r="N3" i="28"/>
  <c r="M3" i="28"/>
  <c r="M4" i="28"/>
  <c r="M5" i="28"/>
  <c r="M6" i="28"/>
  <c r="M7" i="28"/>
  <c r="M8" i="28"/>
  <c r="M9" i="28"/>
  <c r="M10" i="28"/>
  <c r="M11" i="28"/>
  <c r="M12" i="28"/>
  <c r="M13" i="28"/>
  <c r="M14" i="28"/>
  <c r="M15" i="28"/>
  <c r="M16" i="28"/>
  <c r="M17" i="28"/>
  <c r="M18" i="28"/>
  <c r="M19" i="28"/>
  <c r="M20" i="28"/>
  <c r="M21" i="28"/>
  <c r="M22" i="28"/>
  <c r="M23" i="28"/>
  <c r="M24" i="28"/>
  <c r="M25" i="28"/>
  <c r="M26" i="28"/>
  <c r="M27" i="28"/>
  <c r="M28" i="28"/>
  <c r="M29" i="28"/>
  <c r="M30" i="28"/>
  <c r="M31" i="28"/>
  <c r="M32" i="28"/>
  <c r="M33" i="28"/>
  <c r="M34" i="28"/>
  <c r="M35" i="28"/>
  <c r="M36" i="28"/>
  <c r="M37" i="28"/>
  <c r="M38" i="28"/>
  <c r="M39" i="28"/>
  <c r="M40" i="28"/>
  <c r="M41" i="28"/>
  <c r="M42" i="28"/>
  <c r="M43" i="28"/>
  <c r="M44" i="28"/>
  <c r="M45" i="28"/>
  <c r="M46" i="28"/>
  <c r="M47" i="28"/>
  <c r="M48" i="28"/>
  <c r="M49" i="28"/>
  <c r="M50" i="28"/>
  <c r="M51" i="28"/>
  <c r="M52" i="28"/>
  <c r="M53" i="28"/>
  <c r="M54" i="28"/>
  <c r="M55" i="28"/>
  <c r="M56" i="28"/>
  <c r="M57" i="28"/>
  <c r="M58" i="28"/>
  <c r="M59" i="28"/>
  <c r="M60" i="28"/>
  <c r="M61" i="28"/>
  <c r="M62" i="28"/>
  <c r="M63" i="28"/>
  <c r="M64" i="28"/>
  <c r="M65" i="28"/>
  <c r="M66" i="28"/>
  <c r="M67" i="28"/>
  <c r="M68" i="28"/>
  <c r="M69" i="28"/>
  <c r="M70" i="28"/>
  <c r="M71" i="28"/>
  <c r="M72" i="28"/>
  <c r="M73" i="28"/>
  <c r="M74" i="28"/>
  <c r="M75" i="28"/>
  <c r="M76" i="28"/>
  <c r="M77" i="28"/>
  <c r="M78" i="28"/>
  <c r="M79" i="28"/>
  <c r="M80" i="28"/>
  <c r="M81" i="28"/>
  <c r="M82" i="28"/>
  <c r="M83" i="28"/>
  <c r="M84" i="28"/>
  <c r="M85" i="28"/>
  <c r="M86" i="28"/>
  <c r="M87" i="28"/>
  <c r="M88" i="28"/>
  <c r="M89" i="28"/>
  <c r="M90" i="28"/>
  <c r="M91" i="28"/>
  <c r="M92" i="28"/>
  <c r="M93" i="28"/>
  <c r="M94" i="28"/>
  <c r="M95" i="28"/>
  <c r="M96" i="28"/>
  <c r="M97" i="28"/>
  <c r="M98" i="28"/>
  <c r="M99" i="28"/>
  <c r="M100" i="28"/>
  <c r="M101" i="28"/>
  <c r="M102" i="28"/>
  <c r="M103" i="28"/>
  <c r="M104" i="28"/>
  <c r="M105" i="28"/>
  <c r="M106" i="28"/>
  <c r="M107" i="28"/>
  <c r="M108" i="28"/>
  <c r="M109" i="28"/>
  <c r="M110" i="28"/>
  <c r="M111" i="28"/>
  <c r="M112" i="28"/>
  <c r="M113" i="28"/>
  <c r="M114" i="28"/>
  <c r="M115" i="28"/>
  <c r="M116" i="28"/>
  <c r="M117" i="28"/>
  <c r="M118" i="28"/>
  <c r="M119" i="28"/>
  <c r="M120" i="28"/>
  <c r="M121" i="28"/>
  <c r="M122" i="28"/>
  <c r="L3" i="28"/>
  <c r="L4" i="28"/>
  <c r="L5" i="28"/>
  <c r="L6" i="28"/>
  <c r="L7" i="28"/>
  <c r="L8" i="28"/>
  <c r="L9" i="28"/>
  <c r="L10" i="28"/>
  <c r="L11" i="28"/>
  <c r="L12" i="28"/>
  <c r="L13" i="28"/>
  <c r="L14" i="28"/>
  <c r="L15" i="28"/>
  <c r="L16" i="28"/>
  <c r="L17" i="28"/>
  <c r="L18" i="28"/>
  <c r="L19" i="28"/>
  <c r="L20" i="28"/>
  <c r="L21" i="28"/>
  <c r="L22" i="28"/>
  <c r="L23" i="28"/>
  <c r="L24" i="28"/>
  <c r="L25" i="28"/>
  <c r="L26" i="28"/>
  <c r="L27" i="28"/>
  <c r="L28" i="28"/>
  <c r="L29" i="28"/>
  <c r="L30" i="28"/>
  <c r="L31" i="28"/>
  <c r="L32" i="28"/>
  <c r="L33" i="28"/>
  <c r="L34" i="28"/>
  <c r="L35" i="28"/>
  <c r="L36" i="28"/>
  <c r="L37" i="28"/>
  <c r="L38" i="28"/>
  <c r="L39" i="28"/>
  <c r="L40" i="28"/>
  <c r="L41" i="28"/>
  <c r="L42" i="28"/>
  <c r="L43" i="28"/>
  <c r="L44" i="28"/>
  <c r="L45" i="28"/>
  <c r="L46" i="28"/>
  <c r="L47" i="28"/>
  <c r="L48" i="28"/>
  <c r="L49" i="28"/>
  <c r="L50" i="28"/>
  <c r="L51" i="28"/>
  <c r="L52" i="28"/>
  <c r="L53" i="28"/>
  <c r="L54" i="28"/>
  <c r="L55" i="28"/>
  <c r="L56" i="28"/>
  <c r="L57" i="28"/>
  <c r="L58" i="28"/>
  <c r="L59" i="28"/>
  <c r="L60" i="28"/>
  <c r="L61" i="28"/>
  <c r="L62" i="28"/>
  <c r="L63" i="28"/>
  <c r="L64" i="28"/>
  <c r="L65" i="28"/>
  <c r="L66" i="28"/>
  <c r="L67" i="28"/>
  <c r="L68" i="28"/>
  <c r="L69" i="28"/>
  <c r="L70" i="28"/>
  <c r="L71" i="28"/>
  <c r="L72" i="28"/>
  <c r="L73" i="28"/>
  <c r="L74" i="28"/>
  <c r="L75" i="28"/>
  <c r="L76" i="28"/>
  <c r="L77" i="28"/>
  <c r="L78" i="28"/>
  <c r="L79" i="28"/>
  <c r="L80" i="28"/>
  <c r="L81" i="28"/>
  <c r="L82" i="28"/>
  <c r="L83" i="28"/>
  <c r="L84" i="28"/>
  <c r="L85" i="28"/>
  <c r="L86" i="28"/>
  <c r="L87" i="28"/>
  <c r="L88" i="28"/>
  <c r="L89" i="28"/>
  <c r="L90" i="28"/>
  <c r="L91" i="28"/>
  <c r="L92" i="28"/>
  <c r="L93" i="28"/>
  <c r="L94" i="28"/>
  <c r="L95" i="28"/>
  <c r="L96" i="28"/>
  <c r="L97" i="28"/>
  <c r="L98" i="28"/>
  <c r="L99" i="28"/>
  <c r="L100" i="28"/>
  <c r="L101" i="28"/>
  <c r="L102" i="28"/>
  <c r="L103" i="28"/>
  <c r="L104" i="28"/>
  <c r="L105" i="28"/>
  <c r="L106" i="28"/>
  <c r="L107" i="28"/>
  <c r="L108" i="28"/>
  <c r="L109" i="28"/>
  <c r="L110" i="28"/>
  <c r="L111" i="28"/>
  <c r="L112" i="28"/>
  <c r="L113" i="28"/>
  <c r="L114" i="28"/>
  <c r="L115" i="28"/>
  <c r="L116" i="28"/>
  <c r="L117" i="28"/>
  <c r="L118" i="28"/>
  <c r="L119" i="28"/>
  <c r="L120" i="28"/>
  <c r="L121" i="28"/>
  <c r="L122" i="28"/>
  <c r="M1" i="28"/>
  <c r="C18" i="48"/>
  <c r="C25" i="48" s="1"/>
  <c r="C32" i="48" s="1"/>
  <c r="C39" i="48" s="1"/>
  <c r="C46" i="48" s="1"/>
  <c r="C53" i="48" s="1"/>
  <c r="C60" i="48" s="1"/>
  <c r="C67" i="48" s="1"/>
  <c r="C74" i="48" s="1"/>
  <c r="C81" i="48" s="1"/>
  <c r="C88" i="48" s="1"/>
  <c r="C95" i="48" s="1"/>
  <c r="C102" i="48" s="1"/>
  <c r="C109" i="48" s="1"/>
  <c r="C116" i="48" s="1"/>
  <c r="C123" i="48" s="1"/>
  <c r="C130" i="48" s="1"/>
  <c r="C137" i="48" s="1"/>
  <c r="C144" i="48" s="1"/>
  <c r="C151" i="48" s="1"/>
  <c r="C158" i="48" s="1"/>
  <c r="C165" i="48" s="1"/>
  <c r="C172" i="48" s="1"/>
  <c r="C179" i="48" s="1"/>
  <c r="C186" i="48" s="1"/>
  <c r="C193" i="48" s="1"/>
  <c r="C200" i="48" s="1"/>
  <c r="C207" i="48" s="1"/>
  <c r="C214" i="48" s="1"/>
  <c r="C221" i="48" s="1"/>
  <c r="C228" i="48" s="1"/>
  <c r="C235" i="48" s="1"/>
  <c r="C242" i="48" s="1"/>
  <c r="C249" i="48" s="1"/>
  <c r="C256" i="48" s="1"/>
  <c r="C263" i="48" s="1"/>
  <c r="C270" i="48" s="1"/>
  <c r="C277" i="48" s="1"/>
  <c r="C284" i="48" s="1"/>
  <c r="C291" i="48" s="1"/>
  <c r="C298" i="48" s="1"/>
  <c r="C305" i="48" s="1"/>
  <c r="C312" i="48" s="1"/>
  <c r="C19" i="48"/>
  <c r="C26" i="48" s="1"/>
  <c r="C33" i="48" s="1"/>
  <c r="C40" i="48" s="1"/>
  <c r="C47" i="48" s="1"/>
  <c r="C54" i="48" s="1"/>
  <c r="C61" i="48" s="1"/>
  <c r="C68" i="48" s="1"/>
  <c r="C75" i="48" s="1"/>
  <c r="C82" i="48" s="1"/>
  <c r="C89" i="48" s="1"/>
  <c r="C96" i="48" s="1"/>
  <c r="C103" i="48" s="1"/>
  <c r="C110" i="48" s="1"/>
  <c r="C117" i="48" s="1"/>
  <c r="C124" i="48" s="1"/>
  <c r="C131" i="48" s="1"/>
  <c r="C138" i="48" s="1"/>
  <c r="C145" i="48" s="1"/>
  <c r="C152" i="48" s="1"/>
  <c r="C159" i="48" s="1"/>
  <c r="C166" i="48" s="1"/>
  <c r="C173" i="48" s="1"/>
  <c r="C180" i="48" s="1"/>
  <c r="C187" i="48" s="1"/>
  <c r="C194" i="48" s="1"/>
  <c r="C201" i="48" s="1"/>
  <c r="C208" i="48" s="1"/>
  <c r="C215" i="48" s="1"/>
  <c r="C222" i="48" s="1"/>
  <c r="C229" i="48" s="1"/>
  <c r="C236" i="48" s="1"/>
  <c r="C243" i="48" s="1"/>
  <c r="C250" i="48" s="1"/>
  <c r="C257" i="48" s="1"/>
  <c r="C264" i="48" s="1"/>
  <c r="C271" i="48" s="1"/>
  <c r="C278" i="48" s="1"/>
  <c r="C285" i="48" s="1"/>
  <c r="C292" i="48" s="1"/>
  <c r="C299" i="48" s="1"/>
  <c r="C306" i="48" s="1"/>
  <c r="C313" i="48" s="1"/>
  <c r="C20" i="48"/>
  <c r="C27" i="48" s="1"/>
  <c r="C34" i="48" s="1"/>
  <c r="C41" i="48" s="1"/>
  <c r="C48" i="48" s="1"/>
  <c r="C55" i="48" s="1"/>
  <c r="C62" i="48" s="1"/>
  <c r="C69" i="48" s="1"/>
  <c r="C76" i="48" s="1"/>
  <c r="C83" i="48" s="1"/>
  <c r="C90" i="48" s="1"/>
  <c r="C97" i="48" s="1"/>
  <c r="C104" i="48" s="1"/>
  <c r="C111" i="48" s="1"/>
  <c r="C118" i="48" s="1"/>
  <c r="C125" i="48" s="1"/>
  <c r="C132" i="48" s="1"/>
  <c r="C139" i="48" s="1"/>
  <c r="C146" i="48" s="1"/>
  <c r="C153" i="48" s="1"/>
  <c r="C160" i="48" s="1"/>
  <c r="C167" i="48" s="1"/>
  <c r="C174" i="48" s="1"/>
  <c r="C181" i="48" s="1"/>
  <c r="C188" i="48" s="1"/>
  <c r="C195" i="48" s="1"/>
  <c r="C202" i="48" s="1"/>
  <c r="C209" i="48" s="1"/>
  <c r="C216" i="48" s="1"/>
  <c r="C223" i="48" s="1"/>
  <c r="C230" i="48" s="1"/>
  <c r="C237" i="48" s="1"/>
  <c r="C244" i="48" s="1"/>
  <c r="C251" i="48" s="1"/>
  <c r="C258" i="48" s="1"/>
  <c r="C265" i="48" s="1"/>
  <c r="C272" i="48" s="1"/>
  <c r="C279" i="48" s="1"/>
  <c r="C286" i="48" s="1"/>
  <c r="C293" i="48" s="1"/>
  <c r="C300" i="48" s="1"/>
  <c r="C307" i="48" s="1"/>
  <c r="C314" i="48" s="1"/>
  <c r="C21" i="48"/>
  <c r="C28" i="48" s="1"/>
  <c r="C35" i="48" s="1"/>
  <c r="C42" i="48" s="1"/>
  <c r="C49" i="48" s="1"/>
  <c r="C56" i="48" s="1"/>
  <c r="C63" i="48" s="1"/>
  <c r="C70" i="48" s="1"/>
  <c r="C77" i="48" s="1"/>
  <c r="C84" i="48" s="1"/>
  <c r="C91" i="48" s="1"/>
  <c r="C98" i="48" s="1"/>
  <c r="C105" i="48" s="1"/>
  <c r="C112" i="48" s="1"/>
  <c r="C119" i="48" s="1"/>
  <c r="C126" i="48" s="1"/>
  <c r="C133" i="48" s="1"/>
  <c r="C140" i="48" s="1"/>
  <c r="C147" i="48" s="1"/>
  <c r="C154" i="48" s="1"/>
  <c r="C161" i="48" s="1"/>
  <c r="C168" i="48" s="1"/>
  <c r="C175" i="48" s="1"/>
  <c r="C182" i="48" s="1"/>
  <c r="C189" i="48" s="1"/>
  <c r="C196" i="48" s="1"/>
  <c r="C203" i="48" s="1"/>
  <c r="C210" i="48" s="1"/>
  <c r="C217" i="48" s="1"/>
  <c r="C224" i="48" s="1"/>
  <c r="C231" i="48" s="1"/>
  <c r="C238" i="48" s="1"/>
  <c r="C245" i="48" s="1"/>
  <c r="C252" i="48" s="1"/>
  <c r="C259" i="48" s="1"/>
  <c r="C266" i="48" s="1"/>
  <c r="C273" i="48" s="1"/>
  <c r="C280" i="48" s="1"/>
  <c r="C287" i="48" s="1"/>
  <c r="C294" i="48" s="1"/>
  <c r="C301" i="48" s="1"/>
  <c r="C308" i="48" s="1"/>
  <c r="C22" i="48"/>
  <c r="C29" i="48" s="1"/>
  <c r="C36" i="48" s="1"/>
  <c r="C43" i="48" s="1"/>
  <c r="C50" i="48" s="1"/>
  <c r="C57" i="48" s="1"/>
  <c r="C64" i="48" s="1"/>
  <c r="C71" i="48" s="1"/>
  <c r="C78" i="48" s="1"/>
  <c r="C85" i="48" s="1"/>
  <c r="C92" i="48" s="1"/>
  <c r="C99" i="48" s="1"/>
  <c r="C106" i="48" s="1"/>
  <c r="C113" i="48" s="1"/>
  <c r="C120" i="48" s="1"/>
  <c r="C127" i="48" s="1"/>
  <c r="C134" i="48" s="1"/>
  <c r="C141" i="48" s="1"/>
  <c r="C148" i="48" s="1"/>
  <c r="C155" i="48" s="1"/>
  <c r="C162" i="48" s="1"/>
  <c r="C169" i="48" s="1"/>
  <c r="C176" i="48" s="1"/>
  <c r="C183" i="48" s="1"/>
  <c r="C190" i="48" s="1"/>
  <c r="C197" i="48" s="1"/>
  <c r="C204" i="48" s="1"/>
  <c r="C211" i="48" s="1"/>
  <c r="C218" i="48" s="1"/>
  <c r="C225" i="48" s="1"/>
  <c r="C232" i="48" s="1"/>
  <c r="C239" i="48" s="1"/>
  <c r="C246" i="48" s="1"/>
  <c r="C253" i="48" s="1"/>
  <c r="C260" i="48" s="1"/>
  <c r="C267" i="48" s="1"/>
  <c r="C274" i="48" s="1"/>
  <c r="C281" i="48" s="1"/>
  <c r="C288" i="48" s="1"/>
  <c r="C295" i="48" s="1"/>
  <c r="C302" i="48" s="1"/>
  <c r="C309" i="48" s="1"/>
  <c r="C23" i="48"/>
  <c r="C30" i="48" s="1"/>
  <c r="C37" i="48" s="1"/>
  <c r="C44" i="48" s="1"/>
  <c r="C51" i="48" s="1"/>
  <c r="C58" i="48" s="1"/>
  <c r="C65" i="48" s="1"/>
  <c r="C72" i="48" s="1"/>
  <c r="C79" i="48" s="1"/>
  <c r="C86" i="48" s="1"/>
  <c r="C93" i="48" s="1"/>
  <c r="C100" i="48" s="1"/>
  <c r="C107" i="48" s="1"/>
  <c r="C114" i="48" s="1"/>
  <c r="C121" i="48" s="1"/>
  <c r="C128" i="48" s="1"/>
  <c r="C135" i="48" s="1"/>
  <c r="C142" i="48" s="1"/>
  <c r="C149" i="48" s="1"/>
  <c r="C156" i="48" s="1"/>
  <c r="C163" i="48" s="1"/>
  <c r="C170" i="48" s="1"/>
  <c r="C177" i="48" s="1"/>
  <c r="C184" i="48" s="1"/>
  <c r="C191" i="48" s="1"/>
  <c r="C198" i="48" s="1"/>
  <c r="C205" i="48" s="1"/>
  <c r="C212" i="48" s="1"/>
  <c r="C219" i="48" s="1"/>
  <c r="C226" i="48" s="1"/>
  <c r="C233" i="48" s="1"/>
  <c r="C240" i="48" s="1"/>
  <c r="C247" i="48" s="1"/>
  <c r="C254" i="48" s="1"/>
  <c r="C261" i="48" s="1"/>
  <c r="C268" i="48" s="1"/>
  <c r="C275" i="48" s="1"/>
  <c r="C282" i="48" s="1"/>
  <c r="C289" i="48" s="1"/>
  <c r="C296" i="48" s="1"/>
  <c r="C303" i="48" s="1"/>
  <c r="C310" i="48" s="1"/>
  <c r="C17" i="48"/>
  <c r="C24" i="48" s="1"/>
  <c r="C31" i="48" s="1"/>
  <c r="C38" i="48" s="1"/>
  <c r="C45" i="48" s="1"/>
  <c r="C52" i="48" s="1"/>
  <c r="C59" i="48" s="1"/>
  <c r="C66" i="48" s="1"/>
  <c r="C73" i="48" s="1"/>
  <c r="C80" i="48" s="1"/>
  <c r="C87" i="48" s="1"/>
  <c r="C94" i="48" s="1"/>
  <c r="C101" i="48" s="1"/>
  <c r="C108" i="48" s="1"/>
  <c r="C115" i="48" s="1"/>
  <c r="C122" i="48" s="1"/>
  <c r="C129" i="48" s="1"/>
  <c r="C136" i="48" s="1"/>
  <c r="C143" i="48" s="1"/>
  <c r="C150" i="48" s="1"/>
  <c r="C157" i="48" s="1"/>
  <c r="C164" i="48" s="1"/>
  <c r="C171" i="48" s="1"/>
  <c r="C178" i="48" s="1"/>
  <c r="C185" i="48" s="1"/>
  <c r="C192" i="48" s="1"/>
  <c r="C199" i="48" s="1"/>
  <c r="C206" i="48" s="1"/>
  <c r="C213" i="48" s="1"/>
  <c r="C220" i="48" s="1"/>
  <c r="C227" i="48" s="1"/>
  <c r="C234" i="48" s="1"/>
  <c r="C241" i="48" s="1"/>
  <c r="C248" i="48" s="1"/>
  <c r="C255" i="48" s="1"/>
  <c r="C262" i="48" s="1"/>
  <c r="C269" i="48" s="1"/>
  <c r="C276" i="48" s="1"/>
  <c r="C283" i="48" s="1"/>
  <c r="C290" i="48" s="1"/>
  <c r="C297" i="48" s="1"/>
  <c r="C304" i="48" s="1"/>
  <c r="C311" i="48" s="1"/>
  <c r="B16" i="48"/>
  <c r="B17" i="48"/>
  <c r="B18" i="48"/>
  <c r="B19" i="48"/>
  <c r="B20" i="48"/>
  <c r="B21" i="48"/>
  <c r="B22" i="48"/>
  <c r="B23" i="48"/>
  <c r="B24" i="48"/>
  <c r="B25" i="48"/>
  <c r="B26" i="48"/>
  <c r="B27" i="48"/>
  <c r="B28" i="48"/>
  <c r="B29" i="48"/>
  <c r="B30" i="48"/>
  <c r="B31" i="48"/>
  <c r="B32" i="48"/>
  <c r="B33" i="48"/>
  <c r="B34" i="48"/>
  <c r="B35" i="48"/>
  <c r="B36" i="48"/>
  <c r="B37" i="48"/>
  <c r="B38" i="48"/>
  <c r="B39" i="48"/>
  <c r="B40" i="48"/>
  <c r="B41" i="48"/>
  <c r="B42" i="48"/>
  <c r="B43" i="48"/>
  <c r="B44" i="48"/>
  <c r="B45" i="48"/>
  <c r="B46" i="48"/>
  <c r="B47" i="48"/>
  <c r="B48" i="48"/>
  <c r="B49" i="48"/>
  <c r="B50" i="48"/>
  <c r="B51" i="48"/>
  <c r="B52" i="48"/>
  <c r="B53" i="48"/>
  <c r="B54" i="48"/>
  <c r="B55" i="48"/>
  <c r="B56" i="48"/>
  <c r="B57" i="48"/>
  <c r="B58" i="48"/>
  <c r="B59" i="48"/>
  <c r="B60" i="48"/>
  <c r="B61" i="48"/>
  <c r="B62" i="48"/>
  <c r="B63" i="48"/>
  <c r="B64" i="48"/>
  <c r="B65" i="48"/>
  <c r="B66" i="48"/>
  <c r="B67" i="48"/>
  <c r="B68" i="48"/>
  <c r="B69" i="48"/>
  <c r="B70" i="48"/>
  <c r="B71" i="48"/>
  <c r="B72" i="48"/>
  <c r="B73" i="48"/>
  <c r="B74" i="48"/>
  <c r="B75" i="48"/>
  <c r="B76" i="48"/>
  <c r="B77" i="48"/>
  <c r="B78" i="48"/>
  <c r="B79" i="48"/>
  <c r="B80" i="48"/>
  <c r="B81" i="48"/>
  <c r="B82" i="48"/>
  <c r="B83" i="48"/>
  <c r="B84" i="48"/>
  <c r="B85" i="48"/>
  <c r="B86" i="48"/>
  <c r="B87" i="48"/>
  <c r="B88" i="48"/>
  <c r="B89" i="48"/>
  <c r="B90" i="48"/>
  <c r="B91" i="48"/>
  <c r="B92" i="48"/>
  <c r="B93" i="48"/>
  <c r="B94" i="48"/>
  <c r="B95" i="48"/>
  <c r="B96" i="48"/>
  <c r="B97" i="48"/>
  <c r="B98" i="48"/>
  <c r="B99" i="48"/>
  <c r="B100" i="48"/>
  <c r="B101" i="48"/>
  <c r="B102" i="48"/>
  <c r="B103" i="48"/>
  <c r="B104" i="48"/>
  <c r="B105" i="48"/>
  <c r="B106" i="48"/>
  <c r="B107" i="48"/>
  <c r="B108" i="48"/>
  <c r="B109" i="48"/>
  <c r="B110" i="48"/>
  <c r="B111" i="48"/>
  <c r="B112" i="48"/>
  <c r="B113" i="48"/>
  <c r="B114" i="48"/>
  <c r="B115" i="48"/>
  <c r="B116" i="48"/>
  <c r="B117" i="48"/>
  <c r="B118" i="48"/>
  <c r="B119" i="48"/>
  <c r="B120" i="48"/>
  <c r="B121" i="48"/>
  <c r="B122" i="48"/>
  <c r="B123" i="48"/>
  <c r="B124" i="48"/>
  <c r="B125" i="48"/>
  <c r="B126" i="48"/>
  <c r="B127" i="48"/>
  <c r="B128" i="48"/>
  <c r="B129" i="48"/>
  <c r="B130" i="48"/>
  <c r="B131" i="48"/>
  <c r="B132" i="48"/>
  <c r="B133" i="48"/>
  <c r="B134" i="48"/>
  <c r="B135" i="48"/>
  <c r="B136" i="48"/>
  <c r="B137" i="48"/>
  <c r="B138" i="48"/>
  <c r="B139" i="48"/>
  <c r="B140" i="48"/>
  <c r="B141" i="48"/>
  <c r="B142" i="48"/>
  <c r="B143" i="48"/>
  <c r="B144" i="48"/>
  <c r="B145" i="48"/>
  <c r="B146" i="48"/>
  <c r="B147" i="48"/>
  <c r="B148" i="48"/>
  <c r="B149" i="48"/>
  <c r="B150" i="48"/>
  <c r="B151" i="48"/>
  <c r="B152" i="48"/>
  <c r="B153" i="48"/>
  <c r="B154" i="48"/>
  <c r="B155" i="48"/>
  <c r="B156" i="48"/>
  <c r="B157" i="48"/>
  <c r="B158" i="48"/>
  <c r="B159" i="48"/>
  <c r="B160" i="48"/>
  <c r="B161" i="48"/>
  <c r="B162" i="48"/>
  <c r="B163" i="48"/>
  <c r="B164" i="48"/>
  <c r="B165" i="48"/>
  <c r="B166" i="48"/>
  <c r="B167" i="48"/>
  <c r="B168" i="48"/>
  <c r="B169" i="48"/>
  <c r="B170" i="48"/>
  <c r="B171" i="48"/>
  <c r="B172" i="48"/>
  <c r="B173" i="48"/>
  <c r="B174" i="48"/>
  <c r="B175" i="48"/>
  <c r="B176" i="48"/>
  <c r="B177" i="48"/>
  <c r="B178" i="48"/>
  <c r="B179" i="48"/>
  <c r="B180" i="48"/>
  <c r="B181" i="48"/>
  <c r="B182" i="48"/>
  <c r="B183" i="48"/>
  <c r="B184" i="48"/>
  <c r="B185" i="48"/>
  <c r="B186" i="48"/>
  <c r="B187" i="48"/>
  <c r="B188" i="48"/>
  <c r="B189" i="48"/>
  <c r="B190" i="48"/>
  <c r="B191" i="48"/>
  <c r="B192" i="48"/>
  <c r="B193" i="48"/>
  <c r="B194" i="48"/>
  <c r="B195" i="48"/>
  <c r="B196" i="48"/>
  <c r="B197" i="48"/>
  <c r="B198" i="48"/>
  <c r="B199" i="48"/>
  <c r="B200" i="48"/>
  <c r="B201" i="48"/>
  <c r="B202" i="48"/>
  <c r="B203" i="48"/>
  <c r="B204" i="48"/>
  <c r="B205" i="48"/>
  <c r="B206" i="48"/>
  <c r="B207" i="48"/>
  <c r="B208" i="48"/>
  <c r="B209" i="48"/>
  <c r="B210" i="48"/>
  <c r="B211" i="48"/>
  <c r="B212" i="48"/>
  <c r="B213" i="48"/>
  <c r="B214" i="48"/>
  <c r="B215" i="48"/>
  <c r="B216" i="48"/>
  <c r="B217" i="48"/>
  <c r="B218" i="48"/>
  <c r="B219" i="48"/>
  <c r="B220" i="48"/>
  <c r="B221" i="48"/>
  <c r="B222" i="48"/>
  <c r="B223" i="48"/>
  <c r="B224" i="48"/>
  <c r="B225" i="48"/>
  <c r="B226" i="48"/>
  <c r="B227" i="48"/>
  <c r="B228" i="48"/>
  <c r="B229" i="48"/>
  <c r="B230" i="48"/>
  <c r="B231" i="48"/>
  <c r="B232" i="48"/>
  <c r="B233" i="48"/>
  <c r="B234" i="48"/>
  <c r="B235" i="48"/>
  <c r="B236" i="48"/>
  <c r="B237" i="48"/>
  <c r="B238" i="48"/>
  <c r="B239" i="48"/>
  <c r="B240" i="48"/>
  <c r="B241" i="48"/>
  <c r="B242" i="48"/>
  <c r="B243" i="48"/>
  <c r="B244" i="48"/>
  <c r="B245" i="48"/>
  <c r="B246" i="48"/>
  <c r="B247" i="48"/>
  <c r="B248" i="48"/>
  <c r="B249" i="48"/>
  <c r="B250" i="48"/>
  <c r="B251" i="48"/>
  <c r="B252" i="48"/>
  <c r="B253" i="48"/>
  <c r="B254" i="48"/>
  <c r="B255" i="48"/>
  <c r="B256" i="48"/>
  <c r="B257" i="48"/>
  <c r="B258" i="48"/>
  <c r="B259" i="48"/>
  <c r="B260" i="48"/>
  <c r="B261" i="48"/>
  <c r="B262" i="48"/>
  <c r="B263" i="48"/>
  <c r="B264" i="48"/>
  <c r="B265" i="48"/>
  <c r="B266" i="48"/>
  <c r="B267" i="48"/>
  <c r="B268" i="48"/>
  <c r="B269" i="48"/>
  <c r="B270" i="48"/>
  <c r="B271" i="48"/>
  <c r="B272" i="48"/>
  <c r="B273" i="48"/>
  <c r="B274" i="48"/>
  <c r="B275" i="48"/>
  <c r="B276" i="48"/>
  <c r="B277" i="48"/>
  <c r="B278" i="48"/>
  <c r="B279" i="48"/>
  <c r="B280" i="48"/>
  <c r="B281" i="48"/>
  <c r="B282" i="48"/>
  <c r="B283" i="48"/>
  <c r="B284" i="48"/>
  <c r="B285" i="48"/>
  <c r="B286" i="48"/>
  <c r="B287" i="48"/>
  <c r="B288" i="48"/>
  <c r="B289" i="48"/>
  <c r="B290" i="48"/>
  <c r="B291" i="48"/>
  <c r="B292" i="48"/>
  <c r="B293" i="48"/>
  <c r="B294" i="48"/>
  <c r="B295" i="48"/>
  <c r="B296" i="48"/>
  <c r="B297" i="48"/>
  <c r="B298" i="48"/>
  <c r="B299" i="48"/>
  <c r="B300" i="48"/>
  <c r="B301" i="48"/>
  <c r="B302" i="48"/>
  <c r="B303" i="48"/>
  <c r="B304" i="48"/>
  <c r="B305" i="48"/>
  <c r="B306" i="48"/>
  <c r="B307" i="48"/>
  <c r="B308" i="48"/>
  <c r="B309" i="48"/>
  <c r="B310" i="48"/>
  <c r="B311" i="48"/>
  <c r="B312" i="48"/>
  <c r="B313" i="48"/>
  <c r="B314" i="48"/>
  <c r="B3" i="48"/>
  <c r="B4" i="48"/>
  <c r="B5" i="48"/>
  <c r="B6" i="48"/>
  <c r="B7" i="48"/>
  <c r="B8" i="48"/>
  <c r="B9" i="48"/>
  <c r="B10" i="48"/>
  <c r="B11" i="48"/>
  <c r="B12" i="48"/>
  <c r="B13" i="48"/>
  <c r="B14" i="48"/>
  <c r="B15" i="48"/>
  <c r="B2" i="48"/>
  <c r="Q8" i="43" l="1"/>
  <c r="O11" i="43"/>
  <c r="L12" i="43"/>
  <c r="C11" i="49"/>
  <c r="E11" i="49"/>
  <c r="D11" i="49" s="1"/>
  <c r="B12" i="49"/>
  <c r="Q9" i="43"/>
  <c r="L10" i="43"/>
  <c r="J9" i="43"/>
  <c r="O9" i="43"/>
  <c r="B3" i="28"/>
  <c r="B4" i="28"/>
  <c r="B5" i="28"/>
  <c r="B6" i="28"/>
  <c r="B7" i="28"/>
  <c r="B8" i="28"/>
  <c r="B9" i="28"/>
  <c r="B10" i="28"/>
  <c r="B11" i="28"/>
  <c r="B12" i="28"/>
  <c r="B13" i="28"/>
  <c r="B14" i="28"/>
  <c r="B15" i="28"/>
  <c r="B16" i="28"/>
  <c r="B17" i="28"/>
  <c r="B18" i="28"/>
  <c r="B19" i="28"/>
  <c r="B20" i="28"/>
  <c r="B21" i="28"/>
  <c r="B22" i="28"/>
  <c r="B23" i="28"/>
  <c r="B24" i="28"/>
  <c r="B25" i="28"/>
  <c r="B26" i="28"/>
  <c r="B27" i="28"/>
  <c r="B28" i="28"/>
  <c r="B29" i="28"/>
  <c r="B30" i="28"/>
  <c r="B31" i="28"/>
  <c r="B32" i="28"/>
  <c r="B33" i="28"/>
  <c r="B34" i="28"/>
  <c r="B35" i="28"/>
  <c r="B36" i="28"/>
  <c r="B37" i="28"/>
  <c r="B38" i="28"/>
  <c r="B39" i="28"/>
  <c r="B40" i="28"/>
  <c r="B41" i="28"/>
  <c r="B42" i="28"/>
  <c r="B43" i="28"/>
  <c r="B44" i="28"/>
  <c r="B45" i="28"/>
  <c r="B46" i="28"/>
  <c r="B47" i="28"/>
  <c r="B48" i="28"/>
  <c r="B49" i="28"/>
  <c r="B50" i="28"/>
  <c r="B51" i="28"/>
  <c r="B52" i="28"/>
  <c r="B53" i="28"/>
  <c r="B54" i="28"/>
  <c r="B55" i="28"/>
  <c r="B56" i="28"/>
  <c r="B57" i="28"/>
  <c r="B58" i="28"/>
  <c r="B59" i="28"/>
  <c r="B60" i="28"/>
  <c r="B61" i="28"/>
  <c r="B62" i="28"/>
  <c r="B63" i="28"/>
  <c r="B64" i="28"/>
  <c r="B65" i="28"/>
  <c r="B66" i="28"/>
  <c r="B67" i="28"/>
  <c r="B68" i="28"/>
  <c r="B69" i="28"/>
  <c r="B70" i="28"/>
  <c r="B71" i="28"/>
  <c r="B72" i="28"/>
  <c r="B73" i="28"/>
  <c r="B74" i="28"/>
  <c r="B75" i="28"/>
  <c r="B76" i="28"/>
  <c r="B77" i="28"/>
  <c r="B78" i="28"/>
  <c r="B79" i="28"/>
  <c r="B80" i="28"/>
  <c r="B81" i="28"/>
  <c r="B82" i="28"/>
  <c r="B83" i="28"/>
  <c r="B84" i="28"/>
  <c r="B85" i="28"/>
  <c r="B86" i="28"/>
  <c r="B87" i="28"/>
  <c r="B88" i="28"/>
  <c r="B89" i="28"/>
  <c r="B90" i="28"/>
  <c r="B91" i="28"/>
  <c r="B92" i="28"/>
  <c r="B93" i="28"/>
  <c r="B94" i="28"/>
  <c r="B95" i="28"/>
  <c r="B96" i="28"/>
  <c r="B97" i="28"/>
  <c r="B98" i="28"/>
  <c r="B99" i="28"/>
  <c r="B100" i="28"/>
  <c r="B101" i="28"/>
  <c r="B102" i="28"/>
  <c r="B103" i="28"/>
  <c r="B104" i="28"/>
  <c r="B105" i="28"/>
  <c r="B106" i="28"/>
  <c r="B107" i="28"/>
  <c r="B108" i="28"/>
  <c r="B109" i="28"/>
  <c r="B110" i="28"/>
  <c r="B111" i="28"/>
  <c r="B112" i="28"/>
  <c r="B113" i="28"/>
  <c r="B114" i="28"/>
  <c r="B115" i="28"/>
  <c r="B116" i="28"/>
  <c r="B117" i="28"/>
  <c r="B118" i="28"/>
  <c r="B119" i="28"/>
  <c r="B120" i="28"/>
  <c r="B121" i="28"/>
  <c r="B122" i="28"/>
  <c r="C3" i="28"/>
  <c r="C4" i="28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C51" i="28"/>
  <c r="C52" i="28"/>
  <c r="C53" i="28"/>
  <c r="C54" i="28"/>
  <c r="C55" i="28"/>
  <c r="C56" i="28"/>
  <c r="C57" i="28"/>
  <c r="C58" i="28"/>
  <c r="C59" i="28"/>
  <c r="C60" i="28"/>
  <c r="C61" i="28"/>
  <c r="C62" i="28"/>
  <c r="C63" i="28"/>
  <c r="C64" i="28"/>
  <c r="C65" i="28"/>
  <c r="C66" i="28"/>
  <c r="C67" i="28"/>
  <c r="C68" i="28"/>
  <c r="C69" i="28"/>
  <c r="C70" i="28"/>
  <c r="C71" i="28"/>
  <c r="C72" i="28"/>
  <c r="C73" i="28"/>
  <c r="C74" i="28"/>
  <c r="C75" i="28"/>
  <c r="C76" i="28"/>
  <c r="C77" i="28"/>
  <c r="C78" i="28"/>
  <c r="C79" i="28"/>
  <c r="C80" i="28"/>
  <c r="C81" i="28"/>
  <c r="C82" i="28"/>
  <c r="C83" i="28"/>
  <c r="C84" i="28"/>
  <c r="C85" i="28"/>
  <c r="C86" i="28"/>
  <c r="C87" i="28"/>
  <c r="C88" i="28"/>
  <c r="C89" i="28"/>
  <c r="C90" i="28"/>
  <c r="C91" i="28"/>
  <c r="C92" i="28"/>
  <c r="C93" i="28"/>
  <c r="C94" i="28"/>
  <c r="C95" i="28"/>
  <c r="C96" i="28"/>
  <c r="C97" i="28"/>
  <c r="C98" i="28"/>
  <c r="C99" i="28"/>
  <c r="C100" i="28"/>
  <c r="C101" i="28"/>
  <c r="C102" i="28"/>
  <c r="C103" i="28"/>
  <c r="C104" i="28"/>
  <c r="C105" i="28"/>
  <c r="C106" i="28"/>
  <c r="C107" i="28"/>
  <c r="C108" i="28"/>
  <c r="C109" i="28"/>
  <c r="C110" i="28"/>
  <c r="C111" i="28"/>
  <c r="C112" i="28"/>
  <c r="C113" i="28"/>
  <c r="C114" i="28"/>
  <c r="C115" i="28"/>
  <c r="C116" i="28"/>
  <c r="C117" i="28"/>
  <c r="C118" i="28"/>
  <c r="C119" i="28"/>
  <c r="C120" i="28"/>
  <c r="C121" i="28"/>
  <c r="C122" i="28"/>
  <c r="C12" i="49" l="1"/>
  <c r="E12" i="49"/>
  <c r="B13" i="49"/>
  <c r="D12" i="49"/>
  <c r="H122" i="28"/>
  <c r="F122" i="28"/>
  <c r="F118" i="28"/>
  <c r="H118" i="28"/>
  <c r="F114" i="28"/>
  <c r="H114" i="28"/>
  <c r="H110" i="28"/>
  <c r="F110" i="28"/>
  <c r="H106" i="28"/>
  <c r="F106" i="28"/>
  <c r="F102" i="28"/>
  <c r="H102" i="28"/>
  <c r="F98" i="28"/>
  <c r="H98" i="28"/>
  <c r="H94" i="28"/>
  <c r="F94" i="28"/>
  <c r="H90" i="28"/>
  <c r="F90" i="28"/>
  <c r="F86" i="28"/>
  <c r="H86" i="28"/>
  <c r="F82" i="28"/>
  <c r="H82" i="28"/>
  <c r="H78" i="28"/>
  <c r="F78" i="28"/>
  <c r="H74" i="28"/>
  <c r="F74" i="28"/>
  <c r="F70" i="28"/>
  <c r="H70" i="28"/>
  <c r="F66" i="28"/>
  <c r="H66" i="28"/>
  <c r="H62" i="28"/>
  <c r="F62" i="28"/>
  <c r="H58" i="28"/>
  <c r="F58" i="28"/>
  <c r="F54" i="28"/>
  <c r="H54" i="28"/>
  <c r="F50" i="28"/>
  <c r="H50" i="28"/>
  <c r="H46" i="28"/>
  <c r="F46" i="28"/>
  <c r="H42" i="28"/>
  <c r="F42" i="28"/>
  <c r="F38" i="28"/>
  <c r="H38" i="28"/>
  <c r="F34" i="28"/>
  <c r="H34" i="28"/>
  <c r="H30" i="28"/>
  <c r="F30" i="28"/>
  <c r="H26" i="28"/>
  <c r="F26" i="28"/>
  <c r="F22" i="28"/>
  <c r="H22" i="28"/>
  <c r="F18" i="28"/>
  <c r="H18" i="28"/>
  <c r="H14" i="28"/>
  <c r="F14" i="28"/>
  <c r="H10" i="28"/>
  <c r="F10" i="28"/>
  <c r="F6" i="28"/>
  <c r="H6" i="28"/>
  <c r="H121" i="28"/>
  <c r="F121" i="28"/>
  <c r="H117" i="28"/>
  <c r="F117" i="28"/>
  <c r="F113" i="28"/>
  <c r="H113" i="28"/>
  <c r="F109" i="28"/>
  <c r="H109" i="28"/>
  <c r="H105" i="28"/>
  <c r="F105" i="28"/>
  <c r="H101" i="28"/>
  <c r="F101" i="28"/>
  <c r="F97" i="28"/>
  <c r="H97" i="28"/>
  <c r="H93" i="28"/>
  <c r="F93" i="28"/>
  <c r="H89" i="28"/>
  <c r="F89" i="28"/>
  <c r="H85" i="28"/>
  <c r="F85" i="28"/>
  <c r="F81" i="28"/>
  <c r="H81" i="28"/>
  <c r="H77" i="28"/>
  <c r="F77" i="28"/>
  <c r="H73" i="28"/>
  <c r="F73" i="28"/>
  <c r="H69" i="28"/>
  <c r="F69" i="28"/>
  <c r="F65" i="28"/>
  <c r="H65" i="28"/>
  <c r="H61" i="28"/>
  <c r="F61" i="28"/>
  <c r="H57" i="28"/>
  <c r="F57" i="28"/>
  <c r="H53" i="28"/>
  <c r="F53" i="28"/>
  <c r="F49" i="28"/>
  <c r="H49" i="28"/>
  <c r="H45" i="28"/>
  <c r="F45" i="28"/>
  <c r="H41" i="28"/>
  <c r="F41" i="28"/>
  <c r="H37" i="28"/>
  <c r="F37" i="28"/>
  <c r="F33" i="28"/>
  <c r="H33" i="28"/>
  <c r="H29" i="28"/>
  <c r="F29" i="28"/>
  <c r="H25" i="28"/>
  <c r="F25" i="28"/>
  <c r="H21" i="28"/>
  <c r="F21" i="28"/>
  <c r="F17" i="28"/>
  <c r="H17" i="28"/>
  <c r="H13" i="28"/>
  <c r="F13" i="28"/>
  <c r="H9" i="28"/>
  <c r="F9" i="28"/>
  <c r="H5" i="28"/>
  <c r="F5" i="28"/>
  <c r="F120" i="28"/>
  <c r="H120" i="28"/>
  <c r="H116" i="28"/>
  <c r="F116" i="28"/>
  <c r="H112" i="28"/>
  <c r="F112" i="28"/>
  <c r="F108" i="28"/>
  <c r="H108" i="28"/>
  <c r="F104" i="28"/>
  <c r="H104" i="28"/>
  <c r="H100" i="28"/>
  <c r="F100" i="28"/>
  <c r="H96" i="28"/>
  <c r="F96" i="28"/>
  <c r="H92" i="28"/>
  <c r="F92" i="28"/>
  <c r="H88" i="28"/>
  <c r="F88" i="28"/>
  <c r="H84" i="28"/>
  <c r="F84" i="28"/>
  <c r="H80" i="28"/>
  <c r="F80" i="28"/>
  <c r="H76" i="28"/>
  <c r="F76" i="28"/>
  <c r="H72" i="28"/>
  <c r="F72" i="28"/>
  <c r="H68" i="28"/>
  <c r="F68" i="28"/>
  <c r="H64" i="28"/>
  <c r="F64" i="28"/>
  <c r="H60" i="28"/>
  <c r="F60" i="28"/>
  <c r="H56" i="28"/>
  <c r="F56" i="28"/>
  <c r="H52" i="28"/>
  <c r="F52" i="28"/>
  <c r="H48" i="28"/>
  <c r="F48" i="28"/>
  <c r="H44" i="28"/>
  <c r="F44" i="28"/>
  <c r="H40" i="28"/>
  <c r="F40" i="28"/>
  <c r="H36" i="28"/>
  <c r="F36" i="28"/>
  <c r="H32" i="28"/>
  <c r="F32" i="28"/>
  <c r="H28" i="28"/>
  <c r="F28" i="28"/>
  <c r="H24" i="28"/>
  <c r="F24" i="28"/>
  <c r="H20" i="28"/>
  <c r="F20" i="28"/>
  <c r="H16" i="28"/>
  <c r="F16" i="28"/>
  <c r="H12" i="28"/>
  <c r="F12" i="28"/>
  <c r="H8" i="28"/>
  <c r="F8" i="28"/>
  <c r="H4" i="28"/>
  <c r="F4" i="28"/>
  <c r="H119" i="28"/>
  <c r="F119" i="28"/>
  <c r="H115" i="28"/>
  <c r="F115" i="28"/>
  <c r="H111" i="28"/>
  <c r="F111" i="28"/>
  <c r="H107" i="28"/>
  <c r="F107" i="28"/>
  <c r="H103" i="28"/>
  <c r="F103" i="28"/>
  <c r="H99" i="28"/>
  <c r="F99" i="28"/>
  <c r="H95" i="28"/>
  <c r="F95" i="28"/>
  <c r="H91" i="28"/>
  <c r="F91" i="28"/>
  <c r="H87" i="28"/>
  <c r="F87" i="28"/>
  <c r="H83" i="28"/>
  <c r="F83" i="28"/>
  <c r="H79" i="28"/>
  <c r="F79" i="28"/>
  <c r="H75" i="28"/>
  <c r="F75" i="28"/>
  <c r="H71" i="28"/>
  <c r="F71" i="28"/>
  <c r="H67" i="28"/>
  <c r="F67" i="28"/>
  <c r="H63" i="28"/>
  <c r="F63" i="28"/>
  <c r="H59" i="28"/>
  <c r="F59" i="28"/>
  <c r="H55" i="28"/>
  <c r="F55" i="28"/>
  <c r="H51" i="28"/>
  <c r="F51" i="28"/>
  <c r="H47" i="28"/>
  <c r="F47" i="28"/>
  <c r="H43" i="28"/>
  <c r="F43" i="28"/>
  <c r="H39" i="28"/>
  <c r="F39" i="28"/>
  <c r="H35" i="28"/>
  <c r="F35" i="28"/>
  <c r="H31" i="28"/>
  <c r="F31" i="28"/>
  <c r="H27" i="28"/>
  <c r="F27" i="28"/>
  <c r="H23" i="28"/>
  <c r="F23" i="28"/>
  <c r="H19" i="28"/>
  <c r="F19" i="28"/>
  <c r="H15" i="28"/>
  <c r="F15" i="28"/>
  <c r="H11" i="28"/>
  <c r="F11" i="28"/>
  <c r="H7" i="28"/>
  <c r="F7" i="28"/>
  <c r="H3" i="28"/>
  <c r="F3" i="28"/>
  <c r="J3" i="28"/>
  <c r="I5" i="28"/>
  <c r="I7" i="28"/>
  <c r="I11" i="28"/>
  <c r="J15" i="28"/>
  <c r="I21" i="28"/>
  <c r="I23" i="28"/>
  <c r="I27" i="28"/>
  <c r="J31" i="28"/>
  <c r="I37" i="28"/>
  <c r="I39" i="28"/>
  <c r="I43" i="28"/>
  <c r="J47" i="28"/>
  <c r="I53" i="28"/>
  <c r="I55" i="28"/>
  <c r="I59" i="28"/>
  <c r="J63" i="28"/>
  <c r="I69" i="28"/>
  <c r="I71" i="28"/>
  <c r="I75" i="28"/>
  <c r="I85" i="28"/>
  <c r="I87" i="28"/>
  <c r="I91" i="28"/>
  <c r="I101" i="28"/>
  <c r="I103" i="28"/>
  <c r="I107" i="28"/>
  <c r="I3" i="28"/>
  <c r="K3" i="28" s="1"/>
  <c r="I4" i="28"/>
  <c r="I8" i="28"/>
  <c r="I9" i="28"/>
  <c r="I12" i="28"/>
  <c r="I13" i="28"/>
  <c r="I15" i="28"/>
  <c r="I16" i="28"/>
  <c r="I17" i="28"/>
  <c r="I19" i="28"/>
  <c r="I20" i="28"/>
  <c r="I24" i="28"/>
  <c r="I25" i="28"/>
  <c r="I28" i="28"/>
  <c r="I29" i="28"/>
  <c r="I31" i="28"/>
  <c r="I32" i="28"/>
  <c r="I33" i="28"/>
  <c r="I35" i="28"/>
  <c r="I36" i="28"/>
  <c r="I40" i="28"/>
  <c r="I41" i="28"/>
  <c r="I44" i="28"/>
  <c r="I45" i="28"/>
  <c r="I47" i="28"/>
  <c r="I48" i="28"/>
  <c r="I49" i="28"/>
  <c r="I51" i="28"/>
  <c r="I52" i="28"/>
  <c r="I56" i="28"/>
  <c r="I57" i="28"/>
  <c r="I60" i="28"/>
  <c r="I61" i="28"/>
  <c r="I63" i="28"/>
  <c r="I64" i="28"/>
  <c r="I65" i="28"/>
  <c r="I67" i="28"/>
  <c r="I68" i="28"/>
  <c r="I72" i="28"/>
  <c r="I73" i="28"/>
  <c r="K73" i="28" s="1"/>
  <c r="I76" i="28"/>
  <c r="I77" i="28"/>
  <c r="I79" i="28"/>
  <c r="I80" i="28"/>
  <c r="I81" i="28"/>
  <c r="I83" i="28"/>
  <c r="I84" i="28"/>
  <c r="I88" i="28"/>
  <c r="I89" i="28"/>
  <c r="I92" i="28"/>
  <c r="I93" i="28"/>
  <c r="I95" i="28"/>
  <c r="I96" i="28"/>
  <c r="I97" i="28"/>
  <c r="I99" i="28"/>
  <c r="I100" i="28"/>
  <c r="I104" i="28"/>
  <c r="I105" i="28"/>
  <c r="I108" i="28"/>
  <c r="I109" i="28"/>
  <c r="I111" i="28"/>
  <c r="I112" i="28"/>
  <c r="I113" i="28"/>
  <c r="I115" i="28"/>
  <c r="I116" i="28"/>
  <c r="I117" i="28"/>
  <c r="I119" i="28"/>
  <c r="I120" i="28"/>
  <c r="I121" i="28"/>
  <c r="J4" i="28"/>
  <c r="J5" i="28"/>
  <c r="J7" i="28"/>
  <c r="J8" i="28"/>
  <c r="J9" i="28"/>
  <c r="J11" i="28"/>
  <c r="J12" i="28"/>
  <c r="J13" i="28"/>
  <c r="J16" i="28"/>
  <c r="J17" i="28"/>
  <c r="J19" i="28"/>
  <c r="J20" i="28"/>
  <c r="J21" i="28"/>
  <c r="J23" i="28"/>
  <c r="J24" i="28"/>
  <c r="J25" i="28"/>
  <c r="J27" i="28"/>
  <c r="J28" i="28"/>
  <c r="J29" i="28"/>
  <c r="J32" i="28"/>
  <c r="J33" i="28"/>
  <c r="J35" i="28"/>
  <c r="J36" i="28"/>
  <c r="J37" i="28"/>
  <c r="J39" i="28"/>
  <c r="J40" i="28"/>
  <c r="J41" i="28"/>
  <c r="J43" i="28"/>
  <c r="J44" i="28"/>
  <c r="J45" i="28"/>
  <c r="J48" i="28"/>
  <c r="J49" i="28"/>
  <c r="J51" i="28"/>
  <c r="J52" i="28"/>
  <c r="J53" i="28"/>
  <c r="J55" i="28"/>
  <c r="J56" i="28"/>
  <c r="J57" i="28"/>
  <c r="J59" i="28"/>
  <c r="J60" i="28"/>
  <c r="J61" i="28"/>
  <c r="J64" i="28"/>
  <c r="J65" i="28"/>
  <c r="J67" i="28"/>
  <c r="J68" i="28"/>
  <c r="J69" i="28"/>
  <c r="J71" i="28"/>
  <c r="J72" i="28"/>
  <c r="J73" i="28"/>
  <c r="J75" i="28"/>
  <c r="J76" i="28"/>
  <c r="J77" i="28"/>
  <c r="J79" i="28"/>
  <c r="J80" i="28"/>
  <c r="J81" i="28"/>
  <c r="J83" i="28"/>
  <c r="J84" i="28"/>
  <c r="J85" i="28"/>
  <c r="J87" i="28"/>
  <c r="J88" i="28"/>
  <c r="J89" i="28"/>
  <c r="J91" i="28"/>
  <c r="J92" i="28"/>
  <c r="J93" i="28"/>
  <c r="J95" i="28"/>
  <c r="J96" i="28"/>
  <c r="J97" i="28"/>
  <c r="J99" i="28"/>
  <c r="J100" i="28"/>
  <c r="J101" i="28"/>
  <c r="J103" i="28"/>
  <c r="J104" i="28"/>
  <c r="J105" i="28"/>
  <c r="J107" i="28"/>
  <c r="J108" i="28"/>
  <c r="J109" i="28"/>
  <c r="J111" i="28"/>
  <c r="J112" i="28"/>
  <c r="J113" i="28"/>
  <c r="J115" i="28"/>
  <c r="J116" i="28"/>
  <c r="J117" i="28"/>
  <c r="J119" i="28"/>
  <c r="J120" i="28"/>
  <c r="J121" i="28"/>
  <c r="C13" i="49" l="1"/>
  <c r="E13" i="49"/>
  <c r="B14" i="49"/>
  <c r="D13" i="49"/>
  <c r="I118" i="28"/>
  <c r="J118" i="28"/>
  <c r="I110" i="28"/>
  <c r="J110" i="28"/>
  <c r="I102" i="28"/>
  <c r="J102" i="28"/>
  <c r="I94" i="28"/>
  <c r="J94" i="28"/>
  <c r="I86" i="28"/>
  <c r="J86" i="28"/>
  <c r="I78" i="28"/>
  <c r="J78" i="28"/>
  <c r="I70" i="28"/>
  <c r="J70" i="28"/>
  <c r="I58" i="28"/>
  <c r="J58" i="28"/>
  <c r="I50" i="28"/>
  <c r="J50" i="28"/>
  <c r="I42" i="28"/>
  <c r="J42" i="28"/>
  <c r="I34" i="28"/>
  <c r="J34" i="28"/>
  <c r="I26" i="28"/>
  <c r="J26" i="28"/>
  <c r="I14" i="28"/>
  <c r="J14" i="28"/>
  <c r="I10" i="28"/>
  <c r="J10" i="28"/>
  <c r="I122" i="28"/>
  <c r="J122" i="28"/>
  <c r="I114" i="28"/>
  <c r="J114" i="28"/>
  <c r="I106" i="28"/>
  <c r="J106" i="28"/>
  <c r="I98" i="28"/>
  <c r="J98" i="28"/>
  <c r="I90" i="28"/>
  <c r="J90" i="28"/>
  <c r="I82" i="28"/>
  <c r="J82" i="28"/>
  <c r="I74" i="28"/>
  <c r="J74" i="28"/>
  <c r="I66" i="28"/>
  <c r="J66" i="28"/>
  <c r="I62" i="28"/>
  <c r="J62" i="28"/>
  <c r="I54" i="28"/>
  <c r="J54" i="28"/>
  <c r="I46" i="28"/>
  <c r="J46" i="28"/>
  <c r="I38" i="28"/>
  <c r="J38" i="28"/>
  <c r="I30" i="28"/>
  <c r="J30" i="28"/>
  <c r="I22" i="28"/>
  <c r="J22" i="28"/>
  <c r="I18" i="28"/>
  <c r="J18" i="28"/>
  <c r="I6" i="28"/>
  <c r="J6" i="28"/>
  <c r="AL11" i="45"/>
  <c r="AL10" i="45"/>
  <c r="AL9" i="45"/>
  <c r="AL8" i="45"/>
  <c r="AL7" i="45"/>
  <c r="AL6" i="45"/>
  <c r="AL5" i="45"/>
  <c r="C14" i="49" l="1"/>
  <c r="E14" i="49"/>
  <c r="D14" i="49" s="1"/>
  <c r="B15" i="49"/>
  <c r="R3" i="43"/>
  <c r="X3" i="43" s="1"/>
  <c r="Q3" i="43"/>
  <c r="AL12" i="45"/>
  <c r="AQ5" i="45"/>
  <c r="C15" i="49" l="1"/>
  <c r="E15" i="49"/>
  <c r="D15" i="49" s="1"/>
  <c r="B16" i="49"/>
  <c r="R4" i="43"/>
  <c r="AL3" i="45"/>
  <c r="C16" i="49" l="1"/>
  <c r="E16" i="49"/>
  <c r="B17" i="49"/>
  <c r="D16" i="49"/>
  <c r="K7" i="43"/>
  <c r="K6" i="43"/>
  <c r="K5" i="43"/>
  <c r="K4" i="43"/>
  <c r="K3" i="43"/>
  <c r="O3" i="43" s="1"/>
  <c r="X4" i="43"/>
  <c r="C17" i="49" l="1"/>
  <c r="E17" i="49"/>
  <c r="D17" i="49" s="1"/>
  <c r="B18" i="49"/>
  <c r="G2" i="43"/>
  <c r="G3" i="43"/>
  <c r="G4" i="43"/>
  <c r="G5" i="43"/>
  <c r="G6" i="43"/>
  <c r="G7" i="43"/>
  <c r="C18" i="49" l="1"/>
  <c r="E18" i="49"/>
  <c r="D18" i="49" s="1"/>
  <c r="B19" i="49"/>
  <c r="R22" i="23"/>
  <c r="C19" i="49" l="1"/>
  <c r="E19" i="49"/>
  <c r="D19" i="49" s="1"/>
  <c r="B20" i="49"/>
  <c r="M25" i="23"/>
  <c r="M9" i="35"/>
  <c r="M8" i="35"/>
  <c r="R21" i="23"/>
  <c r="R20" i="23"/>
  <c r="R18" i="23"/>
  <c r="R16" i="23"/>
  <c r="R13" i="23"/>
  <c r="R12" i="23"/>
  <c r="R7" i="23"/>
  <c r="R10" i="23"/>
  <c r="R9" i="23"/>
  <c r="R11" i="23"/>
  <c r="R17" i="23"/>
  <c r="R19" i="23"/>
  <c r="R23" i="23"/>
  <c r="R24" i="23"/>
  <c r="C20" i="49" l="1"/>
  <c r="E20" i="49"/>
  <c r="D20" i="49" s="1"/>
  <c r="B21" i="49"/>
  <c r="R25" i="23"/>
  <c r="L25" i="23"/>
  <c r="O22" i="23"/>
  <c r="C21" i="49" l="1"/>
  <c r="E21" i="49"/>
  <c r="D21" i="49" s="1"/>
  <c r="B22" i="49"/>
  <c r="AB13" i="45"/>
  <c r="AA13" i="45"/>
  <c r="Z13" i="45"/>
  <c r="Y13" i="45"/>
  <c r="X13" i="45"/>
  <c r="W13" i="45"/>
  <c r="V13" i="45"/>
  <c r="C22" i="49" l="1"/>
  <c r="E22" i="49"/>
  <c r="B23" i="49"/>
  <c r="D22" i="49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D4" i="7"/>
  <c r="B4" i="7"/>
  <c r="D3" i="7"/>
  <c r="B3" i="7"/>
  <c r="D2" i="7"/>
  <c r="B2" i="7"/>
  <c r="J23" i="47"/>
  <c r="K23" i="47" s="1"/>
  <c r="P20" i="47"/>
  <c r="N20" i="47"/>
  <c r="I20" i="47"/>
  <c r="G20" i="47"/>
  <c r="D20" i="47"/>
  <c r="N19" i="47"/>
  <c r="I19" i="47"/>
  <c r="G19" i="47"/>
  <c r="D19" i="47"/>
  <c r="N18" i="47"/>
  <c r="I18" i="47"/>
  <c r="G18" i="47"/>
  <c r="D18" i="47"/>
  <c r="N17" i="47"/>
  <c r="I17" i="47"/>
  <c r="G17" i="47"/>
  <c r="D17" i="47"/>
  <c r="P16" i="47"/>
  <c r="N16" i="47"/>
  <c r="I16" i="47"/>
  <c r="G16" i="47"/>
  <c r="D16" i="47"/>
  <c r="V15" i="47"/>
  <c r="V16" i="47" s="1"/>
  <c r="V17" i="47" s="1"/>
  <c r="P15" i="47"/>
  <c r="O15" i="47"/>
  <c r="O16" i="47" s="1"/>
  <c r="O17" i="47" s="1"/>
  <c r="N15" i="47"/>
  <c r="I15" i="47"/>
  <c r="G15" i="47"/>
  <c r="D15" i="47"/>
  <c r="X14" i="47"/>
  <c r="Q14" i="47" s="1"/>
  <c r="P14" i="47"/>
  <c r="O14" i="47"/>
  <c r="U14" i="47" s="1"/>
  <c r="N14" i="47"/>
  <c r="L14" i="47"/>
  <c r="I14" i="47"/>
  <c r="G14" i="47"/>
  <c r="D14" i="47"/>
  <c r="X13" i="47"/>
  <c r="Q13" i="47" s="1"/>
  <c r="U13" i="47"/>
  <c r="S13" i="47"/>
  <c r="N13" i="47"/>
  <c r="L13" i="47"/>
  <c r="K13" i="47"/>
  <c r="I13" i="47"/>
  <c r="G13" i="47"/>
  <c r="D13" i="47"/>
  <c r="X12" i="47"/>
  <c r="Q12" i="47" s="1"/>
  <c r="U12" i="47"/>
  <c r="S12" i="47"/>
  <c r="N12" i="47"/>
  <c r="L12" i="47"/>
  <c r="K12" i="47"/>
  <c r="I12" i="47"/>
  <c r="G12" i="47"/>
  <c r="D12" i="47"/>
  <c r="X11" i="47"/>
  <c r="Q11" i="47" s="1"/>
  <c r="U11" i="47"/>
  <c r="S11" i="47"/>
  <c r="N11" i="47"/>
  <c r="L11" i="47"/>
  <c r="K11" i="47"/>
  <c r="I11" i="47"/>
  <c r="G11" i="47"/>
  <c r="D11" i="47"/>
  <c r="X10" i="47"/>
  <c r="Q10" i="47" s="1"/>
  <c r="U10" i="47"/>
  <c r="S10" i="47"/>
  <c r="N10" i="47"/>
  <c r="L10" i="47"/>
  <c r="K10" i="47"/>
  <c r="I10" i="47"/>
  <c r="G10" i="47"/>
  <c r="D10" i="47"/>
  <c r="X9" i="47"/>
  <c r="Q9" i="47" s="1"/>
  <c r="U9" i="47"/>
  <c r="S9" i="47"/>
  <c r="N9" i="47"/>
  <c r="L9" i="47"/>
  <c r="K9" i="47"/>
  <c r="I9" i="47"/>
  <c r="G9" i="47"/>
  <c r="D9" i="47"/>
  <c r="X8" i="47"/>
  <c r="Q8" i="47" s="1"/>
  <c r="U8" i="47"/>
  <c r="S8" i="47"/>
  <c r="N8" i="47"/>
  <c r="L8" i="47"/>
  <c r="K8" i="47"/>
  <c r="I8" i="47"/>
  <c r="G8" i="47"/>
  <c r="D8" i="47"/>
  <c r="U7" i="47"/>
  <c r="S7" i="47"/>
  <c r="Q7" i="47"/>
  <c r="N7" i="47"/>
  <c r="L7" i="47"/>
  <c r="K7" i="47"/>
  <c r="I7" i="47"/>
  <c r="G7" i="47"/>
  <c r="D7" i="47"/>
  <c r="U6" i="47"/>
  <c r="S6" i="47"/>
  <c r="Q6" i="47"/>
  <c r="N6" i="47"/>
  <c r="L6" i="47"/>
  <c r="K6" i="47"/>
  <c r="I6" i="47"/>
  <c r="G6" i="47"/>
  <c r="D6" i="47"/>
  <c r="U5" i="47"/>
  <c r="S5" i="47"/>
  <c r="Q5" i="47"/>
  <c r="N5" i="47"/>
  <c r="L5" i="47"/>
  <c r="K5" i="47"/>
  <c r="I5" i="47"/>
  <c r="G5" i="47"/>
  <c r="D5" i="47"/>
  <c r="U4" i="47"/>
  <c r="S4" i="47"/>
  <c r="Q4" i="47"/>
  <c r="N4" i="47"/>
  <c r="L4" i="47"/>
  <c r="K4" i="47"/>
  <c r="I4" i="47"/>
  <c r="G4" i="47"/>
  <c r="D4" i="47"/>
  <c r="U3" i="47"/>
  <c r="S3" i="47"/>
  <c r="Q3" i="47"/>
  <c r="N3" i="47"/>
  <c r="L3" i="47"/>
  <c r="K3" i="47"/>
  <c r="I3" i="47"/>
  <c r="G3" i="47"/>
  <c r="D3" i="47"/>
  <c r="U2" i="47"/>
  <c r="S2" i="47"/>
  <c r="Q2" i="47"/>
  <c r="N2" i="47"/>
  <c r="L2" i="47"/>
  <c r="K2" i="47"/>
  <c r="G2" i="47"/>
  <c r="D2" i="47"/>
  <c r="W34" i="45"/>
  <c r="V34" i="45"/>
  <c r="U34" i="45"/>
  <c r="T34" i="45"/>
  <c r="S34" i="45"/>
  <c r="R34" i="45"/>
  <c r="Q34" i="45"/>
  <c r="P34" i="45"/>
  <c r="O34" i="45"/>
  <c r="N34" i="45"/>
  <c r="M34" i="45"/>
  <c r="L34" i="45"/>
  <c r="K34" i="45"/>
  <c r="J34" i="45"/>
  <c r="I34" i="45"/>
  <c r="H34" i="45"/>
  <c r="G34" i="45"/>
  <c r="F34" i="45"/>
  <c r="E34" i="45"/>
  <c r="D34" i="45"/>
  <c r="W33" i="45"/>
  <c r="V33" i="45"/>
  <c r="U33" i="45"/>
  <c r="T33" i="45"/>
  <c r="S33" i="45"/>
  <c r="R33" i="45"/>
  <c r="Q33" i="45"/>
  <c r="P33" i="45"/>
  <c r="O33" i="45"/>
  <c r="N33" i="45"/>
  <c r="M33" i="45"/>
  <c r="L33" i="45"/>
  <c r="K33" i="45"/>
  <c r="J33" i="45"/>
  <c r="I33" i="45"/>
  <c r="H33" i="45"/>
  <c r="G33" i="45"/>
  <c r="F33" i="45"/>
  <c r="E33" i="45"/>
  <c r="D33" i="45"/>
  <c r="W32" i="45"/>
  <c r="V32" i="45"/>
  <c r="U32" i="45"/>
  <c r="T32" i="45"/>
  <c r="S32" i="45"/>
  <c r="R32" i="45"/>
  <c r="Q32" i="45"/>
  <c r="P32" i="45"/>
  <c r="O32" i="45"/>
  <c r="N32" i="45"/>
  <c r="M32" i="45"/>
  <c r="L32" i="45"/>
  <c r="K32" i="45"/>
  <c r="J32" i="45"/>
  <c r="I32" i="45"/>
  <c r="H32" i="45"/>
  <c r="G32" i="45"/>
  <c r="F32" i="45"/>
  <c r="E32" i="45"/>
  <c r="D32" i="45"/>
  <c r="W31" i="45"/>
  <c r="V31" i="45"/>
  <c r="U31" i="45"/>
  <c r="T31" i="45"/>
  <c r="S31" i="45"/>
  <c r="R31" i="45"/>
  <c r="Q31" i="45"/>
  <c r="P31" i="45"/>
  <c r="O31" i="45"/>
  <c r="N31" i="45"/>
  <c r="M31" i="45"/>
  <c r="L31" i="45"/>
  <c r="K31" i="45"/>
  <c r="J31" i="45"/>
  <c r="I31" i="45"/>
  <c r="H31" i="45"/>
  <c r="G31" i="45"/>
  <c r="F31" i="45"/>
  <c r="E31" i="45"/>
  <c r="W30" i="45"/>
  <c r="V30" i="45"/>
  <c r="U30" i="45"/>
  <c r="T30" i="45"/>
  <c r="S30" i="45"/>
  <c r="R30" i="45"/>
  <c r="Q30" i="45"/>
  <c r="P30" i="45"/>
  <c r="O30" i="45"/>
  <c r="N30" i="45"/>
  <c r="M30" i="45"/>
  <c r="L30" i="45"/>
  <c r="K30" i="45"/>
  <c r="J30" i="45"/>
  <c r="I30" i="45"/>
  <c r="H30" i="45"/>
  <c r="G30" i="45"/>
  <c r="F30" i="45"/>
  <c r="E30" i="45"/>
  <c r="W29" i="45"/>
  <c r="V29" i="45"/>
  <c r="U29" i="45"/>
  <c r="T29" i="45"/>
  <c r="S29" i="45"/>
  <c r="R29" i="45"/>
  <c r="Q29" i="45"/>
  <c r="P29" i="45"/>
  <c r="O29" i="45"/>
  <c r="N29" i="45"/>
  <c r="M29" i="45"/>
  <c r="L29" i="45"/>
  <c r="K29" i="45"/>
  <c r="J29" i="45"/>
  <c r="I29" i="45"/>
  <c r="H29" i="45"/>
  <c r="G29" i="45"/>
  <c r="F29" i="45"/>
  <c r="E29" i="45"/>
  <c r="W28" i="45"/>
  <c r="V28" i="45"/>
  <c r="U28" i="45"/>
  <c r="T28" i="45"/>
  <c r="S28" i="45"/>
  <c r="R28" i="45"/>
  <c r="Q28" i="45"/>
  <c r="P28" i="45"/>
  <c r="O28" i="45"/>
  <c r="N28" i="45"/>
  <c r="M28" i="45"/>
  <c r="L28" i="45"/>
  <c r="K28" i="45"/>
  <c r="J28" i="45"/>
  <c r="I28" i="45"/>
  <c r="H28" i="45"/>
  <c r="G28" i="45"/>
  <c r="F28" i="45"/>
  <c r="E28" i="45"/>
  <c r="W27" i="45"/>
  <c r="V27" i="45"/>
  <c r="U27" i="45"/>
  <c r="T27" i="45"/>
  <c r="S27" i="45"/>
  <c r="R27" i="45"/>
  <c r="Q27" i="45"/>
  <c r="P27" i="45"/>
  <c r="O27" i="45"/>
  <c r="N27" i="45"/>
  <c r="M27" i="45"/>
  <c r="L27" i="45"/>
  <c r="K27" i="45"/>
  <c r="J27" i="45"/>
  <c r="I27" i="45"/>
  <c r="H27" i="45"/>
  <c r="G27" i="45"/>
  <c r="F27" i="45"/>
  <c r="E27" i="45"/>
  <c r="Q26" i="45"/>
  <c r="R26" i="45" s="1"/>
  <c r="S26" i="45" s="1"/>
  <c r="T26" i="45" s="1"/>
  <c r="U26" i="45" s="1"/>
  <c r="V26" i="45" s="1"/>
  <c r="W26" i="45" s="1"/>
  <c r="W24" i="45"/>
  <c r="V24" i="45"/>
  <c r="U24" i="45"/>
  <c r="T24" i="45"/>
  <c r="S24" i="45"/>
  <c r="R24" i="45"/>
  <c r="Q24" i="45"/>
  <c r="P24" i="45"/>
  <c r="O24" i="45"/>
  <c r="N24" i="45"/>
  <c r="M24" i="45"/>
  <c r="L24" i="45"/>
  <c r="K24" i="45"/>
  <c r="J24" i="45"/>
  <c r="I24" i="45"/>
  <c r="H24" i="45"/>
  <c r="G24" i="45"/>
  <c r="F24" i="45"/>
  <c r="E24" i="45"/>
  <c r="D24" i="45"/>
  <c r="W23" i="45"/>
  <c r="V23" i="45"/>
  <c r="U23" i="45"/>
  <c r="T23" i="45"/>
  <c r="S23" i="45"/>
  <c r="R23" i="45"/>
  <c r="Q23" i="45"/>
  <c r="P23" i="45"/>
  <c r="O23" i="45"/>
  <c r="N23" i="45"/>
  <c r="M23" i="45"/>
  <c r="L23" i="45"/>
  <c r="K23" i="45"/>
  <c r="J23" i="45"/>
  <c r="I23" i="45"/>
  <c r="H23" i="45"/>
  <c r="G23" i="45"/>
  <c r="F23" i="45"/>
  <c r="E23" i="45"/>
  <c r="D23" i="45"/>
  <c r="W22" i="45"/>
  <c r="V22" i="45"/>
  <c r="U22" i="45"/>
  <c r="T22" i="45"/>
  <c r="S22" i="45"/>
  <c r="R22" i="45"/>
  <c r="Q22" i="45"/>
  <c r="P22" i="45"/>
  <c r="O22" i="45"/>
  <c r="N22" i="45"/>
  <c r="M22" i="45"/>
  <c r="L22" i="45"/>
  <c r="K22" i="45"/>
  <c r="J22" i="45"/>
  <c r="I22" i="45"/>
  <c r="H22" i="45"/>
  <c r="G22" i="45"/>
  <c r="F22" i="45"/>
  <c r="E22" i="45"/>
  <c r="D22" i="45"/>
  <c r="W21" i="45"/>
  <c r="V21" i="45"/>
  <c r="U21" i="45"/>
  <c r="T21" i="45"/>
  <c r="S21" i="45"/>
  <c r="R21" i="45"/>
  <c r="Q21" i="45"/>
  <c r="P21" i="45"/>
  <c r="O21" i="45"/>
  <c r="N21" i="45"/>
  <c r="M21" i="45"/>
  <c r="L21" i="45"/>
  <c r="K21" i="45"/>
  <c r="J21" i="45"/>
  <c r="I21" i="45"/>
  <c r="H21" i="45"/>
  <c r="G21" i="45"/>
  <c r="F21" i="45"/>
  <c r="E21" i="45"/>
  <c r="W20" i="45"/>
  <c r="V20" i="45"/>
  <c r="U20" i="45"/>
  <c r="T20" i="45"/>
  <c r="S20" i="45"/>
  <c r="R20" i="45"/>
  <c r="Q20" i="45"/>
  <c r="P20" i="45"/>
  <c r="O20" i="45"/>
  <c r="N20" i="45"/>
  <c r="M20" i="45"/>
  <c r="L20" i="45"/>
  <c r="K20" i="45"/>
  <c r="J20" i="45"/>
  <c r="I20" i="45"/>
  <c r="H20" i="45"/>
  <c r="G20" i="45"/>
  <c r="F20" i="45"/>
  <c r="E20" i="45"/>
  <c r="W19" i="45"/>
  <c r="V19" i="45"/>
  <c r="U19" i="45"/>
  <c r="T19" i="45"/>
  <c r="S19" i="45"/>
  <c r="R19" i="45"/>
  <c r="Q19" i="45"/>
  <c r="P19" i="45"/>
  <c r="O19" i="45"/>
  <c r="N19" i="45"/>
  <c r="M19" i="45"/>
  <c r="L19" i="45"/>
  <c r="K19" i="45"/>
  <c r="J19" i="45"/>
  <c r="I19" i="45"/>
  <c r="H19" i="45"/>
  <c r="G19" i="45"/>
  <c r="F19" i="45"/>
  <c r="E19" i="45"/>
  <c r="W18" i="45"/>
  <c r="V18" i="45"/>
  <c r="U18" i="45"/>
  <c r="T18" i="45"/>
  <c r="S18" i="45"/>
  <c r="R18" i="45"/>
  <c r="Q18" i="45"/>
  <c r="P18" i="45"/>
  <c r="O18" i="45"/>
  <c r="N18" i="45"/>
  <c r="M18" i="45"/>
  <c r="L18" i="45"/>
  <c r="K18" i="45"/>
  <c r="J18" i="45"/>
  <c r="I18" i="45"/>
  <c r="H18" i="45"/>
  <c r="G18" i="45"/>
  <c r="F18" i="45"/>
  <c r="E18" i="45"/>
  <c r="W17" i="45"/>
  <c r="V17" i="45"/>
  <c r="U17" i="45"/>
  <c r="T17" i="45"/>
  <c r="S17" i="45"/>
  <c r="R17" i="45"/>
  <c r="Q17" i="45"/>
  <c r="P17" i="45"/>
  <c r="O17" i="45"/>
  <c r="N17" i="45"/>
  <c r="M17" i="45"/>
  <c r="L17" i="45"/>
  <c r="K17" i="45"/>
  <c r="J17" i="45"/>
  <c r="I17" i="45"/>
  <c r="H17" i="45"/>
  <c r="G17" i="45"/>
  <c r="F17" i="45"/>
  <c r="E17" i="45"/>
  <c r="Q16" i="45"/>
  <c r="R16" i="45" s="1"/>
  <c r="S16" i="45" s="1"/>
  <c r="T16" i="45" s="1"/>
  <c r="U16" i="45" s="1"/>
  <c r="V16" i="45" s="1"/>
  <c r="W16" i="45" s="1"/>
  <c r="U13" i="45"/>
  <c r="T13" i="45"/>
  <c r="S13" i="45"/>
  <c r="R13" i="45"/>
  <c r="Q13" i="45"/>
  <c r="P13" i="45"/>
  <c r="O13" i="45"/>
  <c r="N13" i="45"/>
  <c r="M13" i="45"/>
  <c r="L13" i="45"/>
  <c r="K13" i="45"/>
  <c r="J13" i="45"/>
  <c r="I13" i="45"/>
  <c r="H13" i="45"/>
  <c r="G13" i="45"/>
  <c r="F13" i="45"/>
  <c r="E13" i="45"/>
  <c r="D13" i="45"/>
  <c r="AQ10" i="45"/>
  <c r="AM8" i="45"/>
  <c r="AQ7" i="45"/>
  <c r="AQ6" i="45"/>
  <c r="AM5" i="45"/>
  <c r="AP3" i="45"/>
  <c r="S7" i="43"/>
  <c r="Q7" i="43"/>
  <c r="L7" i="43"/>
  <c r="J7" i="43"/>
  <c r="S6" i="43"/>
  <c r="Q6" i="43"/>
  <c r="L6" i="43"/>
  <c r="J6" i="43"/>
  <c r="S5" i="43"/>
  <c r="Q5" i="43"/>
  <c r="L5" i="43"/>
  <c r="J5" i="43"/>
  <c r="S4" i="43"/>
  <c r="Q4" i="43"/>
  <c r="L4" i="43"/>
  <c r="J4" i="43"/>
  <c r="S3" i="43"/>
  <c r="L3" i="43"/>
  <c r="X2" i="43"/>
  <c r="V2" i="43"/>
  <c r="T2" i="43"/>
  <c r="Q2" i="43"/>
  <c r="O2" i="43"/>
  <c r="N2" i="43"/>
  <c r="E2" i="43"/>
  <c r="K122" i="28"/>
  <c r="K121" i="28"/>
  <c r="K120" i="28"/>
  <c r="K119" i="28"/>
  <c r="K118" i="28"/>
  <c r="K117" i="28"/>
  <c r="K116" i="28"/>
  <c r="K115" i="28"/>
  <c r="K114" i="28"/>
  <c r="K113" i="28"/>
  <c r="K112" i="28"/>
  <c r="K111" i="28"/>
  <c r="K110" i="28"/>
  <c r="K108" i="28"/>
  <c r="K107" i="28"/>
  <c r="K106" i="28"/>
  <c r="K105" i="28"/>
  <c r="K103" i="28"/>
  <c r="K102" i="28"/>
  <c r="K101" i="28"/>
  <c r="K100" i="28"/>
  <c r="K99" i="28"/>
  <c r="K98" i="28"/>
  <c r="K97" i="28"/>
  <c r="K96" i="28"/>
  <c r="O95" i="28"/>
  <c r="K95" i="28"/>
  <c r="K94" i="28"/>
  <c r="K93" i="28"/>
  <c r="K92" i="28"/>
  <c r="K91" i="28"/>
  <c r="K90" i="28"/>
  <c r="K89" i="28"/>
  <c r="K88" i="28"/>
  <c r="K87" i="28"/>
  <c r="K86" i="28"/>
  <c r="K85" i="28"/>
  <c r="K84" i="28"/>
  <c r="K83" i="28"/>
  <c r="K82" i="28"/>
  <c r="K81" i="28"/>
  <c r="K80" i="28"/>
  <c r="K79" i="28"/>
  <c r="K78" i="28"/>
  <c r="K77" i="28"/>
  <c r="K76" i="28"/>
  <c r="K75" i="28"/>
  <c r="K74" i="28"/>
  <c r="K72" i="28"/>
  <c r="K71" i="28"/>
  <c r="K70" i="28"/>
  <c r="K69" i="28"/>
  <c r="K68" i="28"/>
  <c r="K67" i="28"/>
  <c r="K66" i="28"/>
  <c r="K65" i="28"/>
  <c r="K64" i="28"/>
  <c r="K63" i="28"/>
  <c r="K62" i="28"/>
  <c r="K61" i="28"/>
  <c r="K60" i="28"/>
  <c r="K59" i="28"/>
  <c r="K58" i="28"/>
  <c r="K57" i="28"/>
  <c r="K56" i="28"/>
  <c r="K55" i="28"/>
  <c r="K54" i="28"/>
  <c r="K53" i="28"/>
  <c r="K52" i="28"/>
  <c r="K51" i="28"/>
  <c r="K50" i="28"/>
  <c r="K49" i="28"/>
  <c r="K48" i="28"/>
  <c r="K47" i="28"/>
  <c r="K46" i="28"/>
  <c r="K45" i="28"/>
  <c r="K44" i="28"/>
  <c r="K43" i="28"/>
  <c r="K42" i="28"/>
  <c r="K41" i="28"/>
  <c r="K40" i="28"/>
  <c r="K39" i="28"/>
  <c r="K38" i="28"/>
  <c r="K37" i="28"/>
  <c r="K36" i="28"/>
  <c r="K35" i="28"/>
  <c r="K34" i="28"/>
  <c r="K33" i="28"/>
  <c r="K32" i="28"/>
  <c r="K31" i="28"/>
  <c r="K30" i="28"/>
  <c r="K29" i="28"/>
  <c r="K28" i="28"/>
  <c r="K27" i="28"/>
  <c r="K26" i="28"/>
  <c r="K25" i="28"/>
  <c r="K24" i="28"/>
  <c r="K23" i="28"/>
  <c r="K22" i="28"/>
  <c r="K21" i="28"/>
  <c r="K20" i="28"/>
  <c r="K19" i="28"/>
  <c r="K18" i="28"/>
  <c r="K17" i="28"/>
  <c r="K16" i="28"/>
  <c r="K15" i="28"/>
  <c r="K14" i="28"/>
  <c r="K13" i="28"/>
  <c r="K12" i="28"/>
  <c r="K11" i="28"/>
  <c r="K10" i="28"/>
  <c r="K9" i="28"/>
  <c r="K8" i="28"/>
  <c r="K7" i="28"/>
  <c r="K6" i="28"/>
  <c r="K5" i="28"/>
  <c r="K4" i="28"/>
  <c r="D8" i="46"/>
  <c r="G33" i="23"/>
  <c r="N25" i="23"/>
  <c r="J25" i="23"/>
  <c r="I25" i="23"/>
  <c r="F25" i="23"/>
  <c r="AC24" i="23"/>
  <c r="AB24" i="23"/>
  <c r="AA24" i="23"/>
  <c r="W24" i="23"/>
  <c r="K23" i="23"/>
  <c r="K22" i="23"/>
  <c r="O21" i="23"/>
  <c r="G21" i="23"/>
  <c r="G25" i="23" s="1"/>
  <c r="E21" i="23"/>
  <c r="AE20" i="23"/>
  <c r="K20" i="23"/>
  <c r="D20" i="23"/>
  <c r="K19" i="23"/>
  <c r="E19" i="23"/>
  <c r="Z19" i="23" s="1"/>
  <c r="K17" i="23"/>
  <c r="A17" i="23"/>
  <c r="AE16" i="23"/>
  <c r="AE13" i="23"/>
  <c r="AE12" i="23"/>
  <c r="E12" i="23"/>
  <c r="K11" i="23"/>
  <c r="Z10" i="23"/>
  <c r="D10" i="23"/>
  <c r="AE9" i="23"/>
  <c r="AE8" i="23"/>
  <c r="AE7" i="23"/>
  <c r="AE6" i="23"/>
  <c r="H6" i="23"/>
  <c r="H25" i="23" s="1"/>
  <c r="U2" i="23"/>
  <c r="AB23" i="33"/>
  <c r="Z18" i="33"/>
  <c r="Y18" i="33"/>
  <c r="X18" i="33"/>
  <c r="Z17" i="33"/>
  <c r="Y17" i="33"/>
  <c r="X17" i="33"/>
  <c r="Z16" i="33"/>
  <c r="Y16" i="33"/>
  <c r="X16" i="33"/>
  <c r="Z15" i="33"/>
  <c r="Y15" i="33"/>
  <c r="X15" i="33"/>
  <c r="Z14" i="33"/>
  <c r="Y14" i="33"/>
  <c r="X14" i="33"/>
  <c r="Z13" i="33"/>
  <c r="Y13" i="33"/>
  <c r="X13" i="33"/>
  <c r="Z12" i="33"/>
  <c r="Z20" i="33" s="1"/>
  <c r="Y12" i="33"/>
  <c r="Y21" i="33" s="1"/>
  <c r="X12" i="33"/>
  <c r="X21" i="33" s="1"/>
  <c r="AH9" i="33"/>
  <c r="AG9" i="33"/>
  <c r="AB9" i="33"/>
  <c r="Z8" i="33"/>
  <c r="Y8" i="33"/>
  <c r="Y9" i="33" s="1"/>
  <c r="X8" i="33"/>
  <c r="X9" i="33" s="1"/>
  <c r="X7" i="33"/>
  <c r="D53" i="35"/>
  <c r="D56" i="35" s="1"/>
  <c r="M5" i="35" s="1"/>
  <c r="I48" i="35"/>
  <c r="I54" i="35" s="1"/>
  <c r="M15" i="35" s="1"/>
  <c r="I36" i="35"/>
  <c r="I43" i="35" s="1"/>
  <c r="M6" i="35" s="1"/>
  <c r="F15" i="35"/>
  <c r="F14" i="35"/>
  <c r="F11" i="35"/>
  <c r="I6" i="35"/>
  <c r="I9" i="35" s="1"/>
  <c r="C23" i="49" l="1"/>
  <c r="E23" i="49"/>
  <c r="D23" i="49" s="1"/>
  <c r="B24" i="49"/>
  <c r="D25" i="23"/>
  <c r="N3" i="43"/>
  <c r="N4" i="43" s="1"/>
  <c r="F4" i="7"/>
  <c r="F2" i="7"/>
  <c r="F23" i="35"/>
  <c r="AA15" i="33"/>
  <c r="U3" i="43"/>
  <c r="AM7" i="45"/>
  <c r="Z12" i="47"/>
  <c r="Z14" i="47"/>
  <c r="U15" i="47"/>
  <c r="J14" i="47"/>
  <c r="J15" i="47" s="1"/>
  <c r="AQ11" i="45"/>
  <c r="AM11" i="45"/>
  <c r="Z10" i="47"/>
  <c r="W15" i="47"/>
  <c r="X15" i="47" s="1"/>
  <c r="Q15" i="47" s="1"/>
  <c r="Z8" i="47"/>
  <c r="E25" i="23"/>
  <c r="K104" i="28"/>
  <c r="AM6" i="45"/>
  <c r="M7" i="35"/>
  <c r="M16" i="35" s="1"/>
  <c r="AA17" i="33"/>
  <c r="R14" i="47"/>
  <c r="AA18" i="33"/>
  <c r="AQ8" i="45"/>
  <c r="O16" i="23"/>
  <c r="O25" i="23" s="1"/>
  <c r="T3" i="43"/>
  <c r="T4" i="43"/>
  <c r="Z24" i="23"/>
  <c r="AE19" i="23"/>
  <c r="AE24" i="23" s="1"/>
  <c r="K25" i="23"/>
  <c r="AM10" i="45"/>
  <c r="Z9" i="47"/>
  <c r="K14" i="47"/>
  <c r="K15" i="47" s="1"/>
  <c r="F3" i="7"/>
  <c r="Z11" i="47"/>
  <c r="AA8" i="33"/>
  <c r="AA9" i="33" s="1"/>
  <c r="AA13" i="33"/>
  <c r="S14" i="47"/>
  <c r="AA16" i="33"/>
  <c r="Z21" i="33"/>
  <c r="AA14" i="33"/>
  <c r="AQ12" i="45"/>
  <c r="M4" i="35"/>
  <c r="N5" i="35" s="1"/>
  <c r="Z9" i="33"/>
  <c r="AC9" i="33" s="1"/>
  <c r="AD9" i="33" s="1"/>
  <c r="AD8" i="33" s="1"/>
  <c r="X20" i="33"/>
  <c r="AB15" i="33" s="1"/>
  <c r="Y20" i="33"/>
  <c r="AA12" i="33"/>
  <c r="AB8" i="33"/>
  <c r="AC8" i="33" s="1"/>
  <c r="Z13" i="47"/>
  <c r="O18" i="47"/>
  <c r="U17" i="47"/>
  <c r="V18" i="47"/>
  <c r="W16" i="47"/>
  <c r="X16" i="47" s="1"/>
  <c r="Q16" i="47" s="1"/>
  <c r="U16" i="47"/>
  <c r="AQ9" i="45"/>
  <c r="AM9" i="45"/>
  <c r="C24" i="49" l="1"/>
  <c r="E24" i="49"/>
  <c r="B25" i="49"/>
  <c r="D24" i="49"/>
  <c r="R5" i="43"/>
  <c r="X5" i="43" s="1"/>
  <c r="N8" i="35"/>
  <c r="N9" i="35"/>
  <c r="V3" i="43"/>
  <c r="U4" i="43" s="1"/>
  <c r="AB18" i="33"/>
  <c r="AC18" i="33" s="1"/>
  <c r="AD18" i="33" s="1"/>
  <c r="J16" i="47"/>
  <c r="J17" i="47" s="1"/>
  <c r="T5" i="43"/>
  <c r="AC15" i="33"/>
  <c r="AD15" i="33" s="1"/>
  <c r="R15" i="47"/>
  <c r="AB12" i="33"/>
  <c r="AC12" i="33" s="1"/>
  <c r="AD12" i="33" s="1"/>
  <c r="S15" i="47"/>
  <c r="R16" i="47" s="1"/>
  <c r="AB17" i="33"/>
  <c r="AC17" i="33" s="1"/>
  <c r="AD17" i="33" s="1"/>
  <c r="N6" i="35"/>
  <c r="W17" i="47"/>
  <c r="X17" i="47" s="1"/>
  <c r="Q17" i="47" s="1"/>
  <c r="V19" i="47"/>
  <c r="K16" i="47"/>
  <c r="N5" i="43"/>
  <c r="AB14" i="33"/>
  <c r="AC14" i="33" s="1"/>
  <c r="AD14" i="33" s="1"/>
  <c r="AB13" i="33"/>
  <c r="AC13" i="33" s="1"/>
  <c r="AD13" i="33" s="1"/>
  <c r="AB16" i="33"/>
  <c r="AC16" i="33" s="1"/>
  <c r="AD16" i="33" s="1"/>
  <c r="H15" i="47"/>
  <c r="L15" i="47" s="1"/>
  <c r="Z15" i="47" s="1"/>
  <c r="M13" i="35"/>
  <c r="AM12" i="45"/>
  <c r="N13" i="35"/>
  <c r="O7" i="35"/>
  <c r="O19" i="47"/>
  <c r="U18" i="47"/>
  <c r="K5" i="35"/>
  <c r="N4" i="35" s="1"/>
  <c r="P7" i="35"/>
  <c r="C25" i="49" l="1"/>
  <c r="E25" i="49"/>
  <c r="D25" i="49" s="1"/>
  <c r="B26" i="49"/>
  <c r="N6" i="43"/>
  <c r="N9" i="43" s="1"/>
  <c r="N12" i="43" s="1"/>
  <c r="N8" i="43"/>
  <c r="N11" i="43" s="1"/>
  <c r="H16" i="47"/>
  <c r="L16" i="47" s="1"/>
  <c r="Z16" i="47" s="1"/>
  <c r="V4" i="43"/>
  <c r="V5" i="43" s="1"/>
  <c r="T7" i="43"/>
  <c r="R6" i="43"/>
  <c r="AC20" i="33"/>
  <c r="AD20" i="33" s="1"/>
  <c r="J18" i="47"/>
  <c r="J19" i="47" s="1"/>
  <c r="J20" i="47" s="1"/>
  <c r="S16" i="47"/>
  <c r="S17" i="47" s="1"/>
  <c r="R18" i="47" s="1"/>
  <c r="M3" i="43"/>
  <c r="V20" i="47"/>
  <c r="W18" i="47"/>
  <c r="X18" i="47" s="1"/>
  <c r="Q18" i="47" s="1"/>
  <c r="N7" i="43"/>
  <c r="N10" i="43" s="1"/>
  <c r="N13" i="43" s="1"/>
  <c r="K17" i="47"/>
  <c r="K18" i="47" s="1"/>
  <c r="K19" i="47" s="1"/>
  <c r="U19" i="47"/>
  <c r="O20" i="47"/>
  <c r="U20" i="47" s="1"/>
  <c r="N7" i="35"/>
  <c r="N12" i="35"/>
  <c r="M12" i="35"/>
  <c r="C26" i="49" l="1"/>
  <c r="E26" i="49"/>
  <c r="B27" i="49"/>
  <c r="D26" i="49"/>
  <c r="U6" i="43"/>
  <c r="V8" i="43"/>
  <c r="X6" i="43"/>
  <c r="T6" i="43"/>
  <c r="U5" i="43"/>
  <c r="V6" i="43"/>
  <c r="R7" i="43"/>
  <c r="S18" i="47"/>
  <c r="S19" i="47" s="1"/>
  <c r="R20" i="47" s="1"/>
  <c r="R17" i="47"/>
  <c r="H19" i="47"/>
  <c r="L19" i="47" s="1"/>
  <c r="Z19" i="47" s="1"/>
  <c r="K20" i="47"/>
  <c r="H20" i="47" s="1"/>
  <c r="L20" i="47" s="1"/>
  <c r="Z20" i="47" s="1"/>
  <c r="H17" i="47"/>
  <c r="L17" i="47" s="1"/>
  <c r="Z17" i="47" s="1"/>
  <c r="H18" i="47"/>
  <c r="L18" i="47" s="1"/>
  <c r="Z18" i="47" s="1"/>
  <c r="W19" i="47"/>
  <c r="X19" i="47" s="1"/>
  <c r="Q19" i="47" s="1"/>
  <c r="V21" i="47"/>
  <c r="W20" i="47" s="1"/>
  <c r="X20" i="47" s="1"/>
  <c r="Q20" i="47" s="1"/>
  <c r="M4" i="43"/>
  <c r="C27" i="49" l="1"/>
  <c r="E27" i="49"/>
  <c r="D27" i="49" s="1"/>
  <c r="B28" i="49"/>
  <c r="V11" i="43"/>
  <c r="V7" i="43"/>
  <c r="V9" i="43"/>
  <c r="X7" i="43"/>
  <c r="R8" i="43"/>
  <c r="R9" i="43" s="1"/>
  <c r="U7" i="43"/>
  <c r="S20" i="47"/>
  <c r="R19" i="47"/>
  <c r="O4" i="43"/>
  <c r="M5" i="43"/>
  <c r="C28" i="49" l="1"/>
  <c r="E28" i="49"/>
  <c r="B29" i="49"/>
  <c r="D28" i="49"/>
  <c r="V10" i="43"/>
  <c r="U12" i="43" s="1"/>
  <c r="U10" i="43"/>
  <c r="U9" i="43"/>
  <c r="X9" i="43"/>
  <c r="X8" i="43"/>
  <c r="R10" i="43"/>
  <c r="V12" i="43"/>
  <c r="U8" i="43"/>
  <c r="O5" i="43"/>
  <c r="M6" i="43"/>
  <c r="C29" i="49" l="1"/>
  <c r="E29" i="49"/>
  <c r="D29" i="49"/>
  <c r="B30" i="49"/>
  <c r="X10" i="43"/>
  <c r="R11" i="43"/>
  <c r="R12" i="43" s="1"/>
  <c r="X12" i="43" s="1"/>
  <c r="V13" i="43"/>
  <c r="U13" i="43"/>
  <c r="U11" i="43"/>
  <c r="O6" i="43"/>
  <c r="M7" i="43"/>
  <c r="C30" i="49" l="1"/>
  <c r="E30" i="49"/>
  <c r="B31" i="49"/>
  <c r="D30" i="49"/>
  <c r="X11" i="43"/>
  <c r="R13" i="43"/>
  <c r="X13" i="43" s="1"/>
  <c r="O7" i="43"/>
  <c r="M8" i="43"/>
  <c r="M9" i="43" s="1"/>
  <c r="C31" i="49" l="1"/>
  <c r="E31" i="49"/>
  <c r="D31" i="49"/>
  <c r="B32" i="49"/>
  <c r="M10" i="43"/>
  <c r="C32" i="49" l="1"/>
  <c r="E32" i="49"/>
  <c r="D32" i="49" s="1"/>
  <c r="B33" i="49"/>
  <c r="M11" i="43"/>
  <c r="M12" i="43"/>
  <c r="C33" i="49" l="1"/>
  <c r="E33" i="49"/>
  <c r="B34" i="49"/>
  <c r="D33" i="49"/>
  <c r="M13" i="43"/>
  <c r="C34" i="49" l="1"/>
  <c r="E34" i="49"/>
  <c r="D34" i="49" s="1"/>
  <c r="B35" i="49"/>
  <c r="C35" i="49" l="1"/>
  <c r="E35" i="49"/>
  <c r="D35" i="49" s="1"/>
  <c r="B36" i="49"/>
  <c r="C36" i="49" l="1"/>
  <c r="E36" i="49"/>
  <c r="D36" i="49" s="1"/>
  <c r="B37" i="49"/>
  <c r="C37" i="49" l="1"/>
  <c r="E37" i="49"/>
  <c r="D37" i="49" s="1"/>
  <c r="B38" i="49"/>
  <c r="C38" i="49" l="1"/>
  <c r="E38" i="49"/>
  <c r="D38" i="49" s="1"/>
  <c r="B39" i="49"/>
  <c r="C39" i="49" l="1"/>
  <c r="E39" i="49"/>
  <c r="D39" i="49" s="1"/>
  <c r="B40" i="49"/>
  <c r="C40" i="49" l="1"/>
  <c r="E40" i="49"/>
  <c r="D40" i="49" s="1"/>
  <c r="B41" i="49"/>
  <c r="C41" i="49" l="1"/>
  <c r="E41" i="49"/>
  <c r="D41" i="49" s="1"/>
  <c r="B42" i="49"/>
  <c r="C42" i="49" l="1"/>
  <c r="E42" i="49"/>
  <c r="D42" i="49" s="1"/>
  <c r="B43" i="49"/>
  <c r="C43" i="49" l="1"/>
  <c r="E43" i="49"/>
  <c r="D43" i="49" s="1"/>
  <c r="B44" i="49"/>
  <c r="C44" i="49" l="1"/>
  <c r="E44" i="49"/>
  <c r="B45" i="49"/>
  <c r="D44" i="49"/>
  <c r="C45" i="49" l="1"/>
  <c r="E45" i="49"/>
  <c r="D45" i="49"/>
  <c r="B46" i="49"/>
  <c r="C46" i="49" l="1"/>
  <c r="E46" i="49"/>
  <c r="B47" i="49"/>
  <c r="D46" i="49"/>
  <c r="C47" i="49" l="1"/>
  <c r="E47" i="49"/>
  <c r="D47" i="49"/>
  <c r="B48" i="49"/>
  <c r="C48" i="49" l="1"/>
  <c r="E48" i="49"/>
  <c r="B49" i="49"/>
  <c r="D48" i="49"/>
  <c r="C49" i="49" l="1"/>
  <c r="E49" i="49"/>
  <c r="D49" i="49"/>
  <c r="B50" i="49"/>
  <c r="C50" i="49" l="1"/>
  <c r="E50" i="49"/>
  <c r="B51" i="49"/>
  <c r="D50" i="49"/>
  <c r="C51" i="49" l="1"/>
  <c r="E51" i="49"/>
  <c r="D51" i="49"/>
  <c r="B52" i="49"/>
  <c r="C52" i="49" l="1"/>
  <c r="E52" i="49"/>
  <c r="D52" i="49" s="1"/>
  <c r="B53" i="49"/>
  <c r="C53" i="49" l="1"/>
  <c r="E53" i="49"/>
  <c r="D53" i="49" s="1"/>
  <c r="B54" i="49"/>
  <c r="C54" i="49" l="1"/>
  <c r="E54" i="49"/>
  <c r="D54" i="49" s="1"/>
  <c r="B55" i="49"/>
  <c r="C55" i="49" l="1"/>
  <c r="E55" i="49"/>
  <c r="D55" i="49" s="1"/>
  <c r="B56" i="49"/>
  <c r="C56" i="49" l="1"/>
  <c r="E56" i="49"/>
  <c r="B57" i="49"/>
  <c r="D56" i="49"/>
  <c r="C57" i="49" l="1"/>
  <c r="E57" i="49"/>
  <c r="D57" i="49" s="1"/>
  <c r="B58" i="49"/>
  <c r="C58" i="49" l="1"/>
  <c r="E58" i="49"/>
  <c r="D58" i="49" s="1"/>
  <c r="B59" i="49"/>
  <c r="C59" i="49" l="1"/>
  <c r="E59" i="49"/>
  <c r="D59" i="49" s="1"/>
  <c r="B60" i="49"/>
  <c r="C60" i="49" l="1"/>
  <c r="E60" i="49"/>
  <c r="D60" i="49" s="1"/>
  <c r="B61" i="49"/>
  <c r="C61" i="49" l="1"/>
  <c r="E61" i="49"/>
  <c r="D61" i="49" s="1"/>
  <c r="B62" i="49"/>
  <c r="C62" i="49" l="1"/>
  <c r="E62" i="49"/>
  <c r="D62" i="49" s="1"/>
  <c r="B63" i="49"/>
  <c r="C63" i="49" l="1"/>
  <c r="E63" i="49"/>
  <c r="D63" i="49" s="1"/>
  <c r="B64" i="49"/>
  <c r="C64" i="49" l="1"/>
  <c r="E64" i="49"/>
  <c r="D64" i="49" s="1"/>
  <c r="B65" i="49"/>
  <c r="C65" i="49" l="1"/>
  <c r="E65" i="49"/>
  <c r="D65" i="49" s="1"/>
  <c r="B66" i="49"/>
  <c r="C66" i="49" l="1"/>
  <c r="E66" i="49"/>
  <c r="D66" i="49" s="1"/>
  <c r="B67" i="49"/>
  <c r="C67" i="49" l="1"/>
  <c r="E67" i="49"/>
  <c r="D67" i="49" s="1"/>
  <c r="B68" i="49"/>
  <c r="C68" i="49" l="1"/>
  <c r="E68" i="49"/>
  <c r="D68" i="49" s="1"/>
  <c r="B69" i="49"/>
  <c r="C69" i="49" l="1"/>
  <c r="E69" i="49"/>
  <c r="D69" i="49" s="1"/>
  <c r="B70" i="49"/>
  <c r="C70" i="49" l="1"/>
  <c r="E70" i="49"/>
  <c r="D70" i="49" s="1"/>
  <c r="B71" i="49"/>
  <c r="C71" i="49" l="1"/>
  <c r="E71" i="49"/>
  <c r="D71" i="49" s="1"/>
  <c r="B72" i="49"/>
  <c r="C72" i="49" l="1"/>
  <c r="E72" i="49"/>
  <c r="D72" i="49" s="1"/>
  <c r="B73" i="49"/>
  <c r="C73" i="49" l="1"/>
  <c r="E73" i="49"/>
  <c r="D73" i="49" s="1"/>
  <c r="B74" i="49"/>
  <c r="C74" i="49" l="1"/>
  <c r="E74" i="49"/>
  <c r="D74" i="49" s="1"/>
  <c r="B75" i="49"/>
  <c r="C75" i="49" l="1"/>
  <c r="E75" i="49"/>
  <c r="D75" i="49" s="1"/>
  <c r="B76" i="49"/>
  <c r="C76" i="49" l="1"/>
  <c r="E76" i="49"/>
  <c r="D76" i="49" s="1"/>
  <c r="B77" i="49"/>
  <c r="C77" i="49" l="1"/>
  <c r="E77" i="49"/>
  <c r="D77" i="49" s="1"/>
  <c r="B78" i="49"/>
  <c r="C78" i="49" l="1"/>
  <c r="E78" i="49"/>
  <c r="D78" i="49" s="1"/>
  <c r="B79" i="49"/>
  <c r="C79" i="49" l="1"/>
  <c r="E79" i="49"/>
  <c r="D79" i="49" s="1"/>
  <c r="B80" i="49"/>
  <c r="C80" i="49" l="1"/>
  <c r="E80" i="49"/>
  <c r="D80" i="49" s="1"/>
  <c r="B81" i="49"/>
  <c r="C81" i="49" l="1"/>
  <c r="E81" i="49"/>
  <c r="D81" i="49" s="1"/>
  <c r="B82" i="49"/>
  <c r="C82" i="49" l="1"/>
  <c r="E82" i="49"/>
  <c r="D82" i="49" s="1"/>
  <c r="B83" i="49"/>
  <c r="C83" i="49" l="1"/>
  <c r="E83" i="49"/>
  <c r="D83" i="49" s="1"/>
  <c r="B84" i="49"/>
  <c r="C84" i="49" l="1"/>
  <c r="E84" i="49"/>
  <c r="D84" i="49" s="1"/>
  <c r="B85" i="49"/>
  <c r="C85" i="49" l="1"/>
  <c r="E85" i="49"/>
  <c r="D85" i="49" s="1"/>
  <c r="B86" i="49"/>
  <c r="C86" i="49" l="1"/>
  <c r="E86" i="49"/>
  <c r="D86" i="49" s="1"/>
  <c r="B87" i="49"/>
  <c r="C87" i="49" l="1"/>
  <c r="E87" i="49"/>
  <c r="D87" i="49" s="1"/>
  <c r="B88" i="49"/>
  <c r="C88" i="49" l="1"/>
  <c r="E88" i="49"/>
  <c r="D88" i="49" s="1"/>
  <c r="B89" i="49"/>
  <c r="C89" i="49" l="1"/>
  <c r="E89" i="49"/>
  <c r="D89" i="49" s="1"/>
  <c r="B90" i="49"/>
  <c r="C90" i="49" l="1"/>
  <c r="E90" i="49"/>
  <c r="D90" i="49" s="1"/>
  <c r="B91" i="49"/>
  <c r="C91" i="49" l="1"/>
  <c r="E91" i="49"/>
  <c r="D91" i="49" s="1"/>
  <c r="B92" i="49"/>
  <c r="C92" i="49" l="1"/>
  <c r="E92" i="49"/>
  <c r="D92" i="49" s="1"/>
  <c r="B93" i="49"/>
  <c r="C93" i="49" l="1"/>
  <c r="E93" i="49"/>
  <c r="B94" i="49"/>
  <c r="C94" i="49" l="1"/>
  <c r="E94" i="49"/>
  <c r="B95" i="49"/>
  <c r="C95" i="49" l="1"/>
  <c r="E95" i="49"/>
  <c r="D95" i="49" s="1"/>
  <c r="B96" i="49"/>
  <c r="C96" i="49" l="1"/>
  <c r="E96" i="49"/>
  <c r="D96" i="49" s="1"/>
  <c r="B97" i="49"/>
  <c r="C97" i="49" l="1"/>
  <c r="E97" i="49"/>
  <c r="D97" i="49" s="1"/>
  <c r="B98" i="49"/>
  <c r="C98" i="49" l="1"/>
  <c r="E98" i="49"/>
  <c r="D98" i="49" s="1"/>
  <c r="B99" i="49"/>
  <c r="C99" i="49" l="1"/>
  <c r="E99" i="49"/>
  <c r="D99" i="49" s="1"/>
  <c r="B100" i="49"/>
  <c r="C100" i="49" l="1"/>
  <c r="E100" i="49"/>
  <c r="D100" i="49" s="1"/>
  <c r="B101" i="49"/>
  <c r="C101" i="49" l="1"/>
  <c r="E101" i="49"/>
  <c r="D101" i="49" s="1"/>
  <c r="B102" i="49"/>
  <c r="C102" i="49" l="1"/>
  <c r="E102" i="49"/>
  <c r="D102" i="49" s="1"/>
  <c r="B103" i="49"/>
  <c r="C103" i="49" l="1"/>
  <c r="E103" i="49"/>
  <c r="D103" i="49" s="1"/>
  <c r="B104" i="49"/>
  <c r="C104" i="49" l="1"/>
  <c r="E104" i="49"/>
  <c r="D104" i="49" s="1"/>
  <c r="B105" i="49"/>
  <c r="C105" i="49" l="1"/>
  <c r="E105" i="49"/>
  <c r="D105" i="49" s="1"/>
  <c r="B106" i="49"/>
  <c r="C106" i="49" l="1"/>
  <c r="E106" i="49"/>
  <c r="D106" i="49" s="1"/>
  <c r="B107" i="49"/>
  <c r="C107" i="49" l="1"/>
  <c r="E107" i="49"/>
  <c r="D107" i="49" s="1"/>
  <c r="B108" i="49"/>
  <c r="C108" i="49" l="1"/>
  <c r="E108" i="49"/>
  <c r="D108" i="49" s="1"/>
  <c r="B109" i="49"/>
  <c r="C109" i="49" l="1"/>
  <c r="E109" i="49"/>
  <c r="D109" i="49" s="1"/>
  <c r="B110" i="49"/>
  <c r="C110" i="49" l="1"/>
  <c r="E110" i="49"/>
  <c r="D110" i="49" s="1"/>
  <c r="B111" i="49"/>
  <c r="C111" i="49" l="1"/>
  <c r="E111" i="49"/>
  <c r="D111" i="49" s="1"/>
  <c r="B112" i="49"/>
  <c r="C112" i="49" l="1"/>
  <c r="E112" i="49"/>
  <c r="D112" i="49" s="1"/>
  <c r="B113" i="49"/>
  <c r="C113" i="49" l="1"/>
  <c r="E113" i="49"/>
  <c r="D113" i="49" s="1"/>
  <c r="B114" i="49"/>
  <c r="C114" i="49" l="1"/>
  <c r="E114" i="49"/>
  <c r="D114" i="49" s="1"/>
  <c r="B115" i="49"/>
  <c r="C115" i="49" l="1"/>
  <c r="E115" i="49"/>
  <c r="D115" i="49" s="1"/>
  <c r="B116" i="49"/>
  <c r="C116" i="49" l="1"/>
  <c r="E116" i="49"/>
  <c r="D116" i="49" s="1"/>
  <c r="B117" i="49"/>
  <c r="C117" i="49" l="1"/>
  <c r="E117" i="49"/>
  <c r="D117" i="49" s="1"/>
  <c r="B118" i="49"/>
  <c r="C118" i="49" l="1"/>
  <c r="E118" i="49"/>
  <c r="D118" i="49" s="1"/>
  <c r="B119" i="49"/>
  <c r="C119" i="49" l="1"/>
  <c r="E119" i="49"/>
  <c r="D119" i="49" s="1"/>
  <c r="B120" i="49"/>
  <c r="C120" i="49" l="1"/>
  <c r="E120" i="49"/>
  <c r="D120" i="49" s="1"/>
  <c r="B121" i="49"/>
  <c r="C121" i="49" l="1"/>
  <c r="E121" i="49"/>
  <c r="D121" i="49" s="1"/>
  <c r="B122" i="49"/>
  <c r="E122" i="49" s="1"/>
  <c r="D122" i="49" l="1"/>
  <c r="C122" i="49"/>
  <c r="D93" i="49"/>
  <c r="D94" i="4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D35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Costo 5,800,000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V17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semanal</t>
        </r>
      </text>
    </comment>
    <comment ref="A2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Portal:</t>
        </r>
        <r>
          <rPr>
            <sz val="9"/>
            <color indexed="81"/>
            <rFont val="Tahoma"/>
            <family val="2"/>
          </rPr>
          <t xml:space="preserve">
https://www.enel.com.co/es/personas/servicio-al-cliente/boton-de-pago.html
https://www.enel.com.co/es/personas/servicio-al-cliente/factura-express.html#</t>
        </r>
      </text>
    </comment>
    <comment ref="C3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Portal:</t>
        </r>
        <r>
          <rPr>
            <sz val="9"/>
            <color indexed="81"/>
            <rFont val="Tahoma"/>
            <family val="2"/>
          </rPr>
          <t xml:space="preserve">
https://oficinavirtual.grupovanti.com/ovlatam-web/RegistrationAuthentication.gas;jsessionid=aYBiJ2PBrijTovwO5Cpx7Z85aolX5PPJP8mnGBEbb4qUD8ICo_WC!-1390837835!1952108975!1586489680833</t>
        </r>
      </text>
    </comment>
    <comment ref="D3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280000</t>
        </r>
      </text>
    </comment>
    <comment ref="C32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Portal:</t>
        </r>
        <r>
          <rPr>
            <sz val="9"/>
            <color indexed="81"/>
            <rFont val="Tahoma"/>
            <family val="2"/>
          </rPr>
          <t xml:space="preserve">
https://www.enel.com.co/es/personas/servicio-al-cliente/boton-de-pago.html
https://www.enel.com.co/es/personas/servicio-al-cliente/factura-express.html#</t>
        </r>
      </text>
    </comment>
  </commentList>
</comments>
</file>

<file path=xl/sharedStrings.xml><?xml version="1.0" encoding="utf-8"?>
<sst xmlns="http://schemas.openxmlformats.org/spreadsheetml/2006/main" count="1408" uniqueCount="442">
  <si>
    <t>Mes</t>
  </si>
  <si>
    <t>Costo nomina</t>
  </si>
  <si>
    <t>SLMV</t>
  </si>
  <si>
    <t>Trabajadores</t>
  </si>
  <si>
    <t>Ciudad:</t>
  </si>
  <si>
    <t>Bogotá</t>
  </si>
  <si>
    <t>Dirección:</t>
  </si>
  <si>
    <t>Calle 54 Número 10 - 39 Piso 8.</t>
  </si>
  <si>
    <t>Calle 15 Número 35 - 42</t>
  </si>
  <si>
    <t>Calle 18 A Número 2 – 18 Sur</t>
  </si>
  <si>
    <t>Avenida 30 Número 17 B -25 Sur</t>
  </si>
  <si>
    <t>Av. 30 No. 17b--25 Sur</t>
  </si>
  <si>
    <t>Autopista Sur Carrera 4 Número 53 - 54</t>
  </si>
  <si>
    <t>Calle 15 N 31 42</t>
  </si>
  <si>
    <t>Avenida Caracas Número 13 – 80.</t>
  </si>
  <si>
    <t>Carrera 30 Numero 13 53</t>
  </si>
  <si>
    <t>Calle 15 Número 31 - 42</t>
  </si>
  <si>
    <t>Carrera 13 Numero 65 -10 – Piso 2.</t>
  </si>
  <si>
    <t>Avenida 30 Número 17 B -25 Sur.</t>
  </si>
  <si>
    <t>Transversal 78 J Número 41D – 15 Sur</t>
  </si>
  <si>
    <t>Trv. 78j 41d-15 Sur</t>
  </si>
  <si>
    <t>Carrera 13 No 65-10</t>
  </si>
  <si>
    <t>Calle 13 no 10 -60 Cazucá</t>
  </si>
  <si>
    <t>Email:</t>
  </si>
  <si>
    <t>cromerof@sena.edu.co</t>
  </si>
  <si>
    <t xml:space="preserve">mariasb@sena.edu.co </t>
  </si>
  <si>
    <t>ifreyes@sena.edu.co</t>
  </si>
  <si>
    <t>ygaitan@sena.edu.co</t>
  </si>
  <si>
    <t>jmonroy@sena.edu.co</t>
  </si>
  <si>
    <t>njcespedes@sena.edu.co</t>
  </si>
  <si>
    <t>dsvargasr@sena.edu.co</t>
  </si>
  <si>
    <t>mcastanedaca@sena.edu.co</t>
  </si>
  <si>
    <t>mcaycedo@sena.edu.co</t>
  </si>
  <si>
    <t xml:space="preserve">mcharry@sena.edu.co </t>
  </si>
  <si>
    <t>lhbuitrago@sena.edu.co</t>
  </si>
  <si>
    <t>fsuarezc@sena.edu.co</t>
  </si>
  <si>
    <t>mbohorquezg@sena.edu.co</t>
  </si>
  <si>
    <t>ksanchezs@sena.edu.co</t>
  </si>
  <si>
    <t>mprojasr@sena.edu.co</t>
  </si>
  <si>
    <t>lpatriciaj@misena.edu.co</t>
  </si>
  <si>
    <t>jbetancourt@sena.edu.co</t>
  </si>
  <si>
    <t>tecnoparquecazucasena@gmail.com</t>
  </si>
  <si>
    <t>Horario:</t>
  </si>
  <si>
    <t>Lunes a Viernes de 8 am - 12 m y 2 pm - 5 pm</t>
  </si>
  <si>
    <t>Líder:</t>
  </si>
  <si>
    <t>Carolina Romero Figueroa</t>
  </si>
  <si>
    <t>María del Pilar Arias Bohorquez</t>
  </si>
  <si>
    <t>Ivan Fernando Reyes Pérez</t>
  </si>
  <si>
    <t>Yesid Alejandro Alturo Gaitán</t>
  </si>
  <si>
    <t>Jazmin Monroy Cubillos</t>
  </si>
  <si>
    <t>Nestor Javier Cespedes Quevedo</t>
  </si>
  <si>
    <t>Diana Soraya Vargas Ramírez</t>
  </si>
  <si>
    <t>Marcela Castañeda Caicedo</t>
  </si>
  <si>
    <t>Magaly Caycedo Molano</t>
  </si>
  <si>
    <t>Mauricio Charry Prada</t>
  </si>
  <si>
    <t>Luis Hernando Buitrago Ruiz</t>
  </si>
  <si>
    <t>Fabian Ricardo Suarez Contreras</t>
  </si>
  <si>
    <t>Michael Leonardo Bohorquez Guzman</t>
  </si>
  <si>
    <t>Kelly Johanna Sánchez Salamanca</t>
  </si>
  <si>
    <t>Martha Patricia Rojas Rodriguez</t>
  </si>
  <si>
    <t>Liliana Patricia Jimenez</t>
  </si>
  <si>
    <t>Jorge Alberto Betancourt Rodriguez</t>
  </si>
  <si>
    <t>Luz Marina Leon Ruiz</t>
  </si>
  <si>
    <t>Teléfono:</t>
  </si>
  <si>
    <t>5461600 IP: 16843</t>
  </si>
  <si>
    <t>5461600 IP 15591</t>
  </si>
  <si>
    <t>5461600 IP 16593</t>
  </si>
  <si>
    <t>5461600 IP 15019</t>
  </si>
  <si>
    <t>5461600 IP 15402</t>
  </si>
  <si>
    <t>5461600 IP 18540</t>
  </si>
  <si>
    <t>5461600 IP 15531</t>
  </si>
  <si>
    <t>5461600 IP 16039</t>
  </si>
  <si>
    <t>54616004 IP 15560</t>
  </si>
  <si>
    <t>5461600 IP 18586</t>
  </si>
  <si>
    <t>5461600 IP 14955</t>
  </si>
  <si>
    <t>5461600 IP 15501</t>
  </si>
  <si>
    <t>5461600 IP 14026</t>
  </si>
  <si>
    <t>5461600 IP 15046</t>
  </si>
  <si>
    <t>5461600 IP 16820</t>
  </si>
  <si>
    <t>594 40 72 - Ext 14415</t>
  </si>
  <si>
    <t>Centro de Gestión de Mercados, Logística y Tecnologías de la Información (SENA - Distrito Capital)</t>
  </si>
  <si>
    <t>Centro para la Industria de la Comunicación Grafica (SENA - Distrito Capital)</t>
  </si>
  <si>
    <t>Centro de Formación de Talento Humano en Salud (SENA - Distrito Capital)</t>
  </si>
  <si>
    <t>Centro de Manufactura en Textil y Cuero (SENA - Distrito Capital)</t>
  </si>
  <si>
    <t>Centro de Electricidad, Electrónica y Telecomunicaciones (SENA - Distrito Capital)</t>
  </si>
  <si>
    <t>Centro de Tecnologías del Transporte (SENA - Distrito Capital)</t>
  </si>
  <si>
    <t>Centro de Diseño y Metrología (SENA - Distrito Capital)</t>
  </si>
  <si>
    <t>Centro de Gestión Administrativa (SENA - Distrito Capital)</t>
  </si>
  <si>
    <t>Centro Nacional de Hoteleria, Turismo y Alimentos (SENA - Distrito Capital)</t>
  </si>
  <si>
    <t>Centro de Tecnologías para la Construcción y la Madera (SENA - Distrito Capital)</t>
  </si>
  <si>
    <t>Centro Metalmecánico (SENA - Distrito Capital)</t>
  </si>
  <si>
    <t>Centro de Gestión Industrial (SENA - Distrito Capital)</t>
  </si>
  <si>
    <t>Centro De Servicios Financieros</t>
  </si>
  <si>
    <t>Centro de Materiales y Ensayos (SENA - Distrito Capital)</t>
  </si>
  <si>
    <t>Centro De Actividad Fisica Y Cultura</t>
  </si>
  <si>
    <t>Tecnoparque</t>
  </si>
  <si>
    <t>Centro de Servicios Financieros (SENA - Distrito Capital)</t>
  </si>
  <si>
    <t>TECNO PARQUE CENTRO INDUSTRIAL Y DE DESARROLLO EMPRESARIAL DE SOACHA (TECNO PARQUE CENTRO INDUSTRIAL Y DE DESARROLLO EMPRESARIAL DE SOACHA)</t>
  </si>
  <si>
    <t>Calle 65 Número 11 – 70 Piso 1.</t>
  </si>
  <si>
    <t>mdiaza@sena.edu.co</t>
  </si>
  <si>
    <t>Manuel Fernando Díaz Aldana</t>
  </si>
  <si>
    <t>5461600 IP: 14487</t>
  </si>
  <si>
    <t>Centro</t>
  </si>
  <si>
    <t>No</t>
  </si>
  <si>
    <t>http://www.fondoemprender.com/SitePages/Normatividad.aspx</t>
  </si>
  <si>
    <t>http://www.fondoemprender.com/SitePages/Contactenos.aspx#Cundinamarca</t>
  </si>
  <si>
    <t>Mensual</t>
  </si>
  <si>
    <t>Valor</t>
  </si>
  <si>
    <t>Total</t>
  </si>
  <si>
    <t>Mesas 4 meseras</t>
  </si>
  <si>
    <t>olla arrocera</t>
  </si>
  <si>
    <t>Mercado</t>
  </si>
  <si>
    <t>Carne de res</t>
  </si>
  <si>
    <t>Proveedor</t>
  </si>
  <si>
    <t>Valor pagado</t>
  </si>
  <si>
    <t>Tiempo a diferir (meses)</t>
  </si>
  <si>
    <t>Cuota mensual</t>
  </si>
  <si>
    <t>Interés pactado</t>
  </si>
  <si>
    <t>Carne de cerdo</t>
  </si>
  <si>
    <t>Venta</t>
  </si>
  <si>
    <t xml:space="preserve">Extractor </t>
  </si>
  <si>
    <t>Patrimonio</t>
  </si>
  <si>
    <t>Mesa madera</t>
  </si>
  <si>
    <t>Mesa para lavar pollo</t>
  </si>
  <si>
    <t>Mesa para dejar ollas</t>
  </si>
  <si>
    <t>Mesa bajita de metal</t>
  </si>
  <si>
    <t>Otras ollas</t>
  </si>
  <si>
    <t>Platos, cubiertos, Tablas bajijas de plasticos</t>
  </si>
  <si>
    <t>Botes de basura</t>
  </si>
  <si>
    <t>Nevera</t>
  </si>
  <si>
    <t>Platero</t>
  </si>
  <si>
    <t>Estufa</t>
  </si>
  <si>
    <t>Acarreo</t>
  </si>
  <si>
    <t>Equipo de sonido</t>
  </si>
  <si>
    <t>Bicicleta</t>
  </si>
  <si>
    <t>Horno de pollos</t>
  </si>
  <si>
    <t>Campana</t>
  </si>
  <si>
    <t>Inversion Proyecto</t>
  </si>
  <si>
    <t>Sazón</t>
  </si>
  <si>
    <t>Carne</t>
  </si>
  <si>
    <t>Cerdo</t>
  </si>
  <si>
    <t xml:space="preserve">Pollo  </t>
  </si>
  <si>
    <t>Bascula</t>
  </si>
  <si>
    <t>Pasivo Total</t>
  </si>
  <si>
    <t>Activo</t>
  </si>
  <si>
    <t>Mercado y Hamburguesa</t>
  </si>
  <si>
    <t>Marzo</t>
  </si>
  <si>
    <t>Abril</t>
  </si>
  <si>
    <t>jueves</t>
  </si>
  <si>
    <t>Fecha</t>
  </si>
  <si>
    <t>Día</t>
  </si>
  <si>
    <t>sábado</t>
  </si>
  <si>
    <t>domingo</t>
  </si>
  <si>
    <t>lunes</t>
  </si>
  <si>
    <t>martes</t>
  </si>
  <si>
    <t>miércoles</t>
  </si>
  <si>
    <t>viernes</t>
  </si>
  <si>
    <t>Rentabilidad</t>
  </si>
  <si>
    <t>Tipo día</t>
  </si>
  <si>
    <t xml:space="preserve"> Venta</t>
  </si>
  <si>
    <t>Normal</t>
  </si>
  <si>
    <t xml:space="preserve">Rentabilidad  x mes    </t>
  </si>
  <si>
    <t xml:space="preserve">Días trascurridos    </t>
  </si>
  <si>
    <t xml:space="preserve">Rentabilidad x día    </t>
  </si>
  <si>
    <t>Arriendo Apto. Marzo</t>
  </si>
  <si>
    <t>Bebidas</t>
  </si>
  <si>
    <t>Publidad tarjeteria</t>
  </si>
  <si>
    <t>Origen Equipo</t>
  </si>
  <si>
    <t>Antiguo</t>
  </si>
  <si>
    <t>Nuevo</t>
  </si>
  <si>
    <t>olla espres</t>
  </si>
  <si>
    <t>Materia Prima</t>
  </si>
  <si>
    <t>Tipo de gasto</t>
  </si>
  <si>
    <t>Bicicleta - Parrilla</t>
  </si>
  <si>
    <t>Propio</t>
  </si>
  <si>
    <t>Servicios, LUZ</t>
  </si>
  <si>
    <t>Servicios, AGUA</t>
  </si>
  <si>
    <t>NOMINA</t>
  </si>
  <si>
    <t xml:space="preserve"> Sarmiento</t>
  </si>
  <si>
    <t xml:space="preserve"> Leornardo</t>
  </si>
  <si>
    <t xml:space="preserve"> Orlando</t>
  </si>
  <si>
    <t>Menudo y prestamo</t>
  </si>
  <si>
    <t xml:space="preserve"> Hector</t>
  </si>
  <si>
    <t xml:space="preserve"> Saul</t>
  </si>
  <si>
    <r>
      <t xml:space="preserve">Servicios, </t>
    </r>
    <r>
      <rPr>
        <b/>
        <sz val="11"/>
        <color theme="1"/>
        <rFont val="Tw Cen MT"/>
        <family val="2"/>
        <scheme val="minor"/>
      </rPr>
      <t>GAS</t>
    </r>
  </si>
  <si>
    <t>Nombre proveedor</t>
  </si>
  <si>
    <t>Valor pagado
Marzo</t>
  </si>
  <si>
    <t>Valor pagado
Abril</t>
  </si>
  <si>
    <t xml:space="preserve"> Sem. 1 </t>
  </si>
  <si>
    <t xml:space="preserve"> Sem. 2</t>
  </si>
  <si>
    <t xml:space="preserve"> Sem. 3</t>
  </si>
  <si>
    <t xml:space="preserve"> Sem. 4</t>
  </si>
  <si>
    <t>Cuotas pendientes</t>
  </si>
  <si>
    <t>Mes de acuerdo de pago</t>
  </si>
  <si>
    <t>Programación</t>
  </si>
  <si>
    <t>Semanal</t>
  </si>
  <si>
    <t>Forecast</t>
  </si>
  <si>
    <t>Budget (Gastos)</t>
  </si>
  <si>
    <t>Mayo</t>
  </si>
  <si>
    <t>FINANCIERO</t>
  </si>
  <si>
    <t>ARRIENDO</t>
  </si>
  <si>
    <t>Coca Cola</t>
  </si>
  <si>
    <t>Pescado</t>
  </si>
  <si>
    <t>PUBLICIDAD</t>
  </si>
  <si>
    <t>Gota x Gota</t>
  </si>
  <si>
    <t>Arredatario</t>
  </si>
  <si>
    <t xml:space="preserve"> Diego</t>
  </si>
  <si>
    <t>Inventario (Stock)</t>
  </si>
  <si>
    <t>Planta y Equipo</t>
  </si>
  <si>
    <t>Mes de Arriendo Marzo</t>
  </si>
  <si>
    <t>150 a Janet</t>
  </si>
  <si>
    <t>le pago 100 al de la fama</t>
  </si>
  <si>
    <t>50,000 platano</t>
  </si>
  <si>
    <t>vereda el verganzo</t>
  </si>
  <si>
    <t>sector, escuela, asadres</t>
  </si>
  <si>
    <t>Pagos programados
Abril -2020</t>
  </si>
  <si>
    <t>Total general</t>
  </si>
  <si>
    <t>Tipo de obligación</t>
  </si>
  <si>
    <t xml:space="preserve"> Martin</t>
  </si>
  <si>
    <t xml:space="preserve"> Vecino</t>
  </si>
  <si>
    <t>Antigua deuda</t>
  </si>
  <si>
    <t>Nueva obligación</t>
  </si>
  <si>
    <t>Nd</t>
  </si>
  <si>
    <t>Carne de Pollo</t>
  </si>
  <si>
    <t>Nivel de Endeudamiento (NE)</t>
  </si>
  <si>
    <t>Nivel de endeudamiento crítico</t>
  </si>
  <si>
    <t>Autonomía</t>
  </si>
  <si>
    <t>El 70% del patrimonio esta comprometido con deudas</t>
  </si>
  <si>
    <t>Actual</t>
  </si>
  <si>
    <t>Meta ideal deuda</t>
  </si>
  <si>
    <t>Ideal</t>
  </si>
  <si>
    <t>Meta a Pagar</t>
  </si>
  <si>
    <t>https://www.ccb.org.co/Tramites-y-Consultas</t>
  </si>
  <si>
    <t>Tramites y consultas portal cámara de comercio</t>
  </si>
  <si>
    <t>https://www.ccb.org.co/Tramites-y-Consultas/Mas-informacion/Correccion-de-certificados</t>
  </si>
  <si>
    <t>Correción</t>
  </si>
  <si>
    <t>20HMVPHI</t>
  </si>
  <si>
    <t>GOMEZ GUATIVA VICTOR MANUEL</t>
  </si>
  <si>
    <t>CL 17 SUR 11</t>
  </si>
  <si>
    <t>Anillo Vial Verganzo, Verganza, Tocancipá, Cundinamarca</t>
  </si>
  <si>
    <t xml:space="preserve">VICTOR MANUEL GOMEZ GUATIVA </t>
  </si>
  <si>
    <t>MP TOCANCIPÁ VD VERGANZO FC VILLA LUZ</t>
  </si>
  <si>
    <t>Finca</t>
  </si>
  <si>
    <t>TOCANCIPA, VEREDA VERGANZO, Anillo Vial Verganzo, Local esquinero-Frente al parqueadero.  - TC VILLA LUZ</t>
  </si>
  <si>
    <t>ESP de Tocancipá</t>
  </si>
  <si>
    <t>Vantì-Cta: 3721477</t>
  </si>
  <si>
    <t>https://muisca.dian.gov.co/WebArquitectura/DefLogin.faces</t>
  </si>
  <si>
    <t>Actualización</t>
  </si>
  <si>
    <t>Gues15</t>
  </si>
  <si>
    <t>VDA EL VERGANZO, ANILLO VIAL VERGANZO - LOCAL ESQUINERO, FRENTE AL PARQUEADERO, FC VILLA LUZ</t>
  </si>
  <si>
    <t>VDA EL VERGANZO ANILLO VIAL EL VERGANZO  ZN FC VILLA LUZ-LOCAL FRENTE AL PARQUEADERO</t>
  </si>
  <si>
    <t>Almierzo de $ 10,000</t>
  </si>
  <si>
    <t>Pollo. $ 20,000</t>
  </si>
  <si>
    <t>Pollo. $ 9000</t>
  </si>
  <si>
    <t>3 almuerzo y petaco de cerveza</t>
  </si>
  <si>
    <t>https://linea.ccb.org.co/CertificadosElectronicosR/Index.html#/buscar-inscritos</t>
  </si>
  <si>
    <t>Pagar certiificado digital</t>
  </si>
  <si>
    <t>https://linea.ccb.org.co/TiendaConsultas/Servicios/Consultas/Default.aspx</t>
  </si>
  <si>
    <t>tramites x correo</t>
  </si>
  <si>
    <t>Gastos</t>
  </si>
  <si>
    <t xml:space="preserve"> Gastos</t>
  </si>
  <si>
    <t>Ventas</t>
  </si>
  <si>
    <t>Ganacia / Nomina</t>
  </si>
  <si>
    <t>Mes  de   análisis</t>
  </si>
  <si>
    <t>Promedio Venta</t>
  </si>
  <si>
    <t xml:space="preserve"> Rent. trabajo</t>
  </si>
  <si>
    <t>Prom.  Rent. Trabajo</t>
  </si>
  <si>
    <t>Tendencia</t>
  </si>
  <si>
    <t>Utilidad trabajo</t>
  </si>
  <si>
    <t>E (Renta)</t>
  </si>
  <si>
    <t>Target Ventas</t>
  </si>
  <si>
    <t>Target MC</t>
  </si>
  <si>
    <t>Target Día</t>
  </si>
  <si>
    <t>Target %</t>
  </si>
  <si>
    <t>% Target</t>
  </si>
  <si>
    <t>abril</t>
  </si>
  <si>
    <t>10-abr</t>
  </si>
  <si>
    <t>11-abr</t>
  </si>
  <si>
    <t>12-abr</t>
  </si>
  <si>
    <t>13-abr</t>
  </si>
  <si>
    <t>14-abr</t>
  </si>
  <si>
    <t>15-abr</t>
  </si>
  <si>
    <t>16-abr</t>
  </si>
  <si>
    <t>17-abr</t>
  </si>
  <si>
    <t>18-abr</t>
  </si>
  <si>
    <t>19-abr</t>
  </si>
  <si>
    <t>20-abr</t>
  </si>
  <si>
    <t>21-abr</t>
  </si>
  <si>
    <t>22-abr</t>
  </si>
  <si>
    <t>23-abr</t>
  </si>
  <si>
    <t>24-abr</t>
  </si>
  <si>
    <t>25-abr</t>
  </si>
  <si>
    <t>26-abr</t>
  </si>
  <si>
    <t>27-abr</t>
  </si>
  <si>
    <t>28-abr</t>
  </si>
  <si>
    <t>(Todas)</t>
  </si>
  <si>
    <t>29-abr</t>
  </si>
  <si>
    <t>30-abr</t>
  </si>
  <si>
    <t>1-abr</t>
  </si>
  <si>
    <t>2-abr</t>
  </si>
  <si>
    <t>3-abr</t>
  </si>
  <si>
    <t>4-abr</t>
  </si>
  <si>
    <t>5-abr</t>
  </si>
  <si>
    <t>6-abr</t>
  </si>
  <si>
    <t>7-abr</t>
  </si>
  <si>
    <t>8-abr</t>
  </si>
  <si>
    <t>9-abr</t>
  </si>
  <si>
    <t>Moto</t>
  </si>
  <si>
    <t>nevera</t>
  </si>
  <si>
    <t>Tipo día2</t>
  </si>
  <si>
    <t>enel - 6451508-5</t>
  </si>
  <si>
    <t>A) Día hábil</t>
  </si>
  <si>
    <t>C) Sábado</t>
  </si>
  <si>
    <t>C) Viernes</t>
  </si>
  <si>
    <t>Caja</t>
  </si>
  <si>
    <t>Plan B</t>
  </si>
  <si>
    <t>Arriendo</t>
  </si>
  <si>
    <t>Gas</t>
  </si>
  <si>
    <t>Consumo (m3)</t>
  </si>
  <si>
    <t>Energia</t>
  </si>
  <si>
    <t>21Nov -20Dic</t>
  </si>
  <si>
    <t>20Dic-22Ene</t>
  </si>
  <si>
    <t>22Ene-20Feb</t>
  </si>
  <si>
    <t>20Feb-19Mar</t>
  </si>
  <si>
    <t>19Mar-21Abr</t>
  </si>
  <si>
    <t>21Abr-20May</t>
  </si>
  <si>
    <t>No. Días Gas</t>
  </si>
  <si>
    <t>No. Días Energia</t>
  </si>
  <si>
    <t>No. Días Arriendo</t>
  </si>
  <si>
    <t>Consumo
(KhW</t>
  </si>
  <si>
    <t>Fecha corte enega</t>
  </si>
  <si>
    <t>Día Arriendo</t>
  </si>
  <si>
    <t>Costo prom. Gas</t>
  </si>
  <si>
    <t>Tipo</t>
  </si>
  <si>
    <t>Histórico</t>
  </si>
  <si>
    <t>Día Gas</t>
  </si>
  <si>
    <t>Costo prom. Energia</t>
  </si>
  <si>
    <t>Día Energia</t>
  </si>
  <si>
    <t>21May-20Jun</t>
  </si>
  <si>
    <t>Financiació Energia</t>
  </si>
  <si>
    <t>Agua</t>
  </si>
  <si>
    <t>Dìa Agua</t>
  </si>
  <si>
    <t>Electricidad</t>
  </si>
  <si>
    <t>Nomina</t>
  </si>
  <si>
    <t>Bancos</t>
  </si>
  <si>
    <t>D) Domingo</t>
  </si>
  <si>
    <t>Domiciliario</t>
  </si>
  <si>
    <t>2 dia</t>
  </si>
  <si>
    <t>Margen de contribución</t>
  </si>
  <si>
    <t>Valor pagado
Mayo</t>
  </si>
  <si>
    <t>Valor pagado
Junio</t>
  </si>
  <si>
    <t>35000 por millar</t>
  </si>
  <si>
    <t>60.000 por millar</t>
  </si>
  <si>
    <t>50 pollos un millon</t>
  </si>
  <si>
    <t>Pintura, local</t>
  </si>
  <si>
    <t>50 pollos</t>
  </si>
  <si>
    <t>Hamburguesa</t>
  </si>
  <si>
    <t>25.000 a 10 cada</t>
  </si>
  <si>
    <t>49 gaseosas litro y media</t>
  </si>
  <si>
    <t>gaseosas pequeñas 50</t>
  </si>
  <si>
    <t>Sason para un mes</t>
  </si>
  <si>
    <t>CODENSA</t>
  </si>
  <si>
    <t>nd</t>
  </si>
  <si>
    <t>Junio</t>
  </si>
  <si>
    <t>Congelado</t>
  </si>
  <si>
    <t>Pagar Urgente</t>
  </si>
  <si>
    <t>Pagado</t>
  </si>
  <si>
    <t>Corto Plazo</t>
  </si>
  <si>
    <t>Estado Tesoreria</t>
  </si>
  <si>
    <t>Arriendo Apto.</t>
  </si>
  <si>
    <t>dom</t>
  </si>
  <si>
    <t>lun</t>
  </si>
  <si>
    <t>mar</t>
  </si>
  <si>
    <t>mié</t>
  </si>
  <si>
    <t>jue</t>
  </si>
  <si>
    <t>vie</t>
  </si>
  <si>
    <t>sáb</t>
  </si>
  <si>
    <t>Suma de Venta</t>
  </si>
  <si>
    <t>No. Semana de operación</t>
  </si>
  <si>
    <t>Semana</t>
  </si>
  <si>
    <t>∆%</t>
  </si>
  <si>
    <t>Sandra</t>
  </si>
  <si>
    <t>Cuentas x Pagar</t>
  </si>
  <si>
    <t>Target</t>
  </si>
  <si>
    <t>Prom. Venta PE &amp; CP</t>
  </si>
  <si>
    <t>Contingencia: Gas</t>
  </si>
  <si>
    <t>Contingencia: Licuadora</t>
  </si>
  <si>
    <t>Ladron de Gas</t>
  </si>
  <si>
    <t>Licuadora</t>
  </si>
  <si>
    <t>Julio</t>
  </si>
  <si>
    <t>Agosto</t>
  </si>
  <si>
    <t>Vitrina, ollas</t>
  </si>
  <si>
    <t>Cliente 1</t>
  </si>
  <si>
    <t>Cliente 2</t>
  </si>
  <si>
    <t>Valor pagado
Julio</t>
  </si>
  <si>
    <t>Septimebre</t>
  </si>
  <si>
    <t>Valor por Pagar</t>
  </si>
  <si>
    <t>Pagos Julio x programar</t>
  </si>
  <si>
    <t>Financiero</t>
  </si>
  <si>
    <t>Pasivo de largo plazo</t>
  </si>
  <si>
    <t>Pasivo de corto plazo</t>
  </si>
  <si>
    <t>Licuadrora</t>
  </si>
  <si>
    <t>Origen</t>
  </si>
  <si>
    <t>Vigente</t>
  </si>
  <si>
    <t>Papá</t>
  </si>
  <si>
    <t>Saldo nuevo admón</t>
  </si>
  <si>
    <t>Día C x P</t>
  </si>
  <si>
    <t>agosto</t>
  </si>
  <si>
    <t>Hora</t>
  </si>
  <si>
    <t>dia_semana</t>
  </si>
  <si>
    <t>fecha_fin</t>
  </si>
  <si>
    <t>nombre_producto</t>
  </si>
  <si>
    <t>uno</t>
  </si>
  <si>
    <t>do</t>
  </si>
  <si>
    <t>fecha_inicio</t>
  </si>
  <si>
    <t>fecha</t>
  </si>
  <si>
    <t>tipo</t>
  </si>
  <si>
    <t>bolsas</t>
  </si>
  <si>
    <t>apartamentos</t>
  </si>
  <si>
    <t>octubre</t>
  </si>
  <si>
    <t>dia_sem</t>
  </si>
  <si>
    <t>Cajero</t>
  </si>
  <si>
    <t>Parrillero</t>
  </si>
  <si>
    <t>Servicios</t>
  </si>
  <si>
    <t>Internet</t>
  </si>
  <si>
    <t>Chorizo</t>
  </si>
  <si>
    <t>hit</t>
  </si>
  <si>
    <t>agua</t>
  </si>
  <si>
    <t>postobon</t>
  </si>
  <si>
    <t>coca cola</t>
  </si>
  <si>
    <t>Coca cola</t>
  </si>
  <si>
    <t>Postobon</t>
  </si>
  <si>
    <t>Chori- CRUDO</t>
  </si>
  <si>
    <t>parri tres carnes</t>
  </si>
  <si>
    <t>carne + chorizo</t>
  </si>
  <si>
    <t>tinto</t>
  </si>
  <si>
    <t>Hit</t>
  </si>
  <si>
    <t>parri 48</t>
  </si>
  <si>
    <t>parri 70</t>
  </si>
  <si>
    <t>parri 40</t>
  </si>
  <si>
    <t>costo_producto</t>
  </si>
  <si>
    <t>precio_producto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</si>
</sst>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-[$$-240A]\ * #,##0_-;\-[$$-240A]\ * #,##0_-;_-[$$-240A]\ * &quot;-&quot;??_-;_-@_-"/>
    <numFmt numFmtId="167" formatCode="_-* #,##0\ _€_-;\-* #,##0\ _€_-;_-* &quot;-&quot;??\ _€_-;_-@_-"/>
    <numFmt numFmtId="168" formatCode="0.0%"/>
    <numFmt numFmtId="169" formatCode="_ &quot;$&quot;\ * #,##0.00_ ;_ &quot;$&quot;\ * \-#,##0.00_ ;_ &quot;$&quot;\ * &quot;-&quot;??_ ;_ @_ "/>
    <numFmt numFmtId="170" formatCode="_ * #,##0.00_ ;_ * \-#,##0.00_ ;_ * &quot;-&quot;??_ ;_ @_ "/>
    <numFmt numFmtId="171" formatCode="_-* #,##0_-;\-* #,##0_-;_-* &quot;-&quot;??_-;_-@_-"/>
    <numFmt numFmtId="172" formatCode="_-&quot;$&quot;\ * #,##0_-;\-&quot;$&quot;\ * #,##0_-;_-&quot;$&quot;\ * &quot;-&quot;??_-;_-@_-"/>
    <numFmt numFmtId="173" formatCode="0.0"/>
    <numFmt numFmtId="174" formatCode="#,##0_ ;[Red]\-#,##0\ "/>
  </numFmts>
  <fonts count="40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u/>
      <sz val="11"/>
      <color theme="10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11"/>
      <color rgb="FFFF0000"/>
      <name val="Tw Cen MT"/>
      <family val="2"/>
      <scheme val="minor"/>
    </font>
    <font>
      <b/>
      <sz val="11"/>
      <color theme="0"/>
      <name val="Tw Cen MT"/>
      <family val="2"/>
      <scheme val="minor"/>
    </font>
    <font>
      <sz val="11"/>
      <color indexed="8"/>
      <name val="Tw Cen MT"/>
      <family val="2"/>
      <scheme val="minor"/>
    </font>
    <font>
      <sz val="12"/>
      <name val="Courier"/>
    </font>
    <font>
      <b/>
      <sz val="9"/>
      <color indexed="81"/>
      <name val="Tahoma"/>
      <family val="2"/>
    </font>
    <font>
      <sz val="11"/>
      <color theme="0"/>
      <name val="Tw Cen MT"/>
      <family val="2"/>
      <scheme val="minor"/>
    </font>
    <font>
      <sz val="10"/>
      <color rgb="FF000000"/>
      <name val="Gill Sans MT"/>
      <family val="2"/>
    </font>
    <font>
      <sz val="11"/>
      <name val="Tw Cen MT"/>
      <family val="2"/>
      <scheme val="minor"/>
    </font>
    <font>
      <sz val="11"/>
      <color rgb="FF000000"/>
      <name val="Gill Sans MT"/>
      <family val="2"/>
    </font>
    <font>
      <b/>
      <sz val="11"/>
      <color rgb="FF000000"/>
      <name val="Gill Sans MT"/>
      <family val="2"/>
    </font>
    <font>
      <b/>
      <sz val="12"/>
      <color rgb="FF339176"/>
      <name val="Tw Cen MT"/>
      <family val="2"/>
      <scheme val="minor"/>
    </font>
    <font>
      <sz val="9"/>
      <color indexed="81"/>
      <name val="Tahoma"/>
      <family val="2"/>
    </font>
    <font>
      <b/>
      <sz val="11"/>
      <color rgb="FF0070C0"/>
      <name val="Tw Cen MT"/>
      <family val="2"/>
      <scheme val="minor"/>
    </font>
    <font>
      <b/>
      <u/>
      <sz val="11"/>
      <color theme="1"/>
      <name val="Tw Cen MT"/>
      <family val="2"/>
      <scheme val="minor"/>
    </font>
    <font>
      <b/>
      <sz val="10"/>
      <color rgb="FF090909"/>
      <name val="Arial"/>
      <family val="2"/>
    </font>
    <font>
      <sz val="9"/>
      <color rgb="FF004165"/>
      <name val="Arial"/>
      <family val="2"/>
    </font>
    <font>
      <sz val="8"/>
      <name val="Tw Cen MT"/>
      <family val="2"/>
      <scheme val="minor"/>
    </font>
    <font>
      <sz val="9"/>
      <color theme="1"/>
      <name val="Tw Cen MT"/>
      <family val="2"/>
      <scheme val="minor"/>
    </font>
    <font>
      <sz val="9"/>
      <color theme="0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color theme="1"/>
      <name val="Tw Cen MT"/>
      <family val="2"/>
      <scheme val="minor"/>
    </font>
    <font>
      <b/>
      <u/>
      <sz val="9"/>
      <color rgb="FF004165"/>
      <name val="Arial"/>
      <family val="2"/>
    </font>
    <font>
      <sz val="11"/>
      <color rgb="FF000000"/>
      <name val="Gill Sans MT"/>
      <family val="2"/>
    </font>
    <font>
      <sz val="11"/>
      <color rgb="FF9C0006"/>
      <name val="Tw Cen MT"/>
      <family val="2"/>
      <scheme val="minor"/>
    </font>
    <font>
      <sz val="11"/>
      <color rgb="FF9C5700"/>
      <name val="Tw Cen MT"/>
      <family val="2"/>
      <scheme val="minor"/>
    </font>
    <font>
      <b/>
      <sz val="11"/>
      <color rgb="FFFF0000"/>
      <name val="Gill Sans MT"/>
      <family val="2"/>
    </font>
    <font>
      <u/>
      <sz val="11"/>
      <color theme="1"/>
      <name val="Tw Cen MT"/>
      <family val="2"/>
      <scheme val="minor"/>
    </font>
    <font>
      <u/>
      <sz val="11"/>
      <color rgb="FF0070C0"/>
      <name val="Tw Cen MT"/>
      <family val="2"/>
      <scheme val="minor"/>
    </font>
    <font>
      <sz val="11"/>
      <color rgb="FF0070C0"/>
      <name val="Tw Cen MT"/>
      <family val="2"/>
      <scheme val="minor"/>
    </font>
    <font>
      <u val="singleAccounting"/>
      <sz val="11"/>
      <color rgb="FF0070C0"/>
      <name val="Tw Cen MT"/>
      <family val="2"/>
      <scheme val="minor"/>
    </font>
    <font>
      <sz val="11"/>
      <color theme="0"/>
      <name val="Calibri"/>
      <family val="2"/>
    </font>
    <font>
      <u/>
      <sz val="11"/>
      <name val="Tw Cen MT"/>
      <family val="2"/>
      <scheme val="minor"/>
    </font>
    <font>
      <b/>
      <sz val="14"/>
      <color rgb="FF0070C0"/>
      <name val="Tw Cen MT"/>
      <family val="2"/>
      <scheme val="minor"/>
    </font>
    <font>
      <b/>
      <u val="singleAccounting"/>
      <sz val="11"/>
      <color theme="1"/>
      <name val="Tw Cen MT"/>
      <family val="2"/>
      <scheme val="minor"/>
    </font>
    <font>
      <b/>
      <sz val="11"/>
      <color rgb="FFC00000"/>
      <name val="Tw Cen MT"/>
      <family val="2"/>
      <scheme val="minor"/>
    </font>
    <font>
      <sz val="11"/>
      <color rgb="FF000000"/>
      <name val="Gill Sans MT"/>
      <family val="2"/>
    </font>
  </fonts>
  <fills count="5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theme="7"/>
      </patternFill>
    </fill>
    <fill>
      <patternFill patternType="solid">
        <fgColor rgb="FF1EA0A6"/>
        <bgColor theme="4"/>
      </patternFill>
    </fill>
    <fill>
      <patternFill patternType="solid">
        <fgColor rgb="FF339176"/>
        <bgColor theme="7"/>
      </patternFill>
    </fill>
    <fill>
      <patternFill patternType="solid">
        <fgColor theme="0" tint="-4.9989318521683403E-2"/>
        <bgColor theme="0" tint="-0.14999847407452621"/>
      </patternFill>
    </fill>
    <fill>
      <patternFill patternType="solid">
        <fgColor rgb="FFE9FAFB"/>
        <bgColor theme="7"/>
      </patternFill>
    </fill>
    <fill>
      <patternFill patternType="solid">
        <fgColor rgb="FF20B3BA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FFA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theme="6" tint="-0.249977111117893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A3A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-0.249977111117893"/>
        <bgColor theme="5" tint="-0.249977111117893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3E7FF"/>
        <bgColor indexed="64"/>
      </patternFill>
    </fill>
    <fill>
      <patternFill patternType="solid">
        <fgColor rgb="FFFFD44B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theme="7"/>
      </patternFill>
    </fill>
    <fill>
      <patternFill patternType="solid">
        <fgColor theme="4" tint="0.59999389629810485"/>
        <bgColor rgb="FFFFCC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theme="1"/>
      </patternFill>
    </fill>
  </fills>
  <borders count="38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 style="medium">
        <color theme="4" tint="-0.249977111117893"/>
      </top>
      <bottom/>
      <diagonal/>
    </border>
    <border>
      <left/>
      <right/>
      <top style="thin">
        <color theme="9" tint="0.3999755851924192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6" tint="0.79998168889431442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double">
        <color theme="6" tint="-0.249977111117893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indexed="64"/>
      </right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5" tint="-0.249977111117893"/>
      </top>
      <bottom style="thin">
        <color theme="5" tint="0.59999389629810485"/>
      </bottom>
      <diagonal/>
    </border>
    <border>
      <left/>
      <right/>
      <top style="thin">
        <color theme="5" tint="-0.249977111117893"/>
      </top>
      <bottom style="thin">
        <color theme="5" tint="0.79998168889431442"/>
      </bottom>
      <diagonal/>
    </border>
    <border>
      <left/>
      <right/>
      <top style="thin">
        <color theme="5" tint="0.79998168889431442"/>
      </top>
      <bottom style="thin">
        <color theme="5" tint="0.79998168889431442"/>
      </bottom>
      <diagonal/>
    </border>
    <border>
      <left/>
      <right/>
      <top style="double">
        <color theme="5" tint="-0.249977111117893"/>
      </top>
      <bottom/>
      <diagonal/>
    </border>
    <border>
      <left/>
      <right/>
      <top style="thin">
        <color theme="5" tint="0.79998168889431442"/>
      </top>
      <bottom style="thin">
        <color indexed="64"/>
      </bottom>
      <diagonal/>
    </border>
    <border>
      <left/>
      <right/>
      <top/>
      <bottom style="thin">
        <color theme="5" tint="0.79998168889431442"/>
      </bottom>
      <diagonal/>
    </border>
    <border>
      <left/>
      <right/>
      <top style="thin">
        <color theme="5" tint="0.79998168889431442"/>
      </top>
      <bottom style="double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</borders>
  <cellStyleXfs count="19">
    <xf numFmtId="0" fontId="0" fillId="0" borderId="0"/>
    <xf numFmtId="0" fontId="2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3" fillId="0" borderId="0"/>
    <xf numFmtId="170" fontId="3" fillId="0" borderId="0" applyFont="0" applyFill="0" applyBorder="0" applyAlignment="0" applyProtection="0"/>
    <xf numFmtId="0" fontId="6" fillId="0" borderId="0"/>
    <xf numFmtId="165" fontId="7" fillId="0" borderId="0" applyFont="0" applyFill="0" applyBorder="0" applyAlignment="0" applyProtection="0"/>
    <xf numFmtId="0" fontId="7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27" fillId="33" borderId="0" applyNumberFormat="0" applyBorder="0" applyAlignment="0" applyProtection="0"/>
    <xf numFmtId="0" fontId="28" fillId="34" borderId="0" applyNumberFormat="0" applyBorder="0" applyAlignment="0" applyProtection="0"/>
  </cellStyleXfs>
  <cellXfs count="282">
    <xf numFmtId="0" fontId="0" fillId="0" borderId="0" xfId="0"/>
    <xf numFmtId="166" fontId="0" fillId="0" borderId="0" xfId="0" applyNumberFormat="1"/>
    <xf numFmtId="166" fontId="1" fillId="0" borderId="0" xfId="0" applyNumberFormat="1" applyFont="1"/>
    <xf numFmtId="0" fontId="2" fillId="0" borderId="0" xfId="1"/>
    <xf numFmtId="167" fontId="0" fillId="0" borderId="0" xfId="2" applyNumberFormat="1" applyFont="1"/>
    <xf numFmtId="168" fontId="0" fillId="0" borderId="0" xfId="3" applyNumberFormat="1" applyFont="1"/>
    <xf numFmtId="167" fontId="0" fillId="0" borderId="0" xfId="2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167" fontId="0" fillId="0" borderId="0" xfId="0" applyNumberFormat="1"/>
    <xf numFmtId="171" fontId="0" fillId="0" borderId="0" xfId="0" applyNumberFormat="1"/>
    <xf numFmtId="0" fontId="9" fillId="6" borderId="2" xfId="0" applyFont="1" applyFill="1" applyBorder="1" applyAlignment="1">
      <alignment horizontal="center" vertical="center" wrapText="1"/>
    </xf>
    <xf numFmtId="171" fontId="0" fillId="0" borderId="0" xfId="13" applyNumberFormat="1" applyFont="1"/>
    <xf numFmtId="1" fontId="10" fillId="0" borderId="9" xfId="13" applyNumberFormat="1" applyFont="1" applyBorder="1" applyAlignment="1">
      <alignment horizontal="center"/>
    </xf>
    <xf numFmtId="171" fontId="10" fillId="0" borderId="9" xfId="13" applyNumberFormat="1" applyFont="1" applyBorder="1" applyAlignment="1">
      <alignment horizontal="center"/>
    </xf>
    <xf numFmtId="9" fontId="10" fillId="0" borderId="9" xfId="3" applyFont="1" applyBorder="1" applyAlignment="1">
      <alignment horizontal="center"/>
    </xf>
    <xf numFmtId="172" fontId="10" fillId="0" borderId="9" xfId="0" applyNumberFormat="1" applyFont="1" applyBorder="1"/>
    <xf numFmtId="172" fontId="0" fillId="0" borderId="0" xfId="0" applyNumberFormat="1"/>
    <xf numFmtId="172" fontId="4" fillId="0" borderId="0" xfId="0" applyNumberFormat="1" applyFont="1"/>
    <xf numFmtId="9" fontId="0" fillId="0" borderId="0" xfId="0" applyNumberFormat="1"/>
    <xf numFmtId="167" fontId="0" fillId="0" borderId="0" xfId="2" applyNumberFormat="1" applyFont="1" applyFill="1"/>
    <xf numFmtId="0" fontId="5" fillId="0" borderId="13" xfId="0" applyFont="1" applyBorder="1" applyAlignment="1">
      <alignment horizontal="center"/>
    </xf>
    <xf numFmtId="0" fontId="0" fillId="0" borderId="12" xfId="0" applyBorder="1"/>
    <xf numFmtId="0" fontId="0" fillId="0" borderId="14" xfId="0" applyBorder="1"/>
    <xf numFmtId="0" fontId="0" fillId="7" borderId="2" xfId="0" applyFill="1" applyBorder="1" applyAlignment="1">
      <alignment horizontal="left" indent="2"/>
    </xf>
    <xf numFmtId="167" fontId="0" fillId="7" borderId="2" xfId="2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pivotButton="1"/>
    <xf numFmtId="0" fontId="1" fillId="0" borderId="0" xfId="0" pivotButton="1" applyFont="1"/>
    <xf numFmtId="166" fontId="11" fillId="2" borderId="15" xfId="0" applyNumberFormat="1" applyFont="1" applyFill="1" applyBorder="1"/>
    <xf numFmtId="0" fontId="0" fillId="0" borderId="16" xfId="0" applyBorder="1"/>
    <xf numFmtId="166" fontId="0" fillId="0" borderId="0" xfId="2" applyNumberFormat="1" applyFont="1"/>
    <xf numFmtId="166" fontId="0" fillId="0" borderId="12" xfId="2" applyNumberFormat="1" applyFont="1" applyFill="1" applyBorder="1"/>
    <xf numFmtId="166" fontId="0" fillId="0" borderId="14" xfId="2" applyNumberFormat="1" applyFont="1" applyFill="1" applyBorder="1"/>
    <xf numFmtId="166" fontId="0" fillId="0" borderId="16" xfId="2" applyNumberFormat="1" applyFont="1" applyFill="1" applyBorder="1"/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66" fontId="0" fillId="0" borderId="11" xfId="4" applyNumberFormat="1" applyFont="1" applyFill="1" applyBorder="1" applyAlignment="1">
      <alignment horizontal="left"/>
    </xf>
    <xf numFmtId="172" fontId="12" fillId="0" borderId="4" xfId="12" applyNumberFormat="1" applyFont="1" applyBorder="1"/>
    <xf numFmtId="172" fontId="1" fillId="0" borderId="4" xfId="12" applyNumberFormat="1" applyFont="1" applyBorder="1" applyAlignment="1">
      <alignment horizontal="left"/>
    </xf>
    <xf numFmtId="172" fontId="0" fillId="0" borderId="0" xfId="12" applyNumberFormat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172" fontId="13" fillId="0" borderId="4" xfId="0" applyNumberFormat="1" applyFont="1" applyBorder="1"/>
    <xf numFmtId="172" fontId="0" fillId="0" borderId="18" xfId="4" applyNumberFormat="1" applyFont="1" applyFill="1" applyBorder="1" applyAlignment="1">
      <alignment horizontal="left"/>
    </xf>
    <xf numFmtId="172" fontId="0" fillId="0" borderId="17" xfId="4" applyNumberFormat="1" applyFont="1" applyFill="1" applyBorder="1" applyAlignment="1">
      <alignment horizontal="left"/>
    </xf>
    <xf numFmtId="172" fontId="0" fillId="0" borderId="17" xfId="4" applyNumberFormat="1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1" fontId="10" fillId="0" borderId="4" xfId="13" applyNumberFormat="1" applyFont="1" applyFill="1" applyBorder="1" applyAlignment="1">
      <alignment horizontal="center"/>
    </xf>
    <xf numFmtId="1" fontId="10" fillId="12" borderId="4" xfId="13" applyNumberFormat="1" applyFont="1" applyFill="1" applyBorder="1" applyAlignment="1">
      <alignment horizontal="center"/>
    </xf>
    <xf numFmtId="171" fontId="10" fillId="12" borderId="4" xfId="13" applyNumberFormat="1" applyFont="1" applyFill="1" applyBorder="1"/>
    <xf numFmtId="9" fontId="10" fillId="12" borderId="4" xfId="3" applyFont="1" applyFill="1" applyBorder="1" applyAlignment="1">
      <alignment horizontal="center"/>
    </xf>
    <xf numFmtId="172" fontId="10" fillId="12" borderId="4" xfId="12" applyNumberFormat="1" applyFont="1" applyFill="1" applyBorder="1"/>
    <xf numFmtId="0" fontId="9" fillId="14" borderId="5" xfId="0" applyFont="1" applyFill="1" applyBorder="1" applyAlignment="1">
      <alignment horizontal="center" vertical="center" wrapText="1"/>
    </xf>
    <xf numFmtId="171" fontId="10" fillId="0" borderId="4" xfId="13" applyNumberFormat="1" applyFont="1" applyFill="1" applyBorder="1"/>
    <xf numFmtId="9" fontId="10" fillId="0" borderId="4" xfId="3" applyFont="1" applyFill="1" applyBorder="1" applyAlignment="1">
      <alignment horizontal="center"/>
    </xf>
    <xf numFmtId="0" fontId="0" fillId="15" borderId="0" xfId="0" applyFill="1"/>
    <xf numFmtId="172" fontId="0" fillId="0" borderId="4" xfId="4" applyNumberFormat="1" applyFont="1" applyFill="1" applyBorder="1" applyAlignment="1">
      <alignment horizontal="left"/>
    </xf>
    <xf numFmtId="166" fontId="0" fillId="0" borderId="0" xfId="4" applyNumberFormat="1" applyFont="1" applyFill="1" applyBorder="1" applyAlignment="1">
      <alignment horizontal="left"/>
    </xf>
    <xf numFmtId="0" fontId="9" fillId="16" borderId="2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167" fontId="9" fillId="8" borderId="2" xfId="2" applyNumberFormat="1" applyFont="1" applyFill="1" applyBorder="1" applyAlignment="1">
      <alignment horizontal="center"/>
    </xf>
    <xf numFmtId="9" fontId="0" fillId="7" borderId="2" xfId="3" applyFont="1" applyFill="1" applyBorder="1" applyAlignment="1">
      <alignment horizontal="center" vertical="center"/>
    </xf>
    <xf numFmtId="9" fontId="9" fillId="8" borderId="2" xfId="3" applyFont="1" applyFill="1" applyBorder="1" applyAlignment="1">
      <alignment horizontal="center" vertical="center"/>
    </xf>
    <xf numFmtId="9" fontId="9" fillId="4" borderId="2" xfId="3" applyFont="1" applyFill="1" applyBorder="1" applyAlignment="1">
      <alignment horizontal="center" vertical="center"/>
    </xf>
    <xf numFmtId="0" fontId="1" fillId="0" borderId="0" xfId="0" pivotButton="1" applyFont="1" applyAlignment="1">
      <alignment horizontal="center"/>
    </xf>
    <xf numFmtId="166" fontId="1" fillId="0" borderId="0" xfId="0" applyNumberFormat="1" applyFont="1" applyAlignment="1">
      <alignment horizontal="center"/>
    </xf>
    <xf numFmtId="9" fontId="0" fillId="0" borderId="0" xfId="3" applyFont="1"/>
    <xf numFmtId="173" fontId="4" fillId="0" borderId="0" xfId="3" applyNumberFormat="1" applyFont="1" applyAlignment="1">
      <alignment horizontal="center"/>
    </xf>
    <xf numFmtId="173" fontId="16" fillId="0" borderId="0" xfId="3" applyNumberFormat="1" applyFont="1" applyAlignment="1">
      <alignment horizontal="center"/>
    </xf>
    <xf numFmtId="0" fontId="16" fillId="0" borderId="0" xfId="0" applyFont="1"/>
    <xf numFmtId="0" fontId="4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167" fontId="16" fillId="0" borderId="0" xfId="2" applyNumberFormat="1" applyFont="1"/>
    <xf numFmtId="0" fontId="0" fillId="0" borderId="0" xfId="0" applyAlignment="1">
      <alignment horizontal="right"/>
    </xf>
    <xf numFmtId="0" fontId="18" fillId="0" borderId="0" xfId="0" applyFont="1"/>
    <xf numFmtId="0" fontId="0" fillId="17" borderId="0" xfId="0" applyFill="1"/>
    <xf numFmtId="0" fontId="0" fillId="7" borderId="0" xfId="0" applyFill="1"/>
    <xf numFmtId="0" fontId="9" fillId="18" borderId="0" xfId="0" applyFont="1" applyFill="1"/>
    <xf numFmtId="174" fontId="0" fillId="0" borderId="0" xfId="0" applyNumberFormat="1"/>
    <xf numFmtId="0" fontId="5" fillId="10" borderId="15" xfId="0" applyFont="1" applyFill="1" applyBorder="1"/>
    <xf numFmtId="174" fontId="0" fillId="19" borderId="0" xfId="0" applyNumberFormat="1" applyFill="1" applyAlignment="1">
      <alignment horizontal="center"/>
    </xf>
    <xf numFmtId="0" fontId="5" fillId="10" borderId="15" xfId="0" applyFont="1" applyFill="1" applyBorder="1" applyAlignment="1">
      <alignment horizontal="left" indent="2"/>
    </xf>
    <xf numFmtId="0" fontId="5" fillId="10" borderId="15" xfId="0" applyFont="1" applyFill="1" applyBorder="1" applyAlignment="1">
      <alignment horizontal="left"/>
    </xf>
    <xf numFmtId="0" fontId="5" fillId="10" borderId="15" xfId="0" applyFont="1" applyFill="1" applyBorder="1" applyAlignment="1">
      <alignment horizontal="center"/>
    </xf>
    <xf numFmtId="174" fontId="11" fillId="2" borderId="15" xfId="0" applyNumberFormat="1" applyFont="1" applyFill="1" applyBorder="1"/>
    <xf numFmtId="9" fontId="0" fillId="0" borderId="0" xfId="3" applyFont="1" applyAlignment="1">
      <alignment horizontal="center"/>
    </xf>
    <xf numFmtId="166" fontId="0" fillId="20" borderId="0" xfId="0" applyNumberFormat="1" applyFill="1"/>
    <xf numFmtId="0" fontId="0" fillId="3" borderId="0" xfId="0" applyFill="1"/>
    <xf numFmtId="0" fontId="9" fillId="4" borderId="2" xfId="0" applyFont="1" applyFill="1" applyBorder="1" applyAlignment="1">
      <alignment horizontal="center"/>
    </xf>
    <xf numFmtId="167" fontId="9" fillId="4" borderId="2" xfId="2" applyNumberFormat="1" applyFont="1" applyFill="1" applyBorder="1" applyAlignment="1">
      <alignment horizontal="center"/>
    </xf>
    <xf numFmtId="166" fontId="5" fillId="21" borderId="20" xfId="0" applyNumberFormat="1" applyFont="1" applyFill="1" applyBorder="1" applyAlignment="1">
      <alignment horizontal="center"/>
    </xf>
    <xf numFmtId="166" fontId="0" fillId="0" borderId="21" xfId="0" applyNumberFormat="1" applyBorder="1"/>
    <xf numFmtId="166" fontId="1" fillId="0" borderId="22" xfId="0" applyNumberFormat="1" applyFont="1" applyBorder="1"/>
    <xf numFmtId="41" fontId="0" fillId="0" borderId="0" xfId="16" applyFon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25" borderId="0" xfId="0" applyFont="1" applyFill="1" applyAlignment="1">
      <alignment horizontal="center" vertical="center" wrapText="1"/>
    </xf>
    <xf numFmtId="166" fontId="1" fillId="6" borderId="0" xfId="0" applyNumberFormat="1" applyFont="1" applyFill="1" applyAlignment="1">
      <alignment horizontal="center" vertical="center" wrapText="1"/>
    </xf>
    <xf numFmtId="166" fontId="1" fillId="24" borderId="0" xfId="0" applyNumberFormat="1" applyFont="1" applyFill="1" applyAlignment="1">
      <alignment horizontal="center" vertical="center" wrapText="1"/>
    </xf>
    <xf numFmtId="17" fontId="19" fillId="23" borderId="0" xfId="0" applyNumberFormat="1" applyFont="1" applyFill="1" applyAlignment="1">
      <alignment horizontal="center" vertical="center" wrapText="1"/>
    </xf>
    <xf numFmtId="17" fontId="19" fillId="0" borderId="0" xfId="0" applyNumberFormat="1" applyFont="1" applyAlignment="1">
      <alignment horizontal="center" vertical="center" wrapText="1"/>
    </xf>
    <xf numFmtId="14" fontId="21" fillId="0" borderId="0" xfId="0" applyNumberFormat="1" applyFont="1"/>
    <xf numFmtId="0" fontId="21" fillId="0" borderId="0" xfId="0" applyFont="1"/>
    <xf numFmtId="166" fontId="21" fillId="0" borderId="0" xfId="0" applyNumberFormat="1" applyFont="1"/>
    <xf numFmtId="166" fontId="21" fillId="0" borderId="0" xfId="0" applyNumberFormat="1" applyFont="1" applyAlignment="1">
      <alignment horizontal="center"/>
    </xf>
    <xf numFmtId="1" fontId="21" fillId="0" borderId="0" xfId="0" applyNumberFormat="1" applyFont="1" applyAlignment="1">
      <alignment horizontal="center"/>
    </xf>
    <xf numFmtId="174" fontId="21" fillId="0" borderId="0" xfId="0" applyNumberFormat="1" applyFont="1"/>
    <xf numFmtId="166" fontId="21" fillId="26" borderId="0" xfId="0" applyNumberFormat="1" applyFont="1" applyFill="1"/>
    <xf numFmtId="166" fontId="21" fillId="7" borderId="0" xfId="0" applyNumberFormat="1" applyFont="1" applyFill="1" applyAlignment="1">
      <alignment horizontal="center"/>
    </xf>
    <xf numFmtId="14" fontId="22" fillId="6" borderId="0" xfId="0" applyNumberFormat="1" applyFont="1" applyFill="1"/>
    <xf numFmtId="166" fontId="22" fillId="6" borderId="0" xfId="0" applyNumberFormat="1" applyFont="1" applyFill="1"/>
    <xf numFmtId="1" fontId="22" fillId="6" borderId="0" xfId="0" applyNumberFormat="1" applyFont="1" applyFill="1" applyAlignment="1">
      <alignment horizontal="center"/>
    </xf>
    <xf numFmtId="166" fontId="22" fillId="6" borderId="0" xfId="0" applyNumberFormat="1" applyFont="1" applyFill="1" applyAlignment="1">
      <alignment horizontal="center"/>
    </xf>
    <xf numFmtId="166" fontId="0" fillId="17" borderId="0" xfId="0" applyNumberFormat="1" applyFill="1"/>
    <xf numFmtId="166" fontId="23" fillId="2" borderId="0" xfId="0" applyNumberFormat="1" applyFont="1" applyFill="1" applyAlignment="1">
      <alignment horizontal="center" vertical="center" wrapText="1"/>
    </xf>
    <xf numFmtId="166" fontId="21" fillId="29" borderId="0" xfId="0" applyNumberFormat="1" applyFont="1" applyFill="1" applyAlignment="1">
      <alignment horizontal="center"/>
    </xf>
    <xf numFmtId="0" fontId="22" fillId="6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166" fontId="21" fillId="27" borderId="0" xfId="0" applyNumberFormat="1" applyFont="1" applyFill="1" applyAlignment="1">
      <alignment horizontal="center"/>
    </xf>
    <xf numFmtId="14" fontId="21" fillId="0" borderId="0" xfId="0" applyNumberFormat="1" applyFont="1" applyAlignment="1">
      <alignment horizontal="center"/>
    </xf>
    <xf numFmtId="14" fontId="22" fillId="6" borderId="0" xfId="0" applyNumberFormat="1" applyFont="1" applyFill="1" applyAlignment="1">
      <alignment horizontal="center"/>
    </xf>
    <xf numFmtId="166" fontId="21" fillId="17" borderId="0" xfId="16" applyNumberFormat="1" applyFont="1" applyFill="1"/>
    <xf numFmtId="166" fontId="23" fillId="3" borderId="0" xfId="0" applyNumberFormat="1" applyFont="1" applyFill="1" applyAlignment="1">
      <alignment horizontal="center" vertical="center" wrapText="1"/>
    </xf>
    <xf numFmtId="166" fontId="1" fillId="28" borderId="0" xfId="0" applyNumberFormat="1" applyFont="1" applyFill="1"/>
    <xf numFmtId="166" fontId="1" fillId="8" borderId="0" xfId="0" applyNumberFormat="1" applyFont="1" applyFill="1"/>
    <xf numFmtId="166" fontId="1" fillId="6" borderId="0" xfId="0" applyNumberFormat="1" applyFont="1" applyFill="1" applyAlignment="1">
      <alignment horizontal="center"/>
    </xf>
    <xf numFmtId="14" fontId="24" fillId="0" borderId="0" xfId="0" applyNumberFormat="1" applyFont="1"/>
    <xf numFmtId="0" fontId="24" fillId="0" borderId="0" xfId="0" applyFont="1"/>
    <xf numFmtId="166" fontId="24" fillId="0" borderId="0" xfId="0" applyNumberFormat="1" applyFont="1"/>
    <xf numFmtId="1" fontId="24" fillId="0" borderId="0" xfId="0" applyNumberFormat="1" applyFont="1" applyAlignment="1">
      <alignment horizontal="center"/>
    </xf>
    <xf numFmtId="166" fontId="24" fillId="26" borderId="0" xfId="0" applyNumberFormat="1" applyFont="1" applyFill="1"/>
    <xf numFmtId="0" fontId="24" fillId="0" borderId="0" xfId="0" applyFont="1" applyAlignment="1">
      <alignment horizontal="center"/>
    </xf>
    <xf numFmtId="166" fontId="24" fillId="7" borderId="0" xfId="0" applyNumberFormat="1" applyFont="1" applyFill="1" applyAlignment="1">
      <alignment horizontal="center"/>
    </xf>
    <xf numFmtId="166" fontId="24" fillId="27" borderId="0" xfId="0" applyNumberFormat="1" applyFont="1" applyFill="1" applyAlignment="1">
      <alignment horizontal="center"/>
    </xf>
    <xf numFmtId="166" fontId="24" fillId="0" borderId="0" xfId="0" applyNumberFormat="1" applyFont="1" applyAlignment="1">
      <alignment horizontal="center"/>
    </xf>
    <xf numFmtId="166" fontId="24" fillId="29" borderId="0" xfId="0" applyNumberFormat="1" applyFont="1" applyFill="1" applyAlignment="1">
      <alignment horizontal="center"/>
    </xf>
    <xf numFmtId="17" fontId="25" fillId="0" borderId="0" xfId="0" applyNumberFormat="1" applyFont="1" applyAlignment="1">
      <alignment horizontal="center" vertical="center" wrapText="1"/>
    </xf>
    <xf numFmtId="166" fontId="24" fillId="17" borderId="0" xfId="16" applyNumberFormat="1" applyFont="1" applyFill="1"/>
    <xf numFmtId="166" fontId="23" fillId="17" borderId="0" xfId="0" applyNumberFormat="1" applyFont="1" applyFill="1" applyAlignment="1">
      <alignment horizontal="center" vertical="center" wrapText="1"/>
    </xf>
    <xf numFmtId="0" fontId="0" fillId="30" borderId="0" xfId="0" applyFill="1" applyAlignment="1">
      <alignment horizontal="center"/>
    </xf>
    <xf numFmtId="166" fontId="0" fillId="5" borderId="0" xfId="0" applyNumberFormat="1" applyFill="1"/>
    <xf numFmtId="166" fontId="0" fillId="20" borderId="23" xfId="0" applyNumberFormat="1" applyFill="1" applyBorder="1"/>
    <xf numFmtId="0" fontId="0" fillId="32" borderId="0" xfId="0" applyFill="1"/>
    <xf numFmtId="41" fontId="0" fillId="32" borderId="0" xfId="16" applyFont="1" applyFill="1"/>
    <xf numFmtId="172" fontId="26" fillId="0" borderId="0" xfId="12" applyNumberFormat="1" applyFont="1" applyBorder="1"/>
    <xf numFmtId="172" fontId="26" fillId="0" borderId="4" xfId="12" applyNumberFormat="1" applyFont="1" applyBorder="1"/>
    <xf numFmtId="172" fontId="26" fillId="3" borderId="4" xfId="12" applyNumberFormat="1" applyFont="1" applyFill="1" applyBorder="1"/>
    <xf numFmtId="172" fontId="12" fillId="0" borderId="0" xfId="12" applyNumberFormat="1" applyFont="1" applyBorder="1"/>
    <xf numFmtId="172" fontId="0" fillId="0" borderId="24" xfId="12" applyNumberFormat="1" applyFont="1" applyBorder="1" applyAlignment="1">
      <alignment horizontal="left" indent="3"/>
    </xf>
    <xf numFmtId="172" fontId="0" fillId="0" borderId="24" xfId="4" applyNumberFormat="1" applyFont="1" applyBorder="1" applyAlignment="1">
      <alignment horizontal="left" vertical="center" wrapText="1"/>
    </xf>
    <xf numFmtId="0" fontId="0" fillId="0" borderId="25" xfId="0" applyBorder="1"/>
    <xf numFmtId="172" fontId="12" fillId="0" borderId="24" xfId="12" applyNumberFormat="1" applyFont="1" applyBorder="1"/>
    <xf numFmtId="172" fontId="0" fillId="35" borderId="24" xfId="12" applyNumberFormat="1" applyFont="1" applyFill="1" applyBorder="1" applyAlignment="1">
      <alignment horizontal="left" indent="3"/>
    </xf>
    <xf numFmtId="172" fontId="0" fillId="35" borderId="24" xfId="4" applyNumberFormat="1" applyFont="1" applyFill="1" applyBorder="1" applyAlignment="1">
      <alignment horizontal="left" vertical="center" wrapText="1"/>
    </xf>
    <xf numFmtId="0" fontId="0" fillId="35" borderId="25" xfId="0" applyFill="1" applyBorder="1"/>
    <xf numFmtId="172" fontId="12" fillId="35" borderId="24" xfId="12" applyNumberFormat="1" applyFont="1" applyFill="1" applyBorder="1"/>
    <xf numFmtId="172" fontId="0" fillId="0" borderId="26" xfId="4" applyNumberFormat="1" applyFont="1" applyBorder="1" applyAlignment="1">
      <alignment horizontal="center"/>
    </xf>
    <xf numFmtId="172" fontId="27" fillId="33" borderId="4" xfId="17" applyNumberFormat="1" applyBorder="1" applyAlignment="1">
      <alignment horizontal="left"/>
    </xf>
    <xf numFmtId="172" fontId="28" fillId="34" borderId="4" xfId="18" applyNumberFormat="1" applyBorder="1" applyAlignment="1">
      <alignment horizontal="left" vertical="center" wrapText="1"/>
    </xf>
    <xf numFmtId="0" fontId="13" fillId="0" borderId="3" xfId="0" applyFont="1" applyBorder="1"/>
    <xf numFmtId="172" fontId="12" fillId="0" borderId="11" xfId="12" applyNumberFormat="1" applyFont="1" applyBorder="1"/>
    <xf numFmtId="0" fontId="5" fillId="11" borderId="10" xfId="0" applyFont="1" applyFill="1" applyBorder="1" applyAlignment="1">
      <alignment horizontal="center" vertical="center" wrapText="1"/>
    </xf>
    <xf numFmtId="172" fontId="26" fillId="0" borderId="11" xfId="12" applyNumberFormat="1" applyFont="1" applyBorder="1"/>
    <xf numFmtId="0" fontId="5" fillId="5" borderId="2" xfId="0" applyFont="1" applyFill="1" applyBorder="1" applyAlignment="1">
      <alignment horizontal="center" vertical="center" wrapText="1"/>
    </xf>
    <xf numFmtId="172" fontId="12" fillId="0" borderId="3" xfId="12" applyNumberFormat="1" applyFont="1" applyBorder="1"/>
    <xf numFmtId="172" fontId="12" fillId="19" borderId="4" xfId="12" applyNumberFormat="1" applyFont="1" applyFill="1" applyBorder="1"/>
    <xf numFmtId="172" fontId="29" fillId="19" borderId="4" xfId="12" applyNumberFormat="1" applyFont="1" applyFill="1" applyBorder="1"/>
    <xf numFmtId="172" fontId="26" fillId="19" borderId="4" xfId="12" applyNumberFormat="1" applyFont="1" applyFill="1" applyBorder="1"/>
    <xf numFmtId="172" fontId="26" fillId="19" borderId="0" xfId="12" applyNumberFormat="1" applyFont="1" applyFill="1" applyBorder="1"/>
    <xf numFmtId="0" fontId="12" fillId="19" borderId="4" xfId="0" applyFont="1" applyFill="1" applyBorder="1" applyAlignment="1">
      <alignment horizontal="center"/>
    </xf>
    <xf numFmtId="172" fontId="12" fillId="19" borderId="4" xfId="12" applyNumberFormat="1" applyFont="1" applyFill="1" applyBorder="1" applyAlignment="1">
      <alignment horizontal="center"/>
    </xf>
    <xf numFmtId="172" fontId="26" fillId="19" borderId="4" xfId="12" applyNumberFormat="1" applyFont="1" applyFill="1" applyBorder="1" applyAlignment="1">
      <alignment horizontal="center"/>
    </xf>
    <xf numFmtId="166" fontId="0" fillId="37" borderId="0" xfId="0" applyNumberFormat="1" applyFill="1"/>
    <xf numFmtId="166" fontId="0" fillId="38" borderId="0" xfId="0" applyNumberFormat="1" applyFill="1"/>
    <xf numFmtId="0" fontId="5" fillId="36" borderId="27" xfId="0" applyFont="1" applyFill="1" applyBorder="1"/>
    <xf numFmtId="0" fontId="0" fillId="31" borderId="27" xfId="0" applyFill="1" applyBorder="1"/>
    <xf numFmtId="0" fontId="0" fillId="0" borderId="27" xfId="0" applyBorder="1"/>
    <xf numFmtId="0" fontId="5" fillId="36" borderId="0" xfId="0" applyFont="1" applyFill="1"/>
    <xf numFmtId="0" fontId="0" fillId="0" borderId="0" xfId="0" applyAlignment="1">
      <alignment horizontal="left"/>
    </xf>
    <xf numFmtId="41" fontId="0" fillId="0" borderId="0" xfId="0" applyNumberFormat="1"/>
    <xf numFmtId="0" fontId="9" fillId="40" borderId="29" xfId="0" applyFont="1" applyFill="1" applyBorder="1" applyAlignment="1">
      <alignment horizontal="center"/>
    </xf>
    <xf numFmtId="41" fontId="0" fillId="0" borderId="30" xfId="0" applyNumberFormat="1" applyBorder="1"/>
    <xf numFmtId="41" fontId="1" fillId="0" borderId="31" xfId="0" applyNumberFormat="1" applyFont="1" applyBorder="1"/>
    <xf numFmtId="0" fontId="1" fillId="0" borderId="31" xfId="0" applyFont="1" applyBorder="1" applyAlignment="1">
      <alignment horizontal="left"/>
    </xf>
    <xf numFmtId="9" fontId="0" fillId="0" borderId="30" xfId="3" applyFont="1" applyBorder="1"/>
    <xf numFmtId="9" fontId="1" fillId="0" borderId="31" xfId="3" applyFont="1" applyBorder="1"/>
    <xf numFmtId="0" fontId="9" fillId="40" borderId="28" xfId="0" applyFont="1" applyFill="1" applyBorder="1" applyAlignment="1">
      <alignment horizontal="center"/>
    </xf>
    <xf numFmtId="41" fontId="0" fillId="29" borderId="0" xfId="0" applyNumberFormat="1" applyFill="1"/>
    <xf numFmtId="9" fontId="0" fillId="2" borderId="30" xfId="3" applyFont="1" applyFill="1" applyBorder="1"/>
    <xf numFmtId="0" fontId="11" fillId="42" borderId="30" xfId="0" applyFont="1" applyFill="1" applyBorder="1" applyAlignment="1">
      <alignment horizontal="left"/>
    </xf>
    <xf numFmtId="0" fontId="30" fillId="43" borderId="30" xfId="0" applyFont="1" applyFill="1" applyBorder="1" applyAlignment="1">
      <alignment horizontal="left"/>
    </xf>
    <xf numFmtId="0" fontId="30" fillId="22" borderId="30" xfId="0" applyFont="1" applyFill="1" applyBorder="1" applyAlignment="1">
      <alignment horizontal="left"/>
    </xf>
    <xf numFmtId="0" fontId="30" fillId="39" borderId="30" xfId="0" applyFont="1" applyFill="1" applyBorder="1" applyAlignment="1">
      <alignment horizontal="left"/>
    </xf>
    <xf numFmtId="41" fontId="31" fillId="0" borderId="30" xfId="0" applyNumberFormat="1" applyFont="1" applyBorder="1"/>
    <xf numFmtId="9" fontId="31" fillId="0" borderId="30" xfId="3" applyFont="1" applyBorder="1"/>
    <xf numFmtId="9" fontId="31" fillId="2" borderId="30" xfId="3" applyFont="1" applyFill="1" applyBorder="1"/>
    <xf numFmtId="41" fontId="32" fillId="0" borderId="0" xfId="0" applyNumberFormat="1" applyFont="1"/>
    <xf numFmtId="41" fontId="33" fillId="0" borderId="0" xfId="0" applyNumberFormat="1" applyFont="1"/>
    <xf numFmtId="41" fontId="33" fillId="29" borderId="0" xfId="0" applyNumberFormat="1" applyFont="1" applyFill="1"/>
    <xf numFmtId="41" fontId="0" fillId="0" borderId="30" xfId="16" applyFont="1" applyBorder="1"/>
    <xf numFmtId="41" fontId="0" fillId="2" borderId="30" xfId="16" applyFont="1" applyFill="1" applyBorder="1"/>
    <xf numFmtId="41" fontId="0" fillId="41" borderId="30" xfId="16" applyFont="1" applyFill="1" applyBorder="1"/>
    <xf numFmtId="41" fontId="31" fillId="0" borderId="30" xfId="16" applyFont="1" applyBorder="1"/>
    <xf numFmtId="41" fontId="31" fillId="2" borderId="30" xfId="16" applyFont="1" applyFill="1" applyBorder="1"/>
    <xf numFmtId="41" fontId="31" fillId="41" borderId="30" xfId="16" applyFont="1" applyFill="1" applyBorder="1"/>
    <xf numFmtId="0" fontId="0" fillId="39" borderId="0" xfId="0" applyFill="1" applyAlignment="1">
      <alignment horizontal="left"/>
    </xf>
    <xf numFmtId="0" fontId="11" fillId="42" borderId="0" xfId="0" applyFont="1" applyFill="1" applyAlignment="1">
      <alignment horizontal="left"/>
    </xf>
    <xf numFmtId="0" fontId="30" fillId="43" borderId="33" xfId="0" applyFont="1" applyFill="1" applyBorder="1" applyAlignment="1">
      <alignment horizontal="left"/>
    </xf>
    <xf numFmtId="41" fontId="31" fillId="0" borderId="33" xfId="0" applyNumberFormat="1" applyFont="1" applyBorder="1"/>
    <xf numFmtId="9" fontId="31" fillId="0" borderId="33" xfId="3" applyFont="1" applyBorder="1"/>
    <xf numFmtId="9" fontId="31" fillId="2" borderId="33" xfId="3" applyFont="1" applyFill="1" applyBorder="1"/>
    <xf numFmtId="0" fontId="11" fillId="42" borderId="32" xfId="0" applyFont="1" applyFill="1" applyBorder="1" applyAlignment="1">
      <alignment horizontal="left"/>
    </xf>
    <xf numFmtId="41" fontId="0" fillId="0" borderId="32" xfId="0" applyNumberFormat="1" applyBorder="1"/>
    <xf numFmtId="9" fontId="0" fillId="0" borderId="32" xfId="3" applyFont="1" applyBorder="1"/>
    <xf numFmtId="9" fontId="0" fillId="2" borderId="32" xfId="3" applyFont="1" applyFill="1" applyBorder="1"/>
    <xf numFmtId="174" fontId="1" fillId="0" borderId="31" xfId="0" applyNumberFormat="1" applyFont="1" applyBorder="1"/>
    <xf numFmtId="174" fontId="1" fillId="0" borderId="31" xfId="16" applyNumberFormat="1" applyFont="1" applyBorder="1"/>
    <xf numFmtId="0" fontId="9" fillId="40" borderId="0" xfId="0" applyFont="1" applyFill="1" applyAlignment="1">
      <alignment horizontal="center"/>
    </xf>
    <xf numFmtId="41" fontId="33" fillId="0" borderId="30" xfId="0" applyNumberFormat="1" applyFont="1" applyBorder="1"/>
    <xf numFmtId="0" fontId="34" fillId="40" borderId="29" xfId="0" applyFont="1" applyFill="1" applyBorder="1" applyAlignment="1">
      <alignment horizontal="center"/>
    </xf>
    <xf numFmtId="9" fontId="0" fillId="0" borderId="33" xfId="3" applyFont="1" applyBorder="1"/>
    <xf numFmtId="9" fontId="0" fillId="0" borderId="34" xfId="3" applyFont="1" applyBorder="1"/>
    <xf numFmtId="41" fontId="0" fillId="44" borderId="0" xfId="0" applyNumberFormat="1" applyFill="1"/>
    <xf numFmtId="41" fontId="33" fillId="44" borderId="0" xfId="0" applyNumberFormat="1" applyFont="1" applyFill="1"/>
    <xf numFmtId="0" fontId="35" fillId="43" borderId="0" xfId="0" applyFont="1" applyFill="1" applyAlignment="1">
      <alignment horizontal="left"/>
    </xf>
    <xf numFmtId="42" fontId="0" fillId="0" borderId="0" xfId="0" applyNumberFormat="1"/>
    <xf numFmtId="166" fontId="37" fillId="37" borderId="0" xfId="0" applyNumberFormat="1" applyFont="1" applyFill="1"/>
    <xf numFmtId="1" fontId="21" fillId="3" borderId="0" xfId="0" applyNumberFormat="1" applyFont="1" applyFill="1" applyAlignment="1">
      <alignment horizontal="center"/>
    </xf>
    <xf numFmtId="1" fontId="24" fillId="3" borderId="0" xfId="0" applyNumberFormat="1" applyFont="1" applyFill="1" applyAlignment="1">
      <alignment horizontal="center"/>
    </xf>
    <xf numFmtId="172" fontId="26" fillId="19" borderId="0" xfId="0" applyNumberFormat="1" applyFont="1" applyFill="1"/>
    <xf numFmtId="0" fontId="5" fillId="46" borderId="2" xfId="0" applyFont="1" applyFill="1" applyBorder="1" applyAlignment="1">
      <alignment horizontal="center" vertical="center" wrapText="1"/>
    </xf>
    <xf numFmtId="0" fontId="23" fillId="41" borderId="6" xfId="0" applyFont="1" applyFill="1" applyBorder="1" applyAlignment="1">
      <alignment horizontal="center" vertical="center" wrapText="1"/>
    </xf>
    <xf numFmtId="172" fontId="12" fillId="3" borderId="3" xfId="12" applyNumberFormat="1" applyFont="1" applyFill="1" applyBorder="1"/>
    <xf numFmtId="172" fontId="26" fillId="2" borderId="0" xfId="12" applyNumberFormat="1" applyFont="1" applyFill="1" applyBorder="1"/>
    <xf numFmtId="0" fontId="5" fillId="46" borderId="6" xfId="0" applyFont="1" applyFill="1" applyBorder="1" applyAlignment="1">
      <alignment horizontal="center" vertical="center" wrapText="1"/>
    </xf>
    <xf numFmtId="172" fontId="13" fillId="2" borderId="4" xfId="0" applyNumberFormat="1" applyFont="1" applyFill="1" applyBorder="1"/>
    <xf numFmtId="172" fontId="12" fillId="2" borderId="0" xfId="12" applyNumberFormat="1" applyFont="1" applyFill="1" applyBorder="1"/>
    <xf numFmtId="41" fontId="0" fillId="47" borderId="0" xfId="0" applyNumberFormat="1" applyFill="1"/>
    <xf numFmtId="41" fontId="33" fillId="47" borderId="0" xfId="0" applyNumberFormat="1" applyFont="1" applyFill="1"/>
    <xf numFmtId="41" fontId="32" fillId="48" borderId="0" xfId="0" applyNumberFormat="1" applyFont="1" applyFill="1"/>
    <xf numFmtId="41" fontId="0" fillId="48" borderId="0" xfId="0" applyNumberFormat="1" applyFill="1"/>
    <xf numFmtId="41" fontId="38" fillId="48" borderId="0" xfId="0" applyNumberFormat="1" applyFont="1" applyFill="1"/>
    <xf numFmtId="0" fontId="13" fillId="2" borderId="4" xfId="0" applyFont="1" applyFill="1" applyBorder="1"/>
    <xf numFmtId="172" fontId="39" fillId="0" borderId="0" xfId="12" applyNumberFormat="1" applyFont="1" applyBorder="1"/>
    <xf numFmtId="0" fontId="5" fillId="0" borderId="6" xfId="0" applyFont="1" applyBorder="1" applyAlignment="1">
      <alignment horizontal="center" vertical="center" wrapText="1"/>
    </xf>
    <xf numFmtId="172" fontId="28" fillId="34" borderId="0" xfId="18" applyNumberFormat="1" applyBorder="1" applyAlignment="1">
      <alignment horizontal="center"/>
    </xf>
    <xf numFmtId="172" fontId="27" fillId="33" borderId="0" xfId="17" applyNumberFormat="1" applyBorder="1" applyAlignment="1">
      <alignment horizontal="center"/>
    </xf>
    <xf numFmtId="172" fontId="28" fillId="34" borderId="0" xfId="18" applyNumberFormat="1" applyBorder="1"/>
    <xf numFmtId="0" fontId="21" fillId="7" borderId="2" xfId="0" applyFont="1" applyFill="1" applyBorder="1" applyAlignment="1">
      <alignment horizontal="left" indent="2"/>
    </xf>
    <xf numFmtId="0" fontId="1" fillId="45" borderId="0" xfId="0" applyFont="1" applyFill="1"/>
    <xf numFmtId="41" fontId="32" fillId="17" borderId="0" xfId="0" applyNumberFormat="1" applyFont="1" applyFill="1"/>
    <xf numFmtId="41" fontId="0" fillId="17" borderId="0" xfId="0" applyNumberFormat="1" applyFill="1"/>
    <xf numFmtId="0" fontId="0" fillId="3" borderId="0" xfId="16" applyNumberFormat="1" applyFont="1" applyFill="1" applyAlignment="1">
      <alignment horizontal="center" vertical="center"/>
    </xf>
    <xf numFmtId="0" fontId="5" fillId="36" borderId="35" xfId="0" applyFont="1" applyFill="1" applyBorder="1"/>
    <xf numFmtId="14" fontId="0" fillId="31" borderId="35" xfId="0" applyNumberFormat="1" applyFill="1" applyBorder="1"/>
    <xf numFmtId="14" fontId="0" fillId="31" borderId="27" xfId="0" applyNumberFormat="1" applyFill="1" applyBorder="1"/>
    <xf numFmtId="14" fontId="0" fillId="0" borderId="27" xfId="0" applyNumberFormat="1" applyBorder="1"/>
    <xf numFmtId="166" fontId="0" fillId="17" borderId="27" xfId="0" applyNumberFormat="1" applyFill="1" applyBorder="1"/>
    <xf numFmtId="0" fontId="5" fillId="45" borderId="27" xfId="0" applyFont="1" applyFill="1" applyBorder="1" applyAlignment="1">
      <alignment horizontal="center"/>
    </xf>
    <xf numFmtId="0" fontId="5" fillId="49" borderId="36" xfId="0" applyFont="1" applyFill="1" applyBorder="1" applyAlignment="1">
      <alignment horizontal="center" vertical="center" wrapText="1"/>
    </xf>
    <xf numFmtId="14" fontId="21" fillId="23" borderId="36" xfId="0" applyNumberFormat="1" applyFont="1" applyFill="1" applyBorder="1"/>
    <xf numFmtId="0" fontId="21" fillId="23" borderId="36" xfId="0" applyFont="1" applyFill="1" applyBorder="1"/>
    <xf numFmtId="14" fontId="21" fillId="0" borderId="36" xfId="0" applyNumberFormat="1" applyFont="1" applyBorder="1"/>
    <xf numFmtId="0" fontId="21" fillId="0" borderId="36" xfId="0" applyFont="1" applyBorder="1"/>
    <xf numFmtId="0" fontId="0" fillId="0" borderId="37" xfId="0" applyBorder="1"/>
    <xf numFmtId="166" fontId="0" fillId="0" borderId="0" xfId="4" applyNumberFormat="1" applyFont="1"/>
    <xf numFmtId="167" fontId="5" fillId="36" borderId="27" xfId="2" applyNumberFormat="1" applyFont="1" applyFill="1" applyBorder="1"/>
    <xf numFmtId="167" fontId="0" fillId="3" borderId="0" xfId="2" applyNumberFormat="1" applyFont="1" applyFill="1"/>
    <xf numFmtId="166" fontId="0" fillId="31" borderId="0" xfId="4" applyNumberFormat="1" applyFont="1" applyFill="1" applyBorder="1"/>
    <xf numFmtId="166" fontId="0" fillId="7" borderId="19" xfId="0" applyNumberFormat="1" applyFill="1" applyBorder="1" applyAlignment="1">
      <alignment horizontal="center" vertical="center"/>
    </xf>
    <xf numFmtId="166" fontId="0" fillId="7" borderId="4" xfId="0" applyNumberFormat="1" applyFill="1" applyBorder="1" applyAlignment="1">
      <alignment horizontal="center" vertical="center"/>
    </xf>
    <xf numFmtId="166" fontId="0" fillId="7" borderId="3" xfId="0" applyNumberFormat="1" applyFill="1" applyBorder="1" applyAlignment="1">
      <alignment horizontal="center" vertical="center"/>
    </xf>
    <xf numFmtId="1" fontId="11" fillId="2" borderId="0" xfId="0" applyNumberFormat="1" applyFont="1" applyFill="1" applyAlignment="1">
      <alignment horizontal="center"/>
    </xf>
    <xf numFmtId="0" fontId="14" fillId="13" borderId="10" xfId="0" applyFont="1" applyFill="1" applyBorder="1" applyAlignment="1">
      <alignment horizontal="center" vertical="center" wrapText="1"/>
    </xf>
    <xf numFmtId="0" fontId="14" fillId="13" borderId="5" xfId="0" applyFont="1" applyFill="1" applyBorder="1" applyAlignment="1">
      <alignment horizontal="center" vertical="center" wrapText="1"/>
    </xf>
    <xf numFmtId="0" fontId="14" fillId="13" borderId="6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/>
    </xf>
  </cellXfs>
  <cellStyles count="19">
    <cellStyle name="Hipervínculo" xfId="1" builtinId="8"/>
    <cellStyle name="Incorrecto" xfId="17" builtinId="27"/>
    <cellStyle name="Millares" xfId="2" builtinId="3"/>
    <cellStyle name="Millares [0]" xfId="16" builtinId="6"/>
    <cellStyle name="Millares 2" xfId="7" xr:uid="{00000000-0005-0000-0000-000004000000}"/>
    <cellStyle name="Millares 3" xfId="9" xr:uid="{00000000-0005-0000-0000-000005000000}"/>
    <cellStyle name="Millares 3 2" xfId="15" xr:uid="{00000000-0005-0000-0000-000006000000}"/>
    <cellStyle name="Millares 4" xfId="13" xr:uid="{00000000-0005-0000-0000-000007000000}"/>
    <cellStyle name="Millares 4 2" xfId="14" xr:uid="{00000000-0005-0000-0000-000008000000}"/>
    <cellStyle name="Moneda" xfId="4" builtinId="4"/>
    <cellStyle name="Moneda 2" xfId="5" xr:uid="{00000000-0005-0000-0000-00000A000000}"/>
    <cellStyle name="Moneda 3" xfId="12" xr:uid="{00000000-0005-0000-0000-00000B000000}"/>
    <cellStyle name="Neutral" xfId="18" builtinId="28"/>
    <cellStyle name="Normal" xfId="0" builtinId="0"/>
    <cellStyle name="Normal 2" xfId="6" xr:uid="{00000000-0005-0000-0000-00000E000000}"/>
    <cellStyle name="Normal 3" xfId="10" xr:uid="{00000000-0005-0000-0000-00000F000000}"/>
    <cellStyle name="Normal 5" xfId="8" xr:uid="{00000000-0005-0000-0000-000010000000}"/>
    <cellStyle name="Porcentaje" xfId="3" builtinId="5"/>
    <cellStyle name="Porcentaje 2" xfId="11" xr:uid="{00000000-0005-0000-0000-000012000000}"/>
  </cellStyles>
  <dxfs count="29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 tint="-0.499984740745262"/>
      </font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 tint="-0.499984740745262"/>
      </font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 tint="-0.499984740745262"/>
      </font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CCCCFF"/>
        </patternFill>
      </fill>
    </dxf>
    <dxf>
      <font>
        <b val="0"/>
        <strike val="0"/>
        <outline val="0"/>
        <shadow val="0"/>
        <u val="none"/>
        <vertAlign val="baseline"/>
        <sz val="9"/>
      </font>
      <numFmt numFmtId="166" formatCode="_-[$$-240A]\ * #,##0_-;\-[$$-240A]\ * #,##0_-;_-[$$-240A]\ * &quot;-&quot;??_-;_-@_-"/>
      <fill>
        <patternFill patternType="solid">
          <fgColor indexed="64"/>
          <bgColor rgb="FFFFFFA3"/>
        </patternFill>
      </fill>
    </dxf>
    <dxf>
      <font>
        <strike val="0"/>
        <outline val="0"/>
        <shadow val="0"/>
        <u val="none"/>
        <vertAlign val="baseline"/>
        <sz val="9"/>
      </font>
      <numFmt numFmtId="174" formatCode="#,##0_ ;[Red]\-#,##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66" formatCode="_-[$$-240A]\ * #,##0_-;\-[$$-240A]\ * #,##0_-;_-[$$-240A]\ * &quot;-&quot;??_-;_-@_-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numFmt numFmtId="1" formatCode="0"/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66" formatCode="_-[$$-240A]\ * #,##0_-;\-[$$-240A]\ * #,##0_-;_-[$$-240A]\ * &quot;-&quot;??_-;_-@_-"/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166" formatCode="_-[$$-240A]\ * #,##0_-;\-[$$-240A]\ * #,##0_-;_-[$$-240A]\ * &quot;-&quot;??_-;_-@_-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w Cen MT"/>
        <scheme val="minor"/>
      </font>
      <numFmt numFmtId="166" formatCode="_-[$$-240A]\ * #,##0_-;\-[$$-240A]\ * #,##0_-;_-[$$-240A]\ * &quot;-&quot;??_-;_-@_-"/>
      <fill>
        <patternFill patternType="solid">
          <fgColor indexed="64"/>
          <bgColor theme="6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66" formatCode="_-[$$-240A]\ * #,##0_-;\-[$$-240A]\ * #,##0_-;_-[$$-240A]\ * &quot;-&quot;??_-;_-@_-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166" formatCode="_-[$$-240A]\ * #,##0_-;\-[$$-240A]\ * #,##0_-;_-[$$-240A]\ * &quot;-&quot;??_-;_-@_-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66" formatCode="_-[$$-240A]\ * #,##0_-;\-[$$-240A]\ * #,##0_-;_-[$$-240A]\ * &quot;-&quot;??_-;_-@_-"/>
      <fill>
        <patternFill patternType="solid">
          <fgColor indexed="64"/>
          <bgColor rgb="FFFFA3A5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</dxf>
    <dxf>
      <numFmt numFmtId="175" formatCode="dd/mm/yyyy"/>
    </dxf>
    <dxf>
      <font>
        <strike val="0"/>
        <outline val="0"/>
        <shadow val="0"/>
        <u val="none"/>
        <vertAlign val="baseline"/>
        <sz val="9"/>
        <color theme="1"/>
        <name val="Tw Cen MT"/>
        <scheme val="minor"/>
      </font>
      <numFmt numFmtId="175" formatCode="dd/mm/yyyy"/>
    </dxf>
    <dxf>
      <font>
        <strike val="0"/>
        <outline val="0"/>
        <shadow val="0"/>
        <u val="none"/>
        <vertAlign val="baseline"/>
        <sz val="9"/>
        <color theme="1"/>
        <name val="Tw Cen MT"/>
        <scheme val="minor"/>
      </font>
      <numFmt numFmtId="175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alignment horizontal="center" vertical="center" textRotation="0" wrapText="1" indent="0" justifyLastLine="0" shrinkToFit="0" readingOrder="0"/>
    </dxf>
    <dxf>
      <fill>
        <patternFill>
          <fgColor indexed="64"/>
          <bgColor theme="8" tint="0.79998168889431442"/>
        </patternFill>
      </fill>
    </dxf>
    <dxf>
      <fill>
        <patternFill>
          <bgColor rgb="FFFFFFA3"/>
        </patternFill>
      </fill>
    </dxf>
    <dxf>
      <fill>
        <patternFill>
          <bgColor rgb="FFFFFFA3"/>
        </patternFill>
      </fill>
    </dxf>
    <dxf>
      <fill>
        <patternFill>
          <bgColor rgb="FFFFFFA3"/>
        </patternFill>
      </fill>
    </dxf>
    <dxf>
      <font>
        <b/>
      </font>
    </dxf>
    <dxf>
      <font>
        <color rgb="FFC0000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>
          <fgColor rgb="FFFFCCFF"/>
        </patternFill>
      </fill>
    </dxf>
    <dxf>
      <fill>
        <patternFill>
          <fgColor indexed="64"/>
          <bgColor rgb="FFFFD44B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u/>
      </font>
      <fill>
        <patternFill>
          <fgColor rgb="FFFFD44B"/>
        </patternFill>
      </fill>
    </dxf>
    <dxf>
      <font>
        <color auto="1"/>
      </font>
      <fill>
        <patternFill patternType="solid">
          <fgColor indexed="64"/>
          <bgColor rgb="FFA3E7FF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4" tint="0.59999389629810485"/>
        </patternFill>
      </fill>
    </dxf>
    <dxf>
      <font>
        <color theme="0"/>
      </font>
      <fill>
        <patternFill patternType="solid">
          <fgColor theme="5" tint="-0.249977111117893"/>
          <bgColor theme="5" tint="-0.249977111117893"/>
        </patternFill>
      </fill>
    </dxf>
    <dxf>
      <font>
        <color rgb="FF0070C0"/>
      </font>
    </dxf>
    <dxf>
      <font>
        <color rgb="FF0070C0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color auto="1"/>
      </font>
      <fill>
        <patternFill patternType="solid">
          <fgColor indexed="64"/>
          <bgColor rgb="FFA3E7FF"/>
        </patternFill>
      </fill>
    </dxf>
    <dxf>
      <font>
        <color auto="1"/>
      </font>
      <fill>
        <patternFill patternType="solid">
          <fgColor indexed="64"/>
          <bgColor rgb="FFA3E7FF"/>
        </patternFill>
      </fill>
    </dxf>
    <dxf>
      <fill>
        <patternFill patternType="solid">
          <fgColor indexed="64"/>
          <bgColor rgb="FFCCCCFF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alignment horizontal="center"/>
    </dxf>
    <dxf>
      <alignment horizontal="center"/>
    </dxf>
    <dxf>
      <alignment horizontal="center"/>
    </dxf>
    <dxf>
      <numFmt numFmtId="33" formatCode="_-* #,##0_-;\-* #,##0_-;_-* &quot;-&quot;_-;_-@_-"/>
    </dxf>
    <dxf>
      <fill>
        <patternFill>
          <fgColor indexed="64"/>
          <bgColor rgb="FFFFD44B"/>
        </patternFill>
      </fill>
    </dxf>
    <dxf>
      <font>
        <u/>
      </font>
      <fill>
        <patternFill>
          <fgColor rgb="FFFFD44B"/>
        </patternFill>
      </fill>
    </dxf>
    <dxf>
      <font>
        <color auto="1"/>
      </font>
      <fill>
        <patternFill patternType="solid">
          <fgColor indexed="64"/>
          <bgColor rgb="FFA3E7FF"/>
        </patternFill>
      </fill>
    </dxf>
    <dxf>
      <font>
        <color theme="0"/>
      </font>
      <fill>
        <patternFill patternType="solid">
          <fgColor theme="5" tint="-0.249977111117893"/>
          <bgColor theme="5" tint="-0.249977111117893"/>
        </patternFill>
      </fill>
    </dxf>
    <dxf>
      <font>
        <color rgb="FF0070C0"/>
      </font>
    </dxf>
    <dxf>
      <font>
        <u val="singleAccounting"/>
      </font>
    </dxf>
    <dxf>
      <font>
        <color auto="1"/>
      </font>
      <fill>
        <patternFill patternType="solid">
          <fgColor indexed="64"/>
          <bgColor rgb="FFA3E7FF"/>
        </patternFill>
      </fill>
    </dxf>
    <dxf>
      <font>
        <color auto="1"/>
      </font>
      <fill>
        <patternFill patternType="solid">
          <fgColor indexed="64"/>
          <bgColor rgb="FFA3E7FF"/>
        </patternFill>
      </fill>
    </dxf>
    <dxf>
      <fill>
        <patternFill patternType="solid">
          <fgColor indexed="64"/>
          <bgColor rgb="FFCCCCFF"/>
        </patternFill>
      </fill>
    </dxf>
    <dxf>
      <alignment horizontal="center"/>
    </dxf>
    <dxf>
      <alignment horizontal="center"/>
    </dxf>
    <dxf>
      <numFmt numFmtId="33" formatCode="_-* #,##0_-;\-* #,##0_-;_-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Tw Cen MT"/>
        <scheme val="minor"/>
      </font>
      <numFmt numFmtId="172" formatCode="_-&quot;$&quot;\ * #,##0_-;\-&quot;$&quot;\ * #,##0_-;_-&quot;$&quot;\ * &quot;-&quot;??_-;_-@_-"/>
      <alignment horizontal="center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numFmt numFmtId="172" formatCode="_-&quot;$&quot;\ * #,##0_-;\-&quot;$&quot;\ * #,##0_-;_-&quot;$&quot;\ * &quot;-&quot;??_-;_-@_-"/>
      <alignment horizontal="left" vertical="bottom" textRotation="0" wrapText="0" indent="3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numFmt numFmtId="172" formatCode="_-&quot;$&quot;\ * #,##0_-;\-&quot;$&quot;\ * #,##0_-;_-&quot;$&quot;\ * &quot;-&quot;??_-;_-@_-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</font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Gill Sans MT"/>
        <scheme val="none"/>
      </font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scheme val="none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Gill Sans MT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fill>
        <patternFill patternType="solid">
          <fgColor indexed="64"/>
          <bgColor theme="6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fill>
        <patternFill patternType="solid">
          <fgColor indexed="64"/>
          <bgColor theme="6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fill>
        <patternFill>
          <fgColor indexed="64"/>
          <bgColor theme="6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0000"/>
        <name val="Gill Sans MT"/>
        <scheme val="none"/>
      </font>
      <numFmt numFmtId="172" formatCode="_-&quot;$&quot;\ * #,##0_-;\-&quot;$&quot;\ * #,##0_-;_-&quot;$&quot;\ * &quot;-&quot;??_-;_-@_-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0000"/>
        <name val="Gill Sans MT"/>
        <scheme val="none"/>
      </font>
      <numFmt numFmtId="172" formatCode="_-&quot;$&quot;\ * #,##0_-;\-&quot;$&quot;\ * #,##0_-;_-&quot;$&quot;\ * &quot;-&quot;??_-;_-@_-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fill>
        <patternFill patternType="solid">
          <fgColor indexed="64"/>
          <bgColor theme="6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numFmt numFmtId="172" formatCode="_-&quot;$&quot;\ * #,##0_-;\-&quot;$&quot;\ * #,##0_-;_-&quot;$&quot;\ * &quot;-&quot;??_-;_-@_-"/>
      <alignment horizontal="left" vertical="bottom" textRotation="0" wrapText="0" indent="3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numFmt numFmtId="172" formatCode="_-&quot;$&quot;\ * #,##0_-;\-&quot;$&quot;\ * #,##0_-;_-&quot;$&quot;\ * &quot;-&quot;??_-;_-@_-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Tw Cen MT"/>
        <scheme val="minor"/>
      </font>
      <numFmt numFmtId="172" formatCode="_-&quot;$&quot;\ * #,##0_-;\-&quot;$&quot;\ * #,##0_-;_-&quot;$&quot;\ * &quot;-&quot;??_-;_-@_-"/>
      <alignment horizontal="center" textRotation="0" indent="0" justifyLastLine="0" shrinkToFit="0" readingOrder="0"/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Gill Sans MT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166" formatCode="_-[$$-240A]\ * #,##0_-;\-[$$-240A]\ * #,##0_-;_-[$$-240A]\ * &quot;-&quot;??_-;_-@_-"/>
    </dxf>
    <dxf>
      <numFmt numFmtId="174" formatCode="#,##0_ ;[Red]\-#,##0\ "/>
    </dxf>
    <dxf>
      <numFmt numFmtId="174" formatCode="#,##0_ ;[Red]\-#,##0\ "/>
    </dxf>
    <dxf>
      <numFmt numFmtId="174" formatCode="#,##0_ ;[Red]\-#,##0\ "/>
    </dxf>
    <dxf>
      <font>
        <b/>
      </font>
    </dxf>
    <dxf>
      <font>
        <b val="0"/>
      </font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 style="thin">
          <color indexed="64"/>
        </top>
        <bottom style="medium">
          <color indexed="64"/>
        </bottom>
      </border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numFmt numFmtId="166" formatCode="_-[$$-240A]\ * #,##0_-;\-[$$-240A]\ * #,##0_-;_-[$$-240A]\ * &quot;-&quot;??_-;_-@_-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outline="0">
        <top style="thin">
          <color rgb="FF9FC8C6"/>
        </top>
      </border>
    </dxf>
    <dxf>
      <border outline="0">
        <left style="thin">
          <color rgb="FF9FC8C6"/>
        </left>
        <right style="thin">
          <color rgb="FF9FC8C6"/>
        </right>
        <top style="thin">
          <color rgb="FF9FC8C6"/>
        </top>
        <bottom style="thin">
          <color rgb="FF9FC8C6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9FC8C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7" formatCode="_-* #,##0\ _€_-;\-* #,##0\ _€_-;_-* &quot;-&quot;??\ _€_-;_-@_-"/>
    </dxf>
    <dxf>
      <numFmt numFmtId="167" formatCode="_-* #,##0\ _€_-;\-* #,##0\ _€_-;_-* &quot;-&quot;??\ _€_-;_-@_-"/>
    </dxf>
    <dxf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numFmt numFmtId="166" formatCode="_-[$$-240A]\ * #,##0_-;\-[$$-240A]\ * #,##0_-;_-[$$-240A]\ * &quot;-&quot;??_-;_-@_-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outline="0">
        <top style="thin">
          <color rgb="FF9FC8C6"/>
        </top>
      </border>
    </dxf>
    <dxf>
      <border outline="0">
        <left style="thin">
          <color rgb="FF9FC8C6"/>
        </left>
        <right style="thin">
          <color rgb="FF9FC8C6"/>
        </right>
        <top style="thin">
          <color rgb="FF9FC8C6"/>
        </top>
        <bottom style="thin">
          <color rgb="FF9FC8C6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9FC8C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numFmt numFmtId="166" formatCode="_-[$$-240A]\ * #,##0_-;\-[$$-240A]\ * #,##0_-;_-[$$-240A]\ * &quot;-&quot;??_-;_-@_-"/>
    </dxf>
    <dxf>
      <numFmt numFmtId="167" formatCode="_-* #,##0\ _€_-;\-* #,##0\ _€_-;_-* &quot;-&quot;??\ _€_-;_-@_-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6" formatCode="_-[$$-240A]\ * #,##0_-;\-[$$-240A]\ * #,##0_-;_-[$$-240A]\ * &quot;-&quot;??_-;_-@_-"/>
    </dxf>
    <dxf>
      <font>
        <b val="0"/>
        <strike val="0"/>
        <outline val="0"/>
        <shadow val="0"/>
        <u val="none"/>
        <vertAlign val="baseline"/>
        <sz val="9"/>
      </font>
      <numFmt numFmtId="166" formatCode="_-[$$-240A]\ * #,##0_-;\-[$$-240A]\ * #,##0_-;_-[$$-240A]\ * &quot;-&quot;??_-;_-@_-"/>
      <fill>
        <patternFill patternType="solid">
          <fgColor indexed="64"/>
          <bgColor rgb="FFFFFFA3"/>
        </patternFill>
      </fill>
    </dxf>
    <dxf>
      <font>
        <strike val="0"/>
        <outline val="0"/>
        <shadow val="0"/>
        <u val="none"/>
        <vertAlign val="baseline"/>
        <sz val="9"/>
      </font>
      <numFmt numFmtId="174" formatCode="#,##0_ ;[Red]\-#,##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66" formatCode="_-[$$-240A]\ * #,##0_-;\-[$$-240A]\ * #,##0_-;_-[$$-240A]\ * &quot;-&quot;??_-;_-@_-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numFmt numFmtId="1" formatCode="0"/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66" formatCode="_-[$$-240A]\ * #,##0_-;\-[$$-240A]\ * #,##0_-;_-[$$-240A]\ * &quot;-&quot;??_-;_-@_-"/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166" formatCode="_-[$$-240A]\ * #,##0_-;\-[$$-240A]\ * #,##0_-;_-[$$-240A]\ * &quot;-&quot;??_-;_-@_-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w Cen MT"/>
        <scheme val="minor"/>
      </font>
      <numFmt numFmtId="166" formatCode="_-[$$-240A]\ * #,##0_-;\-[$$-240A]\ * #,##0_-;_-[$$-240A]\ * &quot;-&quot;??_-;_-@_-"/>
      <fill>
        <patternFill patternType="solid">
          <fgColor indexed="64"/>
          <bgColor theme="6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66" formatCode="_-[$$-240A]\ * #,##0_-;\-[$$-240A]\ * #,##0_-;_-[$$-240A]\ * &quot;-&quot;??_-;_-@_-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166" formatCode="_-[$$-240A]\ * #,##0_-;\-[$$-240A]\ * #,##0_-;_-[$$-240A]\ * &quot;-&quot;??_-;_-@_-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66" formatCode="_-[$$-240A]\ * #,##0_-;\-[$$-240A]\ * #,##0_-;_-[$$-240A]\ * &quot;-&quot;??_-;_-@_-"/>
      <fill>
        <patternFill patternType="solid">
          <fgColor indexed="64"/>
          <bgColor rgb="FFFFA3A5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166" formatCode="_-[$$-240A]\ * #,##0_-;\-[$$-240A]\ * #,##0_-;_-[$$-24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w Cen MT"/>
        <scheme val="minor"/>
      </font>
      <numFmt numFmtId="166" formatCode="_-[$$-240A]\ * #,##0_-;\-[$$-240A]\ * #,##0_-;_-[$$-240A]\ * &quot;-&quot;??_-;_-@_-"/>
      <fill>
        <patternFill patternType="solid">
          <fgColor indexed="64"/>
          <bgColor theme="6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w Cen MT"/>
        <scheme val="minor"/>
      </font>
      <numFmt numFmtId="166" formatCode="_-[$$-240A]\ * #,##0_-;\-[$$-240A]\ * #,##0_-;_-[$$-240A]\ * &quot;-&quot;??_-;_-@_-"/>
      <fill>
        <patternFill patternType="solid">
          <fgColor indexed="64"/>
          <bgColor theme="6" tint="-0.249977111117893"/>
        </patternFill>
      </fill>
    </dxf>
    <dxf>
      <font>
        <strike val="0"/>
        <outline val="0"/>
        <shadow val="0"/>
        <u val="none"/>
        <vertAlign val="baseline"/>
        <sz val="9"/>
      </font>
    </dxf>
    <dxf>
      <numFmt numFmtId="175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w Cen MT"/>
        <scheme val="minor"/>
      </font>
      <numFmt numFmtId="19" formatCode="d/mm/yyyy"/>
      <fill>
        <patternFill patternType="solid">
          <fgColor indexed="64"/>
          <bgColor theme="6" tint="-0.249977111117893"/>
        </patternFill>
      </fill>
    </dxf>
    <dxf>
      <numFmt numFmtId="175" formatCode="dd/mm/yyyy"/>
    </dxf>
    <dxf>
      <font>
        <strike val="0"/>
        <outline val="0"/>
        <shadow val="0"/>
        <u val="none"/>
        <vertAlign val="baseline"/>
        <sz val="9"/>
        <color theme="1"/>
        <name val="Tw Cen MT"/>
        <scheme val="minor"/>
      </font>
      <numFmt numFmtId="175" formatCode="dd/mm/yyyy"/>
    </dxf>
    <dxf>
      <font>
        <strike val="0"/>
        <outline val="0"/>
        <shadow val="0"/>
        <u val="none"/>
        <vertAlign val="baseline"/>
        <sz val="9"/>
        <color theme="1"/>
        <name val="Tw Cen MT"/>
        <scheme val="minor"/>
      </font>
      <numFmt numFmtId="175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alignment horizontal="center" vertical="center" textRotation="0" wrapText="1" indent="0" justifyLastLine="0" shrinkToFit="0" readingOrder="0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  <fill>
        <patternFill patternType="solid">
          <fgColor indexed="64"/>
          <bgColor rgb="FFFFFFCC"/>
        </patternFill>
      </fill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  <fill>
        <patternFill patternType="solid">
          <fgColor indexed="64"/>
          <bgColor rgb="FFFFFFCC"/>
        </patternFill>
      </fill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  <fill>
        <patternFill patternType="solid">
          <fgColor indexed="64"/>
          <bgColor rgb="FFFFFFCC"/>
        </patternFill>
      </fill>
    </dxf>
    <dxf>
      <numFmt numFmtId="166" formatCode="_-[$$-240A]\ * #,##0_-;\-[$$-240A]\ * #,##0_-;_-[$$-240A]\ * &quot;-&quot;??_-;_-@_-"/>
      <fill>
        <patternFill patternType="solid">
          <fgColor indexed="64"/>
          <bgColor theme="5" tint="0.79998168889431442"/>
        </patternFill>
      </fill>
    </dxf>
    <dxf>
      <numFmt numFmtId="19" formatCode="d/mm/yyyy"/>
    </dxf>
    <dxf>
      <numFmt numFmtId="19" formatCode="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</dxf>
    <dxf>
      <numFmt numFmtId="166" formatCode="_-[$$-240A]\ * #,##0_-;\-[$$-240A]\ * #,##0_-;_-[$$-240A]\ * &quot;-&quot;??_-;_-@_-"/>
      <fill>
        <patternFill patternType="solid">
          <fgColor indexed="64"/>
          <bgColor theme="0" tint="-0.14999847407452621"/>
        </patternFill>
      </fill>
    </dxf>
    <dxf>
      <numFmt numFmtId="166" formatCode="_-[$$-240A]\ * #,##0_-;\-[$$-240A]\ * #,##0_-;_-[$$-240A]\ * &quot;-&quot;??_-;_-@_-"/>
      <fill>
        <patternFill patternType="solid">
          <fgColor indexed="64"/>
          <bgColor theme="0" tint="-0.14999847407452621"/>
        </patternFill>
      </fill>
    </dxf>
    <dxf>
      <numFmt numFmtId="166" formatCode="_-[$$-240A]\ * #,##0_-;\-[$$-240A]\ * #,##0_-;_-[$$-240A]\ * &quot;-&quot;??_-;_-@_-"/>
      <fill>
        <patternFill patternType="solid">
          <fgColor indexed="64"/>
          <bgColor rgb="FFFFFFA3"/>
        </patternFill>
      </fill>
    </dxf>
    <dxf>
      <numFmt numFmtId="166" formatCode="_-[$$-240A]\ * #,##0_-;\-[$$-240A]\ * #,##0_-;_-[$$-240A]\ * &quot;-&quot;??_-;_-@_-"/>
      <fill>
        <patternFill patternType="solid">
          <fgColor indexed="64"/>
          <bgColor theme="0" tint="-0.14999847407452621"/>
        </patternFill>
      </fill>
    </dxf>
    <dxf>
      <numFmt numFmtId="166" formatCode="_-[$$-240A]\ * #,##0_-;\-[$$-240A]\ * #,##0_-;_-[$$-240A]\ * &quot;-&quot;??_-;_-@_-"/>
      <fill>
        <patternFill patternType="solid">
          <fgColor indexed="64"/>
          <bgColor theme="0" tint="-0.249977111117893"/>
        </patternFill>
      </fill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0" formatCode="General"/>
    </dxf>
    <dxf>
      <numFmt numFmtId="19" formatCode="d/mm/yyyy"/>
    </dxf>
    <dxf>
      <numFmt numFmtId="19" formatCode="d/mm/yyyy"/>
    </dxf>
    <dxf>
      <numFmt numFmtId="175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numFmt numFmtId="175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numFmt numFmtId="175" formatCode="dd/mm/yyyy"/>
    </dxf>
    <dxf>
      <numFmt numFmtId="19" formatCode="d/mm/yyyy"/>
    </dxf>
    <dxf>
      <numFmt numFmtId="175" formatCode="dd/mm/yyyy"/>
    </dxf>
    <dxf>
      <numFmt numFmtId="19" formatCode="d/mm/yyyy"/>
    </dxf>
    <dxf>
      <numFmt numFmtId="19" formatCode="d/mm/yyyy"/>
    </dxf>
    <dxf>
      <numFmt numFmtId="19" formatCode="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</dxf>
  </dxfs>
  <tableStyles count="0" defaultTableStyle="TableStyleMedium2" defaultPivotStyle="PivotStyleLight16"/>
  <colors>
    <mruColors>
      <color rgb="FFFFFFA3"/>
      <color rgb="FFFFCCFF"/>
      <color rgb="FFFFD44B"/>
      <color rgb="FFA3E7FF"/>
      <color rgb="FF4FD1FF"/>
      <color rgb="FFCCCCFF"/>
      <color rgb="FFFFD03B"/>
      <color rgb="FF99FFCC"/>
      <color rgb="FFFFFFCC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07/relationships/slicerCache" Target="slicerCaches/slicerCache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microsoft.com/office/2007/relationships/slicerCache" Target="slicerCaches/slicerCach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pivotCacheDefinition" Target="pivotCache/pivotCacheDefinition2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 System_.xlsx]Ingresos!Ventas</c:name>
    <c:fmtId val="5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0" baseline="0">
                <a:effectLst/>
              </a:rPr>
              <a:t>Ventas  2020</a:t>
            </a:r>
            <a:endParaRPr lang="es-CO">
              <a:effectLst/>
            </a:endParaRPr>
          </a:p>
        </c:rich>
      </c:tx>
      <c:layout>
        <c:manualLayout>
          <c:xMode val="edge"/>
          <c:yMode val="edge"/>
          <c:x val="0.41980542432195977"/>
          <c:y val="4.88845144356955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66BD3"/>
          </a:solidFill>
          <a:ln>
            <a:noFill/>
          </a:ln>
          <a:effectLst/>
        </c:spPr>
      </c:pivotFmt>
      <c:pivotFmt>
        <c:idx val="2"/>
        <c:spPr>
          <a:solidFill>
            <a:srgbClr val="A66BD3"/>
          </a:solidFill>
          <a:ln>
            <a:noFill/>
          </a:ln>
          <a:effectLst/>
        </c:spPr>
      </c:pivotFmt>
      <c:pivotFmt>
        <c:idx val="3"/>
        <c:spPr>
          <a:solidFill>
            <a:srgbClr val="A66BD3"/>
          </a:solidFill>
          <a:ln>
            <a:noFill/>
          </a:ln>
          <a:effectLst/>
        </c:spPr>
      </c:pivotFmt>
      <c:pivotFmt>
        <c:idx val="4"/>
        <c:spPr>
          <a:solidFill>
            <a:srgbClr val="A66BD3"/>
          </a:solidFill>
          <a:ln>
            <a:noFill/>
          </a:ln>
          <a:effectLst/>
        </c:spPr>
      </c:pivotFmt>
      <c:pivotFmt>
        <c:idx val="5"/>
        <c:spPr>
          <a:solidFill>
            <a:srgbClr val="A66BD3"/>
          </a:solidFill>
          <a:ln>
            <a:noFill/>
          </a:ln>
          <a:effectLst/>
        </c:spPr>
      </c:pivotFmt>
      <c:pivotFmt>
        <c:idx val="6"/>
        <c:spPr>
          <a:solidFill>
            <a:srgbClr val="A66BD3"/>
          </a:solidFill>
          <a:ln>
            <a:noFill/>
          </a:ln>
          <a:effectLst/>
        </c:spPr>
      </c:pivotFmt>
      <c:pivotFmt>
        <c:idx val="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rgbClr val="A66BD3"/>
          </a:solidFill>
          <a:ln>
            <a:noFill/>
          </a:ln>
          <a:effectLst/>
        </c:spPr>
      </c:pivotFmt>
      <c:pivotFmt>
        <c:idx val="14"/>
        <c:spPr>
          <a:solidFill>
            <a:srgbClr val="FFD653"/>
          </a:solidFill>
          <a:ln>
            <a:noFill/>
          </a:ln>
          <a:effectLst/>
        </c:spPr>
      </c:pivotFmt>
      <c:pivotFmt>
        <c:idx val="15"/>
        <c:spPr>
          <a:solidFill>
            <a:srgbClr val="FFD653"/>
          </a:solidFill>
          <a:ln>
            <a:noFill/>
          </a:ln>
          <a:effectLst/>
        </c:spPr>
      </c:pivotFmt>
      <c:pivotFmt>
        <c:idx val="16"/>
        <c:spPr>
          <a:solidFill>
            <a:srgbClr val="FFD653"/>
          </a:solidFill>
          <a:ln>
            <a:noFill/>
          </a:ln>
          <a:effectLst/>
        </c:spPr>
      </c:pivotFmt>
      <c:pivotFmt>
        <c:idx val="17"/>
        <c:spPr>
          <a:solidFill>
            <a:srgbClr val="FFD653"/>
          </a:solidFill>
          <a:ln>
            <a:noFill/>
          </a:ln>
          <a:effectLst/>
        </c:spPr>
      </c:pivotFmt>
      <c:pivotFmt>
        <c:idx val="18"/>
        <c:spPr>
          <a:solidFill>
            <a:srgbClr val="FFD653"/>
          </a:solidFill>
          <a:ln>
            <a:noFill/>
          </a:ln>
          <a:effectLst/>
        </c:spPr>
      </c:pivotFmt>
      <c:pivotFmt>
        <c:idx val="19"/>
        <c:spPr>
          <a:solidFill>
            <a:srgbClr val="FFD653"/>
          </a:solidFill>
          <a:ln>
            <a:noFill/>
          </a:ln>
          <a:effectLst/>
        </c:spPr>
      </c:pivotFmt>
      <c:pivotFmt>
        <c:idx val="20"/>
        <c:spPr>
          <a:solidFill>
            <a:srgbClr val="FFD653"/>
          </a:solidFill>
          <a:ln>
            <a:noFill/>
          </a:ln>
          <a:effectLst/>
        </c:spPr>
      </c:pivotFmt>
      <c:pivotFmt>
        <c:idx val="2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rgbClr val="A66BD3"/>
          </a:solidFill>
          <a:ln>
            <a:noFill/>
          </a:ln>
          <a:effectLst/>
        </c:spPr>
      </c:pivotFmt>
      <c:pivotFmt>
        <c:idx val="23"/>
        <c:spPr>
          <a:solidFill>
            <a:srgbClr val="A66BD3"/>
          </a:solidFill>
          <a:ln>
            <a:noFill/>
          </a:ln>
          <a:effectLst/>
        </c:spPr>
      </c:pivotFmt>
      <c:pivotFmt>
        <c:idx val="2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5"/>
        <c:spPr>
          <a:solidFill>
            <a:srgbClr val="FFD653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923062117235345"/>
          <c:y val="0.18589858559346747"/>
          <c:w val="0.84632493438320211"/>
          <c:h val="0.412480679498396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Ingresos!$AM$4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Ingresos!$AJ$5:$AL$34</c:f>
              <c:multiLvlStrCache>
                <c:ptCount val="30"/>
                <c:lvl>
                  <c:pt idx="0">
                    <c:v>vie</c:v>
                  </c:pt>
                  <c:pt idx="1">
                    <c:v>sáb</c:v>
                  </c:pt>
                  <c:pt idx="2">
                    <c:v>dom</c:v>
                  </c:pt>
                  <c:pt idx="3">
                    <c:v>lun</c:v>
                  </c:pt>
                  <c:pt idx="4">
                    <c:v>mar</c:v>
                  </c:pt>
                  <c:pt idx="5">
                    <c:v>mié</c:v>
                  </c:pt>
                  <c:pt idx="6">
                    <c:v>jue</c:v>
                  </c:pt>
                  <c:pt idx="7">
                    <c:v>vie</c:v>
                  </c:pt>
                  <c:pt idx="8">
                    <c:v>sáb</c:v>
                  </c:pt>
                  <c:pt idx="9">
                    <c:v>dom</c:v>
                  </c:pt>
                  <c:pt idx="10">
                    <c:v>lun</c:v>
                  </c:pt>
                  <c:pt idx="11">
                    <c:v>mar</c:v>
                  </c:pt>
                  <c:pt idx="12">
                    <c:v>mié</c:v>
                  </c:pt>
                  <c:pt idx="13">
                    <c:v>jue</c:v>
                  </c:pt>
                  <c:pt idx="14">
                    <c:v>vie</c:v>
                  </c:pt>
                  <c:pt idx="15">
                    <c:v>sáb</c:v>
                  </c:pt>
                  <c:pt idx="16">
                    <c:v>dom</c:v>
                  </c:pt>
                  <c:pt idx="17">
                    <c:v>lun</c:v>
                  </c:pt>
                  <c:pt idx="18">
                    <c:v>mar</c:v>
                  </c:pt>
                  <c:pt idx="19">
                    <c:v>mié</c:v>
                  </c:pt>
                  <c:pt idx="20">
                    <c:v>jue</c:v>
                  </c:pt>
                  <c:pt idx="21">
                    <c:v>mié</c:v>
                  </c:pt>
                  <c:pt idx="22">
                    <c:v>jue</c:v>
                  </c:pt>
                  <c:pt idx="23">
                    <c:v>vie</c:v>
                  </c:pt>
                  <c:pt idx="24">
                    <c:v>sáb</c:v>
                  </c:pt>
                  <c:pt idx="25">
                    <c:v>dom</c:v>
                  </c:pt>
                  <c:pt idx="26">
                    <c:v>lun</c:v>
                  </c:pt>
                  <c:pt idx="27">
                    <c:v>mar</c:v>
                  </c:pt>
                  <c:pt idx="28">
                    <c:v>mié</c:v>
                  </c:pt>
                  <c:pt idx="29">
                    <c:v>jue</c:v>
                  </c:pt>
                </c:lvl>
                <c:lvl>
                  <c:pt idx="0">
                    <c:v>10-abr</c:v>
                  </c:pt>
                  <c:pt idx="1">
                    <c:v>11-abr</c:v>
                  </c:pt>
                  <c:pt idx="2">
                    <c:v>12-abr</c:v>
                  </c:pt>
                  <c:pt idx="3">
                    <c:v>13-abr</c:v>
                  </c:pt>
                  <c:pt idx="4">
                    <c:v>14-abr</c:v>
                  </c:pt>
                  <c:pt idx="5">
                    <c:v>15-abr</c:v>
                  </c:pt>
                  <c:pt idx="6">
                    <c:v>16-abr</c:v>
                  </c:pt>
                  <c:pt idx="7">
                    <c:v>17-abr</c:v>
                  </c:pt>
                  <c:pt idx="8">
                    <c:v>18-abr</c:v>
                  </c:pt>
                  <c:pt idx="9">
                    <c:v>19-abr</c:v>
                  </c:pt>
                  <c:pt idx="10">
                    <c:v>20-abr</c:v>
                  </c:pt>
                  <c:pt idx="11">
                    <c:v>21-abr</c:v>
                  </c:pt>
                  <c:pt idx="12">
                    <c:v>22-abr</c:v>
                  </c:pt>
                  <c:pt idx="13">
                    <c:v>23-abr</c:v>
                  </c:pt>
                  <c:pt idx="14">
                    <c:v>24-abr</c:v>
                  </c:pt>
                  <c:pt idx="15">
                    <c:v>25-abr</c:v>
                  </c:pt>
                  <c:pt idx="16">
                    <c:v>26-abr</c:v>
                  </c:pt>
                  <c:pt idx="17">
                    <c:v>27-abr</c:v>
                  </c:pt>
                  <c:pt idx="18">
                    <c:v>28-abr</c:v>
                  </c:pt>
                  <c:pt idx="19">
                    <c:v>29-abr</c:v>
                  </c:pt>
                  <c:pt idx="20">
                    <c:v>30-abr</c:v>
                  </c:pt>
                  <c:pt idx="21">
                    <c:v>1-abr</c:v>
                  </c:pt>
                  <c:pt idx="22">
                    <c:v>2-abr</c:v>
                  </c:pt>
                  <c:pt idx="23">
                    <c:v>3-abr</c:v>
                  </c:pt>
                  <c:pt idx="24">
                    <c:v>4-abr</c:v>
                  </c:pt>
                  <c:pt idx="25">
                    <c:v>5-abr</c:v>
                  </c:pt>
                  <c:pt idx="26">
                    <c:v>6-abr</c:v>
                  </c:pt>
                  <c:pt idx="27">
                    <c:v>7-abr</c:v>
                  </c:pt>
                  <c:pt idx="28">
                    <c:v>8-abr</c:v>
                  </c:pt>
                  <c:pt idx="29">
                    <c:v>9-abr</c:v>
                  </c:pt>
                </c:lvl>
                <c:lvl>
                  <c:pt idx="0">
                    <c:v>abril</c:v>
                  </c:pt>
                </c:lvl>
              </c:multiLvlStrCache>
            </c:multiLvlStrRef>
          </c:cat>
          <c:val>
            <c:numRef>
              <c:f>Ingresos!$AM$5:$AM$34</c:f>
              <c:numCache>
                <c:formatCode>_-[$$-240A]\ * #,##0_-;\-[$$-240A]\ * #,##0_-;_-[$$-240A]\ * "-"??_-;_-@_-</c:formatCode>
                <c:ptCount val="30"/>
                <c:pt idx="0">
                  <c:v>150000</c:v>
                </c:pt>
                <c:pt idx="1">
                  <c:v>160000</c:v>
                </c:pt>
                <c:pt idx="2">
                  <c:v>160000</c:v>
                </c:pt>
                <c:pt idx="3">
                  <c:v>160000</c:v>
                </c:pt>
                <c:pt idx="4">
                  <c:v>160000</c:v>
                </c:pt>
                <c:pt idx="5">
                  <c:v>80000</c:v>
                </c:pt>
                <c:pt idx="6">
                  <c:v>200000</c:v>
                </c:pt>
                <c:pt idx="7">
                  <c:v>80000</c:v>
                </c:pt>
                <c:pt idx="8">
                  <c:v>300000</c:v>
                </c:pt>
                <c:pt idx="9">
                  <c:v>320000</c:v>
                </c:pt>
                <c:pt idx="10">
                  <c:v>150000</c:v>
                </c:pt>
                <c:pt idx="11">
                  <c:v>100000</c:v>
                </c:pt>
                <c:pt idx="12">
                  <c:v>70000</c:v>
                </c:pt>
                <c:pt idx="13">
                  <c:v>120000</c:v>
                </c:pt>
                <c:pt idx="14">
                  <c:v>120000</c:v>
                </c:pt>
                <c:pt idx="15">
                  <c:v>320000</c:v>
                </c:pt>
                <c:pt idx="16">
                  <c:v>450000</c:v>
                </c:pt>
                <c:pt idx="17">
                  <c:v>160000</c:v>
                </c:pt>
                <c:pt idx="18">
                  <c:v>160000</c:v>
                </c:pt>
                <c:pt idx="19">
                  <c:v>360000</c:v>
                </c:pt>
                <c:pt idx="20">
                  <c:v>160000</c:v>
                </c:pt>
                <c:pt idx="21">
                  <c:v>60000</c:v>
                </c:pt>
                <c:pt idx="22">
                  <c:v>120000</c:v>
                </c:pt>
                <c:pt idx="23">
                  <c:v>200000</c:v>
                </c:pt>
                <c:pt idx="24">
                  <c:v>220000</c:v>
                </c:pt>
                <c:pt idx="25">
                  <c:v>380000</c:v>
                </c:pt>
                <c:pt idx="26">
                  <c:v>80000</c:v>
                </c:pt>
                <c:pt idx="27">
                  <c:v>140000</c:v>
                </c:pt>
                <c:pt idx="28">
                  <c:v>50000</c:v>
                </c:pt>
                <c:pt idx="29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2-4D04-A96F-72EEFD502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0586896"/>
        <c:axId val="1820588528"/>
      </c:barChart>
      <c:catAx>
        <c:axId val="182058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588528"/>
        <c:crosses val="autoZero"/>
        <c:auto val="1"/>
        <c:lblAlgn val="ctr"/>
        <c:lblOffset val="100"/>
        <c:noMultiLvlLbl val="0"/>
      </c:catAx>
      <c:valAx>
        <c:axId val="182058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240A]\ * #,##0_-;\-[$$-240A]\ * #,##0_-;_-[$$-240A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586896"/>
        <c:crosses val="autoZero"/>
        <c:crossBetween val="between"/>
        <c:dispUnits>
          <c:custUnit val="1000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 System_.xlsx]Ingresos!Rentabilidad</c:name>
    <c:fmtId val="5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0" baseline="0">
                <a:effectLst/>
              </a:rPr>
              <a:t>Rentabilidad  </a:t>
            </a:r>
            <a:endParaRPr lang="es-CO">
              <a:effectLst/>
            </a:endParaRPr>
          </a:p>
          <a:p>
            <a:pPr>
              <a:defRPr/>
            </a:pPr>
            <a:r>
              <a:rPr lang="es-CO" sz="1800" b="1" i="0" baseline="0">
                <a:effectLst/>
              </a:rPr>
              <a:t> 2020</a:t>
            </a:r>
            <a:endParaRPr lang="es-CO">
              <a:effectLst/>
            </a:endParaRPr>
          </a:p>
        </c:rich>
      </c:tx>
      <c:layout>
        <c:manualLayout>
          <c:xMode val="edge"/>
          <c:yMode val="edge"/>
          <c:x val="0.43468696427376141"/>
          <c:y val="2.56828648537610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36766727875265"/>
          <c:y val="0.13635041413090687"/>
          <c:w val="0.85974231421371106"/>
          <c:h val="0.62658426148118196"/>
        </c:manualLayout>
      </c:layout>
      <c:areaChart>
        <c:grouping val="stacked"/>
        <c:varyColors val="0"/>
        <c:ser>
          <c:idx val="0"/>
          <c:order val="0"/>
          <c:tx>
            <c:strRef>
              <c:f>Ingresos!$AT$4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Ingresos!$AQ$5:$AS$34</c:f>
              <c:multiLvlStrCache>
                <c:ptCount val="30"/>
                <c:lvl>
                  <c:pt idx="0">
                    <c:v>vie</c:v>
                  </c:pt>
                  <c:pt idx="1">
                    <c:v>sáb</c:v>
                  </c:pt>
                  <c:pt idx="2">
                    <c:v>dom</c:v>
                  </c:pt>
                  <c:pt idx="3">
                    <c:v>lun</c:v>
                  </c:pt>
                  <c:pt idx="4">
                    <c:v>mar</c:v>
                  </c:pt>
                  <c:pt idx="5">
                    <c:v>mié</c:v>
                  </c:pt>
                  <c:pt idx="6">
                    <c:v>jue</c:v>
                  </c:pt>
                  <c:pt idx="7">
                    <c:v>vie</c:v>
                  </c:pt>
                  <c:pt idx="8">
                    <c:v>sáb</c:v>
                  </c:pt>
                  <c:pt idx="9">
                    <c:v>dom</c:v>
                  </c:pt>
                  <c:pt idx="10">
                    <c:v>lun</c:v>
                  </c:pt>
                  <c:pt idx="11">
                    <c:v>mar</c:v>
                  </c:pt>
                  <c:pt idx="12">
                    <c:v>mié</c:v>
                  </c:pt>
                  <c:pt idx="13">
                    <c:v>jue</c:v>
                  </c:pt>
                  <c:pt idx="14">
                    <c:v>vie</c:v>
                  </c:pt>
                  <c:pt idx="15">
                    <c:v>sáb</c:v>
                  </c:pt>
                  <c:pt idx="16">
                    <c:v>dom</c:v>
                  </c:pt>
                  <c:pt idx="17">
                    <c:v>lun</c:v>
                  </c:pt>
                  <c:pt idx="18">
                    <c:v>mar</c:v>
                  </c:pt>
                  <c:pt idx="19">
                    <c:v>mié</c:v>
                  </c:pt>
                  <c:pt idx="20">
                    <c:v>jue</c:v>
                  </c:pt>
                  <c:pt idx="21">
                    <c:v>mié</c:v>
                  </c:pt>
                  <c:pt idx="22">
                    <c:v>jue</c:v>
                  </c:pt>
                  <c:pt idx="23">
                    <c:v>vie</c:v>
                  </c:pt>
                  <c:pt idx="24">
                    <c:v>sáb</c:v>
                  </c:pt>
                  <c:pt idx="25">
                    <c:v>dom</c:v>
                  </c:pt>
                  <c:pt idx="26">
                    <c:v>lun</c:v>
                  </c:pt>
                  <c:pt idx="27">
                    <c:v>mar</c:v>
                  </c:pt>
                  <c:pt idx="28">
                    <c:v>mié</c:v>
                  </c:pt>
                  <c:pt idx="29">
                    <c:v>jue</c:v>
                  </c:pt>
                </c:lvl>
                <c:lvl>
                  <c:pt idx="0">
                    <c:v>10-abr</c:v>
                  </c:pt>
                  <c:pt idx="1">
                    <c:v>11-abr</c:v>
                  </c:pt>
                  <c:pt idx="2">
                    <c:v>12-abr</c:v>
                  </c:pt>
                  <c:pt idx="3">
                    <c:v>13-abr</c:v>
                  </c:pt>
                  <c:pt idx="4">
                    <c:v>14-abr</c:v>
                  </c:pt>
                  <c:pt idx="5">
                    <c:v>15-abr</c:v>
                  </c:pt>
                  <c:pt idx="6">
                    <c:v>16-abr</c:v>
                  </c:pt>
                  <c:pt idx="7">
                    <c:v>17-abr</c:v>
                  </c:pt>
                  <c:pt idx="8">
                    <c:v>18-abr</c:v>
                  </c:pt>
                  <c:pt idx="9">
                    <c:v>19-abr</c:v>
                  </c:pt>
                  <c:pt idx="10">
                    <c:v>20-abr</c:v>
                  </c:pt>
                  <c:pt idx="11">
                    <c:v>21-abr</c:v>
                  </c:pt>
                  <c:pt idx="12">
                    <c:v>22-abr</c:v>
                  </c:pt>
                  <c:pt idx="13">
                    <c:v>23-abr</c:v>
                  </c:pt>
                  <c:pt idx="14">
                    <c:v>24-abr</c:v>
                  </c:pt>
                  <c:pt idx="15">
                    <c:v>25-abr</c:v>
                  </c:pt>
                  <c:pt idx="16">
                    <c:v>26-abr</c:v>
                  </c:pt>
                  <c:pt idx="17">
                    <c:v>27-abr</c:v>
                  </c:pt>
                  <c:pt idx="18">
                    <c:v>28-abr</c:v>
                  </c:pt>
                  <c:pt idx="19">
                    <c:v>29-abr</c:v>
                  </c:pt>
                  <c:pt idx="20">
                    <c:v>30-abr</c:v>
                  </c:pt>
                  <c:pt idx="21">
                    <c:v>1-abr</c:v>
                  </c:pt>
                  <c:pt idx="22">
                    <c:v>2-abr</c:v>
                  </c:pt>
                  <c:pt idx="23">
                    <c:v>3-abr</c:v>
                  </c:pt>
                  <c:pt idx="24">
                    <c:v>4-abr</c:v>
                  </c:pt>
                  <c:pt idx="25">
                    <c:v>5-abr</c:v>
                  </c:pt>
                  <c:pt idx="26">
                    <c:v>6-abr</c:v>
                  </c:pt>
                  <c:pt idx="27">
                    <c:v>7-abr</c:v>
                  </c:pt>
                  <c:pt idx="28">
                    <c:v>8-abr</c:v>
                  </c:pt>
                  <c:pt idx="29">
                    <c:v>9-abr</c:v>
                  </c:pt>
                </c:lvl>
                <c:lvl>
                  <c:pt idx="0">
                    <c:v>abril</c:v>
                  </c:pt>
                </c:lvl>
              </c:multiLvlStrCache>
            </c:multiLvlStrRef>
          </c:cat>
          <c:val>
            <c:numRef>
              <c:f>Ingresos!$AT$5:$AT$34</c:f>
              <c:numCache>
                <c:formatCode>_-[$$-240A]\ * #,##0_-;\-[$$-240A]\ * #,##0_-;_-[$$-240A]\ * "-"??_-;_-@_-</c:formatCode>
                <c:ptCount val="30"/>
                <c:pt idx="0">
                  <c:v>25091</c:v>
                </c:pt>
                <c:pt idx="1">
                  <c:v>25091</c:v>
                </c:pt>
                <c:pt idx="2">
                  <c:v>25091</c:v>
                </c:pt>
                <c:pt idx="3">
                  <c:v>35091</c:v>
                </c:pt>
                <c:pt idx="4">
                  <c:v>35091</c:v>
                </c:pt>
                <c:pt idx="5">
                  <c:v>35091</c:v>
                </c:pt>
                <c:pt idx="6">
                  <c:v>35091</c:v>
                </c:pt>
                <c:pt idx="7">
                  <c:v>35091</c:v>
                </c:pt>
                <c:pt idx="8">
                  <c:v>35091</c:v>
                </c:pt>
                <c:pt idx="9">
                  <c:v>35091</c:v>
                </c:pt>
                <c:pt idx="10">
                  <c:v>35091</c:v>
                </c:pt>
                <c:pt idx="11">
                  <c:v>35091</c:v>
                </c:pt>
                <c:pt idx="12">
                  <c:v>35091</c:v>
                </c:pt>
                <c:pt idx="13">
                  <c:v>35091</c:v>
                </c:pt>
                <c:pt idx="14">
                  <c:v>35091</c:v>
                </c:pt>
                <c:pt idx="15">
                  <c:v>35091</c:v>
                </c:pt>
                <c:pt idx="16">
                  <c:v>35091</c:v>
                </c:pt>
                <c:pt idx="17">
                  <c:v>35091</c:v>
                </c:pt>
                <c:pt idx="18">
                  <c:v>35091</c:v>
                </c:pt>
                <c:pt idx="19">
                  <c:v>35091</c:v>
                </c:pt>
                <c:pt idx="20">
                  <c:v>35091</c:v>
                </c:pt>
                <c:pt idx="21">
                  <c:v>55091</c:v>
                </c:pt>
                <c:pt idx="22">
                  <c:v>55091</c:v>
                </c:pt>
                <c:pt idx="23">
                  <c:v>55091</c:v>
                </c:pt>
                <c:pt idx="24">
                  <c:v>55091</c:v>
                </c:pt>
                <c:pt idx="25">
                  <c:v>55091</c:v>
                </c:pt>
                <c:pt idx="26">
                  <c:v>25091</c:v>
                </c:pt>
                <c:pt idx="27">
                  <c:v>25091</c:v>
                </c:pt>
                <c:pt idx="28">
                  <c:v>25091</c:v>
                </c:pt>
                <c:pt idx="29">
                  <c:v>25091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25-4C5D-B40B-1CD92ECA4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555888"/>
        <c:axId val="1820587440"/>
      </c:areaChart>
      <c:catAx>
        <c:axId val="182055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587440"/>
        <c:crosses val="autoZero"/>
        <c:auto val="1"/>
        <c:lblAlgn val="ctr"/>
        <c:lblOffset val="100"/>
        <c:noMultiLvlLbl val="0"/>
      </c:catAx>
      <c:valAx>
        <c:axId val="182058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240A]\ * #,##0_-;\-[$$-240A]\ * #,##0_-;_-[$$-240A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555888"/>
        <c:crosses val="autoZero"/>
        <c:crossBetween val="between"/>
        <c:dispUnits>
          <c:custUnit val="1000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_rels/data1.xml.rels><?xml version="1.0" encoding="UTF-8" standalone="yes"?>
<Relationships xmlns="http://schemas.openxmlformats.org/package/2006/relationships"><Relationship Id="rId3" Type="http://schemas.openxmlformats.org/officeDocument/2006/relationships/hyperlink" Target="#Ingresos!A1"/><Relationship Id="rId2" Type="http://schemas.openxmlformats.org/officeDocument/2006/relationships/hyperlink" Target="#Cuentas_x_pagar"/><Relationship Id="rId1" Type="http://schemas.openxmlformats.org/officeDocument/2006/relationships/hyperlink" Target="#Activos!A3"/><Relationship Id="rId4" Type="http://schemas.openxmlformats.org/officeDocument/2006/relationships/hyperlink" Target="#Opex!A1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3">
  <dgm:title val=""/>
  <dgm:desc val=""/>
  <dgm:catLst>
    <dgm:cat type="colorful" pri="10300"/>
  </dgm:catLst>
  <dgm:styleLbl name="node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3"/>
      <a:schemeClr val="accent4"/>
    </dgm:fillClrLst>
    <dgm:linClrLst>
      <a:schemeClr val="accent3"/>
      <a:schemeClr val="accent4"/>
    </dgm:linClrLst>
    <dgm:effectClrLst/>
    <dgm:txLinClrLst/>
    <dgm:txFillClrLst/>
    <dgm:txEffectClrLst/>
  </dgm:styleLbl>
  <dgm:styleLbl name="ln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3">
        <a:alpha val="50000"/>
      </a:schemeClr>
      <a:schemeClr val="accent4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3">
        <a:tint val="50000"/>
      </a:schemeClr>
      <a:schemeClr val="accent4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3"/>
      <a:schemeClr val="accent4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3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>
        <a:tint val="9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>
        <a:tint val="7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colorful3">
  <dgm:title val=""/>
  <dgm:desc val=""/>
  <dgm:catLst>
    <dgm:cat type="colorful" pri="10300"/>
  </dgm:catLst>
  <dgm:styleLbl name="node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3"/>
      <a:schemeClr val="accent4"/>
    </dgm:fillClrLst>
    <dgm:linClrLst>
      <a:schemeClr val="accent3"/>
      <a:schemeClr val="accent4"/>
    </dgm:linClrLst>
    <dgm:effectClrLst/>
    <dgm:txLinClrLst/>
    <dgm:txFillClrLst/>
    <dgm:txEffectClrLst/>
  </dgm:styleLbl>
  <dgm:styleLbl name="ln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3">
        <a:alpha val="50000"/>
      </a:schemeClr>
      <a:schemeClr val="accent4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3">
        <a:tint val="50000"/>
      </a:schemeClr>
      <a:schemeClr val="accent4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3"/>
      <a:schemeClr val="accent4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3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>
        <a:tint val="9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>
        <a:tint val="7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64B47852-742A-46CD-B1B7-548D32462E75}" type="doc">
      <dgm:prSet loTypeId="urn:microsoft.com/office/officeart/2005/8/layout/radial6" loCatId="cycle" qsTypeId="urn:microsoft.com/office/officeart/2005/8/quickstyle/simple5" qsCatId="simple" csTypeId="urn:microsoft.com/office/officeart/2005/8/colors/colorful3" csCatId="colorful" phldr="1"/>
      <dgm:spPr/>
      <dgm:t>
        <a:bodyPr/>
        <a:lstStyle/>
        <a:p>
          <a:endParaRPr lang="es-CO"/>
        </a:p>
      </dgm:t>
    </dgm:pt>
    <dgm:pt modelId="{81F63DCC-F876-4F38-B52D-11783D37F89B}">
      <dgm:prSet phldrT="[Texto]"/>
      <dgm:spPr/>
      <dgm:t>
        <a:bodyPr/>
        <a:lstStyle/>
        <a:p>
          <a:r>
            <a:rPr lang="es-CO"/>
            <a:t>Activos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6035BF3A-C2CA-4EA8-9FAA-BADEDD2EAED4}" type="sibTrans" cxnId="{42A4B75B-9768-4FC0-BA45-DDECAA618095}">
      <dgm:prSet/>
      <dgm:spPr/>
      <dgm:t>
        <a:bodyPr/>
        <a:lstStyle/>
        <a:p>
          <a:endParaRPr lang="es-CO"/>
        </a:p>
      </dgm:t>
    </dgm:pt>
    <dgm:pt modelId="{D198EFAD-0048-4B20-B3C3-3F23D58C816B}" type="parTrans" cxnId="{42A4B75B-9768-4FC0-BA45-DDECAA618095}">
      <dgm:prSet/>
      <dgm:spPr/>
      <dgm:t>
        <a:bodyPr/>
        <a:lstStyle/>
        <a:p>
          <a:endParaRPr lang="es-CO"/>
        </a:p>
      </dgm:t>
    </dgm:pt>
    <dgm:pt modelId="{67F7EEAB-2580-4068-AF5C-629485D93C71}">
      <dgm:prSet phldrT="[Texto]"/>
      <dgm:spPr/>
      <dgm:t>
        <a:bodyPr/>
        <a:lstStyle/>
        <a:p>
          <a:r>
            <a:rPr lang="es-CO"/>
            <a:t>Cuentas x pagar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D25BFE8D-A868-4653-A189-D9BA8E0A0112}" type="sibTrans" cxnId="{ECEC49F8-D581-4133-AA50-BE4F863DCA95}">
      <dgm:prSet/>
      <dgm:spPr/>
      <dgm:t>
        <a:bodyPr/>
        <a:lstStyle/>
        <a:p>
          <a:endParaRPr lang="es-CO"/>
        </a:p>
      </dgm:t>
    </dgm:pt>
    <dgm:pt modelId="{C561CAB8-224F-4F98-A097-6518D165B2FA}" type="parTrans" cxnId="{ECEC49F8-D581-4133-AA50-BE4F863DCA95}">
      <dgm:prSet/>
      <dgm:spPr/>
      <dgm:t>
        <a:bodyPr/>
        <a:lstStyle/>
        <a:p>
          <a:endParaRPr lang="es-CO"/>
        </a:p>
      </dgm:t>
    </dgm:pt>
    <dgm:pt modelId="{8D7DD220-F386-442E-B845-EF7E1C904A2A}">
      <dgm:prSet phldrT="[Texto]"/>
      <dgm:spPr/>
      <dgm:t>
        <a:bodyPr/>
        <a:lstStyle/>
        <a:p>
          <a:r>
            <a:rPr lang="es-CO"/>
            <a:t>Ingresos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334CC921-6B35-4CF4-B9A8-2E0597CA35AC}" type="sibTrans" cxnId="{D8ED910E-849A-417F-9DFD-CA4E2D793CB2}">
      <dgm:prSet/>
      <dgm:spPr/>
      <dgm:t>
        <a:bodyPr/>
        <a:lstStyle/>
        <a:p>
          <a:endParaRPr lang="es-CO"/>
        </a:p>
      </dgm:t>
    </dgm:pt>
    <dgm:pt modelId="{6037A481-3449-44A4-A4FB-792EC8338FC2}" type="parTrans" cxnId="{D8ED910E-849A-417F-9DFD-CA4E2D793CB2}">
      <dgm:prSet/>
      <dgm:spPr/>
      <dgm:t>
        <a:bodyPr/>
        <a:lstStyle/>
        <a:p>
          <a:endParaRPr lang="es-CO"/>
        </a:p>
      </dgm:t>
    </dgm:pt>
    <dgm:pt modelId="{6E7D1AF1-DCBD-479A-8F21-3212D60D2F78}">
      <dgm:prSet phldrT="[Texto]">
        <dgm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dgm:style>
      </dgm:prSet>
      <dgm:spPr>
        <a:noFill/>
        <a:ln/>
      </dgm:spPr>
      <dgm:t>
        <a:bodyPr/>
        <a:lstStyle/>
        <a:p>
          <a:r>
            <a:rPr lang="es-CO"/>
            <a:t> </a:t>
          </a:r>
        </a:p>
      </dgm:t>
    </dgm:pt>
    <dgm:pt modelId="{3EEC6871-EAA1-4B12-92F5-78BBF2682B80}" type="sibTrans" cxnId="{47406005-90A9-4C79-881A-13F5BE15AF74}">
      <dgm:prSet/>
      <dgm:spPr/>
      <dgm:t>
        <a:bodyPr/>
        <a:lstStyle/>
        <a:p>
          <a:endParaRPr lang="es-CO"/>
        </a:p>
      </dgm:t>
    </dgm:pt>
    <dgm:pt modelId="{B1DF4A96-3EC7-4BBD-89F1-AD7C14A81899}" type="parTrans" cxnId="{47406005-90A9-4C79-881A-13F5BE15AF74}">
      <dgm:prSet/>
      <dgm:spPr/>
      <dgm:t>
        <a:bodyPr/>
        <a:lstStyle/>
        <a:p>
          <a:endParaRPr lang="es-CO"/>
        </a:p>
      </dgm:t>
    </dgm:pt>
    <dgm:pt modelId="{CE51C380-F842-45A4-9BFE-9CFC45519591}">
      <dgm:prSet phldrT="[Texto]"/>
      <dgm:spPr/>
      <dgm:t>
        <a:bodyPr/>
        <a:lstStyle/>
        <a:p>
          <a:r>
            <a:rPr lang="es-CO"/>
            <a:t>OPEX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/>
          </dgm14:cNvPr>
        </a:ext>
      </dgm:extLst>
    </dgm:pt>
    <dgm:pt modelId="{E61CCCE9-E0CC-43AD-A85A-9E61151C2186}" type="parTrans" cxnId="{F3EDA979-EC2E-4E52-B0D5-975D1C5CF72E}">
      <dgm:prSet/>
      <dgm:spPr/>
      <dgm:t>
        <a:bodyPr/>
        <a:lstStyle/>
        <a:p>
          <a:endParaRPr lang="es-CO"/>
        </a:p>
      </dgm:t>
    </dgm:pt>
    <dgm:pt modelId="{D6539722-A427-4279-AAFE-BCE6254C8B6D}" type="sibTrans" cxnId="{F3EDA979-EC2E-4E52-B0D5-975D1C5CF72E}">
      <dgm:prSet/>
      <dgm:spPr/>
      <dgm:t>
        <a:bodyPr/>
        <a:lstStyle/>
        <a:p>
          <a:endParaRPr lang="es-CO"/>
        </a:p>
      </dgm:t>
    </dgm:pt>
    <dgm:pt modelId="{75EE6453-57B8-4606-8819-88881D637227}" type="pres">
      <dgm:prSet presAssocID="{64B47852-742A-46CD-B1B7-548D32462E75}" presName="Name0" presStyleCnt="0">
        <dgm:presLayoutVars>
          <dgm:chMax val="1"/>
          <dgm:dir/>
          <dgm:animLvl val="ctr"/>
          <dgm:resizeHandles val="exact"/>
        </dgm:presLayoutVars>
      </dgm:prSet>
      <dgm:spPr/>
    </dgm:pt>
    <dgm:pt modelId="{6681B32D-2E24-4636-A78F-BC926B879589}" type="pres">
      <dgm:prSet presAssocID="{6E7D1AF1-DCBD-479A-8F21-3212D60D2F78}" presName="centerShape" presStyleLbl="node0" presStyleIdx="0" presStyleCnt="1" custScaleX="203757" custScaleY="202114" custLinFactNeighborX="1861" custLinFactNeighborY="-475"/>
      <dgm:spPr/>
    </dgm:pt>
    <dgm:pt modelId="{774A2DE8-AFF6-46FF-A0E0-2F858C500C72}" type="pres">
      <dgm:prSet presAssocID="{8D7DD220-F386-442E-B845-EF7E1C904A2A}" presName="node" presStyleLbl="node1" presStyleIdx="0" presStyleCnt="4">
        <dgm:presLayoutVars>
          <dgm:bulletEnabled val="1"/>
        </dgm:presLayoutVars>
      </dgm:prSet>
      <dgm:spPr/>
    </dgm:pt>
    <dgm:pt modelId="{89EF00DB-84CB-4DF7-BCA2-471101864F45}" type="pres">
      <dgm:prSet presAssocID="{8D7DD220-F386-442E-B845-EF7E1C904A2A}" presName="dummy" presStyleCnt="0"/>
      <dgm:spPr/>
    </dgm:pt>
    <dgm:pt modelId="{8E4E5F5A-A4FE-41A6-A500-323272351F28}" type="pres">
      <dgm:prSet presAssocID="{334CC921-6B35-4CF4-B9A8-2E0597CA35AC}" presName="sibTrans" presStyleLbl="sibTrans2D1" presStyleIdx="0" presStyleCnt="4"/>
      <dgm:spPr/>
    </dgm:pt>
    <dgm:pt modelId="{EF7C0C61-9105-4366-A3B0-0C5E966BDBC2}" type="pres">
      <dgm:prSet presAssocID="{CE51C380-F842-45A4-9BFE-9CFC45519591}" presName="node" presStyleLbl="node1" presStyleIdx="1" presStyleCnt="4">
        <dgm:presLayoutVars>
          <dgm:bulletEnabled val="1"/>
        </dgm:presLayoutVars>
      </dgm:prSet>
      <dgm:spPr/>
    </dgm:pt>
    <dgm:pt modelId="{156ECFEF-2E35-4003-A7FA-5DFA938E1B9A}" type="pres">
      <dgm:prSet presAssocID="{CE51C380-F842-45A4-9BFE-9CFC45519591}" presName="dummy" presStyleCnt="0"/>
      <dgm:spPr/>
    </dgm:pt>
    <dgm:pt modelId="{4BE38136-E3AF-4B08-B25A-EF0717CE08AC}" type="pres">
      <dgm:prSet presAssocID="{D6539722-A427-4279-AAFE-BCE6254C8B6D}" presName="sibTrans" presStyleLbl="sibTrans2D1" presStyleIdx="1" presStyleCnt="4"/>
      <dgm:spPr/>
    </dgm:pt>
    <dgm:pt modelId="{DDE904DE-5D6B-417D-9107-C760ED08BAD2}" type="pres">
      <dgm:prSet presAssocID="{67F7EEAB-2580-4068-AF5C-629485D93C71}" presName="node" presStyleLbl="node1" presStyleIdx="2" presStyleCnt="4">
        <dgm:presLayoutVars>
          <dgm:bulletEnabled val="1"/>
        </dgm:presLayoutVars>
      </dgm:prSet>
      <dgm:spPr/>
    </dgm:pt>
    <dgm:pt modelId="{315A78A8-C95C-40CA-AD6C-735C8D4F8751}" type="pres">
      <dgm:prSet presAssocID="{67F7EEAB-2580-4068-AF5C-629485D93C71}" presName="dummy" presStyleCnt="0"/>
      <dgm:spPr/>
    </dgm:pt>
    <dgm:pt modelId="{8D38B28F-2BC1-40FA-96A2-DE28DAAC0DA3}" type="pres">
      <dgm:prSet presAssocID="{D25BFE8D-A868-4653-A189-D9BA8E0A0112}" presName="sibTrans" presStyleLbl="sibTrans2D1" presStyleIdx="2" presStyleCnt="4"/>
      <dgm:spPr/>
    </dgm:pt>
    <dgm:pt modelId="{D695B8B3-A625-4533-8B71-F37199DAACE0}" type="pres">
      <dgm:prSet presAssocID="{81F63DCC-F876-4F38-B52D-11783D37F89B}" presName="node" presStyleLbl="node1" presStyleIdx="3" presStyleCnt="4">
        <dgm:presLayoutVars>
          <dgm:bulletEnabled val="1"/>
        </dgm:presLayoutVars>
      </dgm:prSet>
      <dgm:spPr/>
    </dgm:pt>
    <dgm:pt modelId="{545EC8BD-84CD-4158-AF64-19FED48EFBA6}" type="pres">
      <dgm:prSet presAssocID="{81F63DCC-F876-4F38-B52D-11783D37F89B}" presName="dummy" presStyleCnt="0"/>
      <dgm:spPr/>
    </dgm:pt>
    <dgm:pt modelId="{20B6ADC2-378A-4BF9-BACC-23B1CC38C95D}" type="pres">
      <dgm:prSet presAssocID="{6035BF3A-C2CA-4EA8-9FAA-BADEDD2EAED4}" presName="sibTrans" presStyleLbl="sibTrans2D1" presStyleIdx="3" presStyleCnt="4"/>
      <dgm:spPr/>
    </dgm:pt>
  </dgm:ptLst>
  <dgm:cxnLst>
    <dgm:cxn modelId="{5C181302-80C8-4752-A512-8668D647B9D1}" type="presOf" srcId="{CE51C380-F842-45A4-9BFE-9CFC45519591}" destId="{EF7C0C61-9105-4366-A3B0-0C5E966BDBC2}" srcOrd="0" destOrd="0" presId="urn:microsoft.com/office/officeart/2005/8/layout/radial6"/>
    <dgm:cxn modelId="{47406005-90A9-4C79-881A-13F5BE15AF74}" srcId="{64B47852-742A-46CD-B1B7-548D32462E75}" destId="{6E7D1AF1-DCBD-479A-8F21-3212D60D2F78}" srcOrd="0" destOrd="0" parTransId="{B1DF4A96-3EC7-4BBD-89F1-AD7C14A81899}" sibTransId="{3EEC6871-EAA1-4B12-92F5-78BBF2682B80}"/>
    <dgm:cxn modelId="{D8ED910E-849A-417F-9DFD-CA4E2D793CB2}" srcId="{6E7D1AF1-DCBD-479A-8F21-3212D60D2F78}" destId="{8D7DD220-F386-442E-B845-EF7E1C904A2A}" srcOrd="0" destOrd="0" parTransId="{6037A481-3449-44A4-A4FB-792EC8338FC2}" sibTransId="{334CC921-6B35-4CF4-B9A8-2E0597CA35AC}"/>
    <dgm:cxn modelId="{03E07817-2B7B-4081-AB9C-F6AF32DB5746}" type="presOf" srcId="{6E7D1AF1-DCBD-479A-8F21-3212D60D2F78}" destId="{6681B32D-2E24-4636-A78F-BC926B879589}" srcOrd="0" destOrd="0" presId="urn:microsoft.com/office/officeart/2005/8/layout/radial6"/>
    <dgm:cxn modelId="{4BB7A61B-472C-4BC5-A509-E0EBA6F220FD}" type="presOf" srcId="{334CC921-6B35-4CF4-B9A8-2E0597CA35AC}" destId="{8E4E5F5A-A4FE-41A6-A500-323272351F28}" srcOrd="0" destOrd="0" presId="urn:microsoft.com/office/officeart/2005/8/layout/radial6"/>
    <dgm:cxn modelId="{7FD81B1C-7895-4194-A2A3-800507B758AD}" type="presOf" srcId="{67F7EEAB-2580-4068-AF5C-629485D93C71}" destId="{DDE904DE-5D6B-417D-9107-C760ED08BAD2}" srcOrd="0" destOrd="0" presId="urn:microsoft.com/office/officeart/2005/8/layout/radial6"/>
    <dgm:cxn modelId="{F8121723-0809-48DA-BF80-BCF0910624A6}" type="presOf" srcId="{8D7DD220-F386-442E-B845-EF7E1C904A2A}" destId="{774A2DE8-AFF6-46FF-A0E0-2F858C500C72}" srcOrd="0" destOrd="0" presId="urn:microsoft.com/office/officeart/2005/8/layout/radial6"/>
    <dgm:cxn modelId="{294BD22B-42E3-43A2-B7D3-AAE0EB9F08EC}" type="presOf" srcId="{D6539722-A427-4279-AAFE-BCE6254C8B6D}" destId="{4BE38136-E3AF-4B08-B25A-EF0717CE08AC}" srcOrd="0" destOrd="0" presId="urn:microsoft.com/office/officeart/2005/8/layout/radial6"/>
    <dgm:cxn modelId="{42A4B75B-9768-4FC0-BA45-DDECAA618095}" srcId="{6E7D1AF1-DCBD-479A-8F21-3212D60D2F78}" destId="{81F63DCC-F876-4F38-B52D-11783D37F89B}" srcOrd="3" destOrd="0" parTransId="{D198EFAD-0048-4B20-B3C3-3F23D58C816B}" sibTransId="{6035BF3A-C2CA-4EA8-9FAA-BADEDD2EAED4}"/>
    <dgm:cxn modelId="{B6EA4463-6623-4E17-975C-985A10B889EC}" type="presOf" srcId="{64B47852-742A-46CD-B1B7-548D32462E75}" destId="{75EE6453-57B8-4606-8819-88881D637227}" srcOrd="0" destOrd="0" presId="urn:microsoft.com/office/officeart/2005/8/layout/radial6"/>
    <dgm:cxn modelId="{11A9E467-3C1C-4D2E-9C32-1557266CDC85}" type="presOf" srcId="{D25BFE8D-A868-4653-A189-D9BA8E0A0112}" destId="{8D38B28F-2BC1-40FA-96A2-DE28DAAC0DA3}" srcOrd="0" destOrd="0" presId="urn:microsoft.com/office/officeart/2005/8/layout/radial6"/>
    <dgm:cxn modelId="{8A0EFC57-49F7-4635-AC30-320B0F3DCF36}" type="presOf" srcId="{81F63DCC-F876-4F38-B52D-11783D37F89B}" destId="{D695B8B3-A625-4533-8B71-F37199DAACE0}" srcOrd="0" destOrd="0" presId="urn:microsoft.com/office/officeart/2005/8/layout/radial6"/>
    <dgm:cxn modelId="{F3EDA979-EC2E-4E52-B0D5-975D1C5CF72E}" srcId="{6E7D1AF1-DCBD-479A-8F21-3212D60D2F78}" destId="{CE51C380-F842-45A4-9BFE-9CFC45519591}" srcOrd="1" destOrd="0" parTransId="{E61CCCE9-E0CC-43AD-A85A-9E61151C2186}" sibTransId="{D6539722-A427-4279-AAFE-BCE6254C8B6D}"/>
    <dgm:cxn modelId="{D3DFB9C3-CA66-45B9-A86C-279C13D83A06}" type="presOf" srcId="{6035BF3A-C2CA-4EA8-9FAA-BADEDD2EAED4}" destId="{20B6ADC2-378A-4BF9-BACC-23B1CC38C95D}" srcOrd="0" destOrd="0" presId="urn:microsoft.com/office/officeart/2005/8/layout/radial6"/>
    <dgm:cxn modelId="{ECEC49F8-D581-4133-AA50-BE4F863DCA95}" srcId="{6E7D1AF1-DCBD-479A-8F21-3212D60D2F78}" destId="{67F7EEAB-2580-4068-AF5C-629485D93C71}" srcOrd="2" destOrd="0" parTransId="{C561CAB8-224F-4F98-A097-6518D165B2FA}" sibTransId="{D25BFE8D-A868-4653-A189-D9BA8E0A0112}"/>
    <dgm:cxn modelId="{1110A21B-F48F-4DFA-8C34-CEFC922A0C63}" type="presParOf" srcId="{75EE6453-57B8-4606-8819-88881D637227}" destId="{6681B32D-2E24-4636-A78F-BC926B879589}" srcOrd="0" destOrd="0" presId="urn:microsoft.com/office/officeart/2005/8/layout/radial6"/>
    <dgm:cxn modelId="{C6CAC3A3-9534-4BFB-A5FF-6D58EE95DA5F}" type="presParOf" srcId="{75EE6453-57B8-4606-8819-88881D637227}" destId="{774A2DE8-AFF6-46FF-A0E0-2F858C500C72}" srcOrd="1" destOrd="0" presId="urn:microsoft.com/office/officeart/2005/8/layout/radial6"/>
    <dgm:cxn modelId="{7C779770-C6FC-4745-BB60-ED0BDB9986F7}" type="presParOf" srcId="{75EE6453-57B8-4606-8819-88881D637227}" destId="{89EF00DB-84CB-4DF7-BCA2-471101864F45}" srcOrd="2" destOrd="0" presId="urn:microsoft.com/office/officeart/2005/8/layout/radial6"/>
    <dgm:cxn modelId="{D5977F4A-62A0-4B40-8BE5-CDA38F166F04}" type="presParOf" srcId="{75EE6453-57B8-4606-8819-88881D637227}" destId="{8E4E5F5A-A4FE-41A6-A500-323272351F28}" srcOrd="3" destOrd="0" presId="urn:microsoft.com/office/officeart/2005/8/layout/radial6"/>
    <dgm:cxn modelId="{75098FE4-219F-46E3-822E-ECF55B3B140F}" type="presParOf" srcId="{75EE6453-57B8-4606-8819-88881D637227}" destId="{EF7C0C61-9105-4366-A3B0-0C5E966BDBC2}" srcOrd="4" destOrd="0" presId="urn:microsoft.com/office/officeart/2005/8/layout/radial6"/>
    <dgm:cxn modelId="{93E3DFE7-ED8F-43C6-88CE-C8C44702BA3F}" type="presParOf" srcId="{75EE6453-57B8-4606-8819-88881D637227}" destId="{156ECFEF-2E35-4003-A7FA-5DFA938E1B9A}" srcOrd="5" destOrd="0" presId="urn:microsoft.com/office/officeart/2005/8/layout/radial6"/>
    <dgm:cxn modelId="{33CF961F-42C5-4BB2-8CD9-AF18C715948D}" type="presParOf" srcId="{75EE6453-57B8-4606-8819-88881D637227}" destId="{4BE38136-E3AF-4B08-B25A-EF0717CE08AC}" srcOrd="6" destOrd="0" presId="urn:microsoft.com/office/officeart/2005/8/layout/radial6"/>
    <dgm:cxn modelId="{BC12A602-940A-40DF-B2B2-599C132BE84D}" type="presParOf" srcId="{75EE6453-57B8-4606-8819-88881D637227}" destId="{DDE904DE-5D6B-417D-9107-C760ED08BAD2}" srcOrd="7" destOrd="0" presId="urn:microsoft.com/office/officeart/2005/8/layout/radial6"/>
    <dgm:cxn modelId="{7CEFCEAF-7009-4FEF-8291-327EBE13F083}" type="presParOf" srcId="{75EE6453-57B8-4606-8819-88881D637227}" destId="{315A78A8-C95C-40CA-AD6C-735C8D4F8751}" srcOrd="8" destOrd="0" presId="urn:microsoft.com/office/officeart/2005/8/layout/radial6"/>
    <dgm:cxn modelId="{FAF4ECB6-7A1F-43D2-9E4F-32183D8FF53F}" type="presParOf" srcId="{75EE6453-57B8-4606-8819-88881D637227}" destId="{8D38B28F-2BC1-40FA-96A2-DE28DAAC0DA3}" srcOrd="9" destOrd="0" presId="urn:microsoft.com/office/officeart/2005/8/layout/radial6"/>
    <dgm:cxn modelId="{FC651A52-8C64-46D0-9D9C-B6AB45FCE78C}" type="presParOf" srcId="{75EE6453-57B8-4606-8819-88881D637227}" destId="{D695B8B3-A625-4533-8B71-F37199DAACE0}" srcOrd="10" destOrd="0" presId="urn:microsoft.com/office/officeart/2005/8/layout/radial6"/>
    <dgm:cxn modelId="{E578CC79-A7D5-48D5-ADBC-4C23E6E588C1}" type="presParOf" srcId="{75EE6453-57B8-4606-8819-88881D637227}" destId="{545EC8BD-84CD-4158-AF64-19FED48EFBA6}" srcOrd="11" destOrd="0" presId="urn:microsoft.com/office/officeart/2005/8/layout/radial6"/>
    <dgm:cxn modelId="{4A351A78-5031-4603-B6E7-0F485C25DC78}" type="presParOf" srcId="{75EE6453-57B8-4606-8819-88881D637227}" destId="{20B6ADC2-378A-4BF9-BACC-23B1CC38C95D}" srcOrd="12" destOrd="0" presId="urn:microsoft.com/office/officeart/2005/8/layout/radial6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75B7D391-4A29-41BC-9D59-8A7063971AAF}" type="doc">
      <dgm:prSet loTypeId="urn:microsoft.com/office/officeart/2005/8/layout/hierarchy2" loCatId="hierarchy" qsTypeId="urn:microsoft.com/office/officeart/2005/8/quickstyle/simple1" qsCatId="simple" csTypeId="urn:microsoft.com/office/officeart/2005/8/colors/colorful3" csCatId="colorful" phldr="1"/>
      <dgm:spPr/>
      <dgm:t>
        <a:bodyPr/>
        <a:lstStyle/>
        <a:p>
          <a:endParaRPr lang="es-CO"/>
        </a:p>
      </dgm:t>
    </dgm:pt>
    <dgm:pt modelId="{DF4EB251-91B0-4EDC-A30F-364A10D62192}">
      <dgm:prSet phldrT="[Texto]" custT="1"/>
      <dgm:spPr/>
      <dgm:t>
        <a:bodyPr/>
        <a:lstStyle/>
        <a:p>
          <a:r>
            <a:rPr lang="es-CO" sz="2400"/>
            <a:t>Los Tunos Parrilla</a:t>
          </a:r>
        </a:p>
      </dgm:t>
    </dgm:pt>
    <dgm:pt modelId="{B42D3CEC-CF6A-497B-BB12-1EA751780FEB}" type="parTrans" cxnId="{B5425454-C44F-43DC-9F30-C4FDF837555D}">
      <dgm:prSet/>
      <dgm:spPr/>
      <dgm:t>
        <a:bodyPr/>
        <a:lstStyle/>
        <a:p>
          <a:endParaRPr lang="es-CO" sz="3200"/>
        </a:p>
      </dgm:t>
    </dgm:pt>
    <dgm:pt modelId="{A7DD9B96-2E3C-4853-AA60-81CA5C4968F1}" type="sibTrans" cxnId="{B5425454-C44F-43DC-9F30-C4FDF837555D}">
      <dgm:prSet/>
      <dgm:spPr/>
      <dgm:t>
        <a:bodyPr/>
        <a:lstStyle/>
        <a:p>
          <a:endParaRPr lang="es-CO" sz="3200"/>
        </a:p>
      </dgm:t>
    </dgm:pt>
    <dgm:pt modelId="{E305F6E0-EC7F-461D-B1AD-D138B59A1146}">
      <dgm:prSet phldrT="[Texto]" custT="1"/>
      <dgm:spPr/>
      <dgm:t>
        <a:bodyPr/>
        <a:lstStyle/>
        <a:p>
          <a:r>
            <a:rPr lang="es-CO" sz="1600"/>
            <a:t>Adaptarse</a:t>
          </a:r>
        </a:p>
      </dgm:t>
    </dgm:pt>
    <dgm:pt modelId="{1A01BAB7-D852-42EC-A523-3E0FC524173A}" type="parTrans" cxnId="{B2C0DAC4-923B-4605-B76F-E8E31B5A2F4C}">
      <dgm:prSet custT="1"/>
      <dgm:spPr/>
      <dgm:t>
        <a:bodyPr/>
        <a:lstStyle/>
        <a:p>
          <a:endParaRPr lang="es-CO" sz="900"/>
        </a:p>
      </dgm:t>
    </dgm:pt>
    <dgm:pt modelId="{526E5ED3-9EBC-4DD4-9059-2BD77BA27ED4}" type="sibTrans" cxnId="{B2C0DAC4-923B-4605-B76F-E8E31B5A2F4C}">
      <dgm:prSet/>
      <dgm:spPr/>
      <dgm:t>
        <a:bodyPr/>
        <a:lstStyle/>
        <a:p>
          <a:endParaRPr lang="es-CO" sz="3200"/>
        </a:p>
      </dgm:t>
    </dgm:pt>
    <dgm:pt modelId="{C3C4AD0C-8D93-4517-99A6-7BB2DE6CEC04}">
      <dgm:prSet phldrT="[Texto]" custT="1"/>
      <dgm:spPr/>
      <dgm:t>
        <a:bodyPr/>
        <a:lstStyle/>
        <a:p>
          <a:r>
            <a:rPr lang="es-CO" sz="2000"/>
            <a:t>Plataforma de ventas</a:t>
          </a:r>
        </a:p>
      </dgm:t>
    </dgm:pt>
    <dgm:pt modelId="{36864AED-CFD1-4B11-9E77-829B0A685D8C}" type="parTrans" cxnId="{4702072B-957F-4FB0-91A5-5B66BA43F5A2}">
      <dgm:prSet custT="1"/>
      <dgm:spPr/>
      <dgm:t>
        <a:bodyPr/>
        <a:lstStyle/>
        <a:p>
          <a:endParaRPr lang="es-CO" sz="900"/>
        </a:p>
      </dgm:t>
    </dgm:pt>
    <dgm:pt modelId="{B4C11FAF-C878-4A33-8573-836E65739DA5}" type="sibTrans" cxnId="{4702072B-957F-4FB0-91A5-5B66BA43F5A2}">
      <dgm:prSet/>
      <dgm:spPr/>
      <dgm:t>
        <a:bodyPr/>
        <a:lstStyle/>
        <a:p>
          <a:endParaRPr lang="es-CO" sz="3200"/>
        </a:p>
      </dgm:t>
    </dgm:pt>
    <dgm:pt modelId="{0914DEFE-6C17-444F-A152-4ADFA2A76D26}">
      <dgm:prSet phldrT="[Texto]" custT="1"/>
      <dgm:spPr/>
      <dgm:t>
        <a:bodyPr/>
        <a:lstStyle/>
        <a:p>
          <a:r>
            <a:rPr lang="es-CO" sz="1800"/>
            <a:t>Pagos Online a Domicilio</a:t>
          </a:r>
        </a:p>
      </dgm:t>
    </dgm:pt>
    <dgm:pt modelId="{55C1839A-3EE2-469A-A968-C59B499D05BA}" type="parTrans" cxnId="{43F1770C-4109-4EF3-952E-854312585866}">
      <dgm:prSet custT="1"/>
      <dgm:spPr/>
      <dgm:t>
        <a:bodyPr/>
        <a:lstStyle/>
        <a:p>
          <a:endParaRPr lang="es-CO" sz="900"/>
        </a:p>
      </dgm:t>
    </dgm:pt>
    <dgm:pt modelId="{A324E984-6FD7-4A91-A65E-95BF4B8D8819}" type="sibTrans" cxnId="{43F1770C-4109-4EF3-952E-854312585866}">
      <dgm:prSet/>
      <dgm:spPr/>
      <dgm:t>
        <a:bodyPr/>
        <a:lstStyle/>
        <a:p>
          <a:endParaRPr lang="es-CO" sz="3200"/>
        </a:p>
      </dgm:t>
    </dgm:pt>
    <dgm:pt modelId="{C6A1D183-7FF4-4FAE-B98F-BC54AB628D5A}">
      <dgm:prSet phldrT="[Texto]" custT="1"/>
      <dgm:spPr/>
      <dgm:t>
        <a:bodyPr/>
        <a:lstStyle/>
        <a:p>
          <a:r>
            <a:rPr lang="es-CO" sz="1600"/>
            <a:t>No adaptarse</a:t>
          </a:r>
        </a:p>
      </dgm:t>
    </dgm:pt>
    <dgm:pt modelId="{A025D5F7-5B4B-4020-AB63-5C964A5C6026}" type="parTrans" cxnId="{5FA74239-E1AA-47A6-86BE-C83F566EFDA9}">
      <dgm:prSet custT="1"/>
      <dgm:spPr/>
      <dgm:t>
        <a:bodyPr/>
        <a:lstStyle/>
        <a:p>
          <a:endParaRPr lang="es-CO" sz="900"/>
        </a:p>
      </dgm:t>
    </dgm:pt>
    <dgm:pt modelId="{BCFC3C59-907B-437F-89F0-1BFE6A288355}" type="sibTrans" cxnId="{5FA74239-E1AA-47A6-86BE-C83F566EFDA9}">
      <dgm:prSet/>
      <dgm:spPr/>
      <dgm:t>
        <a:bodyPr/>
        <a:lstStyle/>
        <a:p>
          <a:endParaRPr lang="es-CO" sz="3200"/>
        </a:p>
      </dgm:t>
    </dgm:pt>
    <dgm:pt modelId="{8B7301AD-5D0D-437D-9E7D-108B145211A8}">
      <dgm:prSet phldrT="[Texto]" custT="1"/>
      <dgm:spPr/>
      <dgm:t>
        <a:bodyPr/>
        <a:lstStyle/>
        <a:p>
          <a:r>
            <a:rPr lang="es-CO" sz="1600"/>
            <a:t>En cuestión de tiempo otros restaurantes se adaptaran tecnologicamente</a:t>
          </a:r>
        </a:p>
      </dgm:t>
    </dgm:pt>
    <dgm:pt modelId="{B04B3A0E-FD10-45FE-A5E2-BCCFAF03BAF1}" type="parTrans" cxnId="{A651436A-A901-44B6-9405-2C3194C6719F}">
      <dgm:prSet custT="1"/>
      <dgm:spPr/>
      <dgm:t>
        <a:bodyPr/>
        <a:lstStyle/>
        <a:p>
          <a:endParaRPr lang="es-CO" sz="900"/>
        </a:p>
      </dgm:t>
    </dgm:pt>
    <dgm:pt modelId="{D4CBB90B-7089-40DB-8648-F6865918F443}" type="sibTrans" cxnId="{A651436A-A901-44B6-9405-2C3194C6719F}">
      <dgm:prSet/>
      <dgm:spPr/>
      <dgm:t>
        <a:bodyPr/>
        <a:lstStyle/>
        <a:p>
          <a:endParaRPr lang="es-CO" sz="3200"/>
        </a:p>
      </dgm:t>
    </dgm:pt>
    <dgm:pt modelId="{C9B97DA7-12E3-4241-8F63-104B4ECBB5A4}">
      <dgm:prSet phldrT="[Texto]" custT="1"/>
      <dgm:spPr/>
      <dgm:t>
        <a:bodyPr/>
        <a:lstStyle/>
        <a:p>
          <a:r>
            <a:rPr lang="es-CO" sz="1400"/>
            <a:t>* Blog del menú</a:t>
          </a:r>
        </a:p>
        <a:p>
          <a:r>
            <a:rPr lang="es-CO" sz="1400"/>
            <a:t>* Wasap</a:t>
          </a:r>
        </a:p>
        <a:p>
          <a:r>
            <a:rPr lang="es-CO" sz="1400"/>
            <a:t>* Mensajes de Texto</a:t>
          </a:r>
        </a:p>
      </dgm:t>
    </dgm:pt>
    <dgm:pt modelId="{1C0ECF78-B8D5-495F-8B34-81D90F573DFC}" type="parTrans" cxnId="{D1EB92D1-4F82-44B2-8916-022EFA15D4A0}">
      <dgm:prSet custT="1"/>
      <dgm:spPr/>
      <dgm:t>
        <a:bodyPr/>
        <a:lstStyle/>
        <a:p>
          <a:endParaRPr lang="es-CO" sz="900"/>
        </a:p>
      </dgm:t>
    </dgm:pt>
    <dgm:pt modelId="{14C04757-3BF3-4BFA-9ED7-DCBE0F7B91E9}" type="sibTrans" cxnId="{D1EB92D1-4F82-44B2-8916-022EFA15D4A0}">
      <dgm:prSet/>
      <dgm:spPr/>
      <dgm:t>
        <a:bodyPr/>
        <a:lstStyle/>
        <a:p>
          <a:endParaRPr lang="es-CO" sz="3200"/>
        </a:p>
      </dgm:t>
    </dgm:pt>
    <dgm:pt modelId="{C5672A87-218B-4E36-BC10-7ABBD4A208F8}">
      <dgm:prSet phldrT="[Texto]" custT="1"/>
      <dgm:spPr/>
      <dgm:t>
        <a:bodyPr/>
        <a:lstStyle/>
        <a:p>
          <a:r>
            <a:rPr lang="es-CO" sz="1600"/>
            <a:t>Facebook - Istagran</a:t>
          </a:r>
        </a:p>
        <a:p>
          <a:r>
            <a:rPr lang="es-CO" sz="1600"/>
            <a:t>Wasap.</a:t>
          </a:r>
        </a:p>
      </dgm:t>
    </dgm:pt>
    <dgm:pt modelId="{9082B496-25FE-4169-9363-EAD41C1BAD0D}" type="parTrans" cxnId="{CC9C15C0-2070-4F20-BDF5-6712228E4B64}">
      <dgm:prSet custT="1"/>
      <dgm:spPr/>
      <dgm:t>
        <a:bodyPr/>
        <a:lstStyle/>
        <a:p>
          <a:endParaRPr lang="es-CO" sz="900"/>
        </a:p>
      </dgm:t>
    </dgm:pt>
    <dgm:pt modelId="{86CFA9BB-6233-4B86-9BD4-4D1A8250F711}" type="sibTrans" cxnId="{CC9C15C0-2070-4F20-BDF5-6712228E4B64}">
      <dgm:prSet/>
      <dgm:spPr/>
      <dgm:t>
        <a:bodyPr/>
        <a:lstStyle/>
        <a:p>
          <a:endParaRPr lang="es-CO" sz="3200"/>
        </a:p>
      </dgm:t>
    </dgm:pt>
    <dgm:pt modelId="{CFEB4CDE-F0B5-4022-AB14-10D7A3BD425B}">
      <dgm:prSet phldrT="[Texto]" custT="1"/>
      <dgm:spPr/>
      <dgm:t>
        <a:bodyPr/>
        <a:lstStyle/>
        <a:p>
          <a:r>
            <a:rPr lang="es-CO" sz="1400"/>
            <a:t>En el corto plazo se percibiran beneficios, pero en el largo riesgo de Difault x menor participación del mercado</a:t>
          </a:r>
        </a:p>
      </dgm:t>
    </dgm:pt>
    <dgm:pt modelId="{AC02D027-B653-4B77-A361-66C1E1D7CA50}" type="parTrans" cxnId="{E6E3C997-6B60-4E00-92A1-B5963860F113}">
      <dgm:prSet custT="1"/>
      <dgm:spPr/>
      <dgm:t>
        <a:bodyPr/>
        <a:lstStyle/>
        <a:p>
          <a:endParaRPr lang="es-CO" sz="900"/>
        </a:p>
      </dgm:t>
    </dgm:pt>
    <dgm:pt modelId="{350C120B-5FD1-47A5-B158-69A7A418674E}" type="sibTrans" cxnId="{E6E3C997-6B60-4E00-92A1-B5963860F113}">
      <dgm:prSet/>
      <dgm:spPr/>
      <dgm:t>
        <a:bodyPr/>
        <a:lstStyle/>
        <a:p>
          <a:endParaRPr lang="es-CO" sz="3200"/>
        </a:p>
      </dgm:t>
    </dgm:pt>
    <dgm:pt modelId="{31D6180F-ECE4-4AAC-88E5-C9AF6894F914}">
      <dgm:prSet phldrT="[Texto]" custT="1"/>
      <dgm:spPr/>
      <dgm:t>
        <a:bodyPr/>
        <a:lstStyle/>
        <a:p>
          <a:r>
            <a:rPr lang="es-CO" sz="1050"/>
            <a:t>* Disminución de riesgo Covid-19</a:t>
          </a:r>
        </a:p>
        <a:p>
          <a:r>
            <a:rPr lang="es-CO" sz="1050"/>
            <a:t>* Disminución de costo por usar Datafono</a:t>
          </a:r>
        </a:p>
        <a:p>
          <a:r>
            <a:rPr lang="es-CO" sz="1050"/>
            <a:t>* Crecimiento del ingreso</a:t>
          </a:r>
        </a:p>
        <a:p>
          <a:r>
            <a:rPr lang="es-CO" sz="1050"/>
            <a:t>* Crecimiento de ventas a largo plazo</a:t>
          </a:r>
        </a:p>
      </dgm:t>
    </dgm:pt>
    <dgm:pt modelId="{E4A990BC-AF9F-4844-9083-823B3AD7C5C2}" type="parTrans" cxnId="{8085CAF9-53C3-4A2C-9A41-CD1BD9B4D669}">
      <dgm:prSet custT="1"/>
      <dgm:spPr/>
      <dgm:t>
        <a:bodyPr/>
        <a:lstStyle/>
        <a:p>
          <a:endParaRPr lang="es-CO" sz="900"/>
        </a:p>
      </dgm:t>
    </dgm:pt>
    <dgm:pt modelId="{E21CD831-1C61-49A1-825C-F4960A7218FF}" type="sibTrans" cxnId="{8085CAF9-53C3-4A2C-9A41-CD1BD9B4D669}">
      <dgm:prSet/>
      <dgm:spPr/>
      <dgm:t>
        <a:bodyPr/>
        <a:lstStyle/>
        <a:p>
          <a:endParaRPr lang="es-CO" sz="3200"/>
        </a:p>
      </dgm:t>
    </dgm:pt>
    <dgm:pt modelId="{3789F7D8-6AC4-4DF3-B8E5-636A17DD51FD}" type="pres">
      <dgm:prSet presAssocID="{75B7D391-4A29-41BC-9D59-8A7063971AAF}" presName="diagram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E47C858A-1874-4624-871F-0FF6CF740EFD}" type="pres">
      <dgm:prSet presAssocID="{DF4EB251-91B0-4EDC-A30F-364A10D62192}" presName="root1" presStyleCnt="0"/>
      <dgm:spPr/>
    </dgm:pt>
    <dgm:pt modelId="{7AD7728E-1E11-48A9-A67A-2806F1343BF8}" type="pres">
      <dgm:prSet presAssocID="{DF4EB251-91B0-4EDC-A30F-364A10D62192}" presName="LevelOneTextNode" presStyleLbl="node0" presStyleIdx="0" presStyleCnt="1">
        <dgm:presLayoutVars>
          <dgm:chPref val="3"/>
        </dgm:presLayoutVars>
      </dgm:prSet>
      <dgm:spPr/>
    </dgm:pt>
    <dgm:pt modelId="{6D5C6819-F805-4502-B02D-B89F900D7C7C}" type="pres">
      <dgm:prSet presAssocID="{DF4EB251-91B0-4EDC-A30F-364A10D62192}" presName="level2hierChild" presStyleCnt="0"/>
      <dgm:spPr/>
    </dgm:pt>
    <dgm:pt modelId="{1E4F17B2-61C1-4211-9112-21EAEF2D66DE}" type="pres">
      <dgm:prSet presAssocID="{1A01BAB7-D852-42EC-A523-3E0FC524173A}" presName="conn2-1" presStyleLbl="parChTrans1D2" presStyleIdx="0" presStyleCnt="2"/>
      <dgm:spPr/>
    </dgm:pt>
    <dgm:pt modelId="{A6B5AC58-8480-4DD8-9BC5-CDFC9B0E3773}" type="pres">
      <dgm:prSet presAssocID="{1A01BAB7-D852-42EC-A523-3E0FC524173A}" presName="connTx" presStyleLbl="parChTrans1D2" presStyleIdx="0" presStyleCnt="2"/>
      <dgm:spPr/>
    </dgm:pt>
    <dgm:pt modelId="{EDD66041-8B16-45B0-BD32-E81D4E90949B}" type="pres">
      <dgm:prSet presAssocID="{E305F6E0-EC7F-461D-B1AD-D138B59A1146}" presName="root2" presStyleCnt="0"/>
      <dgm:spPr/>
    </dgm:pt>
    <dgm:pt modelId="{B71EA1DC-AA5D-4DEF-AACD-D7B610C30043}" type="pres">
      <dgm:prSet presAssocID="{E305F6E0-EC7F-461D-B1AD-D138B59A1146}" presName="LevelTwoTextNode" presStyleLbl="node2" presStyleIdx="0" presStyleCnt="2">
        <dgm:presLayoutVars>
          <dgm:chPref val="3"/>
        </dgm:presLayoutVars>
      </dgm:prSet>
      <dgm:spPr/>
    </dgm:pt>
    <dgm:pt modelId="{5318A4DA-010F-47AA-AC66-AE8EDE3DA503}" type="pres">
      <dgm:prSet presAssocID="{E305F6E0-EC7F-461D-B1AD-D138B59A1146}" presName="level3hierChild" presStyleCnt="0"/>
      <dgm:spPr/>
    </dgm:pt>
    <dgm:pt modelId="{FA110F8D-A383-48E7-9886-D97D3E84D77B}" type="pres">
      <dgm:prSet presAssocID="{36864AED-CFD1-4B11-9E77-829B0A685D8C}" presName="conn2-1" presStyleLbl="parChTrans1D3" presStyleIdx="0" presStyleCnt="3"/>
      <dgm:spPr/>
    </dgm:pt>
    <dgm:pt modelId="{1199E3A4-F43D-4B8D-9B92-9CCFF81D35F7}" type="pres">
      <dgm:prSet presAssocID="{36864AED-CFD1-4B11-9E77-829B0A685D8C}" presName="connTx" presStyleLbl="parChTrans1D3" presStyleIdx="0" presStyleCnt="3"/>
      <dgm:spPr/>
    </dgm:pt>
    <dgm:pt modelId="{C6DF0779-43DD-4B1E-A772-03F744E8787F}" type="pres">
      <dgm:prSet presAssocID="{C3C4AD0C-8D93-4517-99A6-7BB2DE6CEC04}" presName="root2" presStyleCnt="0"/>
      <dgm:spPr/>
    </dgm:pt>
    <dgm:pt modelId="{765BCC75-F323-4F23-9E4F-05AF23F1A45D}" type="pres">
      <dgm:prSet presAssocID="{C3C4AD0C-8D93-4517-99A6-7BB2DE6CEC04}" presName="LevelTwoTextNode" presStyleLbl="node3" presStyleIdx="0" presStyleCnt="3">
        <dgm:presLayoutVars>
          <dgm:chPref val="3"/>
        </dgm:presLayoutVars>
      </dgm:prSet>
      <dgm:spPr/>
    </dgm:pt>
    <dgm:pt modelId="{A55A60E8-CF45-462B-BE7D-C8E7CDACE2A1}" type="pres">
      <dgm:prSet presAssocID="{C3C4AD0C-8D93-4517-99A6-7BB2DE6CEC04}" presName="level3hierChild" presStyleCnt="0"/>
      <dgm:spPr/>
    </dgm:pt>
    <dgm:pt modelId="{D74353A1-7855-41D7-BD9C-12C9D6E144B7}" type="pres">
      <dgm:prSet presAssocID="{9082B496-25FE-4169-9363-EAD41C1BAD0D}" presName="conn2-1" presStyleLbl="parChTrans1D4" presStyleIdx="0" presStyleCnt="4"/>
      <dgm:spPr/>
    </dgm:pt>
    <dgm:pt modelId="{D3A862F4-77FC-4D64-8A8A-38BAB036F2ED}" type="pres">
      <dgm:prSet presAssocID="{9082B496-25FE-4169-9363-EAD41C1BAD0D}" presName="connTx" presStyleLbl="parChTrans1D4" presStyleIdx="0" presStyleCnt="4"/>
      <dgm:spPr/>
    </dgm:pt>
    <dgm:pt modelId="{772AE574-E155-41C1-8C7C-53A0CA8E64A6}" type="pres">
      <dgm:prSet presAssocID="{C5672A87-218B-4E36-BC10-7ABBD4A208F8}" presName="root2" presStyleCnt="0"/>
      <dgm:spPr/>
    </dgm:pt>
    <dgm:pt modelId="{642034F3-0EE3-4AA1-9236-83102005B437}" type="pres">
      <dgm:prSet presAssocID="{C5672A87-218B-4E36-BC10-7ABBD4A208F8}" presName="LevelTwoTextNode" presStyleLbl="node4" presStyleIdx="0" presStyleCnt="4" custScaleX="125167">
        <dgm:presLayoutVars>
          <dgm:chPref val="3"/>
        </dgm:presLayoutVars>
      </dgm:prSet>
      <dgm:spPr/>
    </dgm:pt>
    <dgm:pt modelId="{320C7F01-7E38-48B3-A10C-3FC555DC5913}" type="pres">
      <dgm:prSet presAssocID="{C5672A87-218B-4E36-BC10-7ABBD4A208F8}" presName="level3hierChild" presStyleCnt="0"/>
      <dgm:spPr/>
    </dgm:pt>
    <dgm:pt modelId="{D513FF87-3C30-4322-BFFA-C63F22E86710}" type="pres">
      <dgm:prSet presAssocID="{1C0ECF78-B8D5-495F-8B34-81D90F573DFC}" presName="conn2-1" presStyleLbl="parChTrans1D4" presStyleIdx="1" presStyleCnt="4"/>
      <dgm:spPr/>
    </dgm:pt>
    <dgm:pt modelId="{993821BC-5B4C-4351-A21C-51C3F561216C}" type="pres">
      <dgm:prSet presAssocID="{1C0ECF78-B8D5-495F-8B34-81D90F573DFC}" presName="connTx" presStyleLbl="parChTrans1D4" presStyleIdx="1" presStyleCnt="4"/>
      <dgm:spPr/>
    </dgm:pt>
    <dgm:pt modelId="{383A2893-2927-46FD-8384-993B43F7969D}" type="pres">
      <dgm:prSet presAssocID="{C9B97DA7-12E3-4241-8F63-104B4ECBB5A4}" presName="root2" presStyleCnt="0"/>
      <dgm:spPr/>
    </dgm:pt>
    <dgm:pt modelId="{C2D3945D-4E06-4CA2-AF42-3C456595FA60}" type="pres">
      <dgm:prSet presAssocID="{C9B97DA7-12E3-4241-8F63-104B4ECBB5A4}" presName="LevelTwoTextNode" presStyleLbl="node4" presStyleIdx="1" presStyleCnt="4" custScaleX="125167">
        <dgm:presLayoutVars>
          <dgm:chPref val="3"/>
        </dgm:presLayoutVars>
      </dgm:prSet>
      <dgm:spPr/>
    </dgm:pt>
    <dgm:pt modelId="{780A8359-8C36-45E9-A964-1C3E88BE545D}" type="pres">
      <dgm:prSet presAssocID="{C9B97DA7-12E3-4241-8F63-104B4ECBB5A4}" presName="level3hierChild" presStyleCnt="0"/>
      <dgm:spPr/>
    </dgm:pt>
    <dgm:pt modelId="{B8B595D4-1AA7-4313-8314-007ECD9CDB77}" type="pres">
      <dgm:prSet presAssocID="{55C1839A-3EE2-469A-A968-C59B499D05BA}" presName="conn2-1" presStyleLbl="parChTrans1D3" presStyleIdx="1" presStyleCnt="3"/>
      <dgm:spPr/>
    </dgm:pt>
    <dgm:pt modelId="{B1487175-814D-407C-8DA0-5AF7332CCA9C}" type="pres">
      <dgm:prSet presAssocID="{55C1839A-3EE2-469A-A968-C59B499D05BA}" presName="connTx" presStyleLbl="parChTrans1D3" presStyleIdx="1" presStyleCnt="3"/>
      <dgm:spPr/>
    </dgm:pt>
    <dgm:pt modelId="{1357D8B1-ABAA-4F0E-9964-63439D698976}" type="pres">
      <dgm:prSet presAssocID="{0914DEFE-6C17-444F-A152-4ADFA2A76D26}" presName="root2" presStyleCnt="0"/>
      <dgm:spPr/>
    </dgm:pt>
    <dgm:pt modelId="{B383E499-EC4E-4EDC-99D9-35F698E47E93}" type="pres">
      <dgm:prSet presAssocID="{0914DEFE-6C17-444F-A152-4ADFA2A76D26}" presName="LevelTwoTextNode" presStyleLbl="node3" presStyleIdx="1" presStyleCnt="3">
        <dgm:presLayoutVars>
          <dgm:chPref val="3"/>
        </dgm:presLayoutVars>
      </dgm:prSet>
      <dgm:spPr/>
    </dgm:pt>
    <dgm:pt modelId="{F9C45E20-25D5-4575-97DD-06CA105F6671}" type="pres">
      <dgm:prSet presAssocID="{0914DEFE-6C17-444F-A152-4ADFA2A76D26}" presName="level3hierChild" presStyleCnt="0"/>
      <dgm:spPr/>
    </dgm:pt>
    <dgm:pt modelId="{C2813F44-1BCE-4CF0-A191-6A9BA88049E6}" type="pres">
      <dgm:prSet presAssocID="{E4A990BC-AF9F-4844-9083-823B3AD7C5C2}" presName="conn2-1" presStyleLbl="parChTrans1D4" presStyleIdx="2" presStyleCnt="4"/>
      <dgm:spPr/>
    </dgm:pt>
    <dgm:pt modelId="{AD1E0002-1710-4BA8-9A2D-4BE914CC023A}" type="pres">
      <dgm:prSet presAssocID="{E4A990BC-AF9F-4844-9083-823B3AD7C5C2}" presName="connTx" presStyleLbl="parChTrans1D4" presStyleIdx="2" presStyleCnt="4"/>
      <dgm:spPr/>
    </dgm:pt>
    <dgm:pt modelId="{25551B56-AC69-4956-82A8-51CEF5CB5FFD}" type="pres">
      <dgm:prSet presAssocID="{31D6180F-ECE4-4AAC-88E5-C9AF6894F914}" presName="root2" presStyleCnt="0"/>
      <dgm:spPr/>
    </dgm:pt>
    <dgm:pt modelId="{F29B6492-ADF9-462F-8B22-062289126E4B}" type="pres">
      <dgm:prSet presAssocID="{31D6180F-ECE4-4AAC-88E5-C9AF6894F914}" presName="LevelTwoTextNode" presStyleLbl="node4" presStyleIdx="2" presStyleCnt="4" custScaleX="125167">
        <dgm:presLayoutVars>
          <dgm:chPref val="3"/>
        </dgm:presLayoutVars>
      </dgm:prSet>
      <dgm:spPr/>
    </dgm:pt>
    <dgm:pt modelId="{FF76B8D6-FA6D-40E5-876A-C0DE88BB6E8E}" type="pres">
      <dgm:prSet presAssocID="{31D6180F-ECE4-4AAC-88E5-C9AF6894F914}" presName="level3hierChild" presStyleCnt="0"/>
      <dgm:spPr/>
    </dgm:pt>
    <dgm:pt modelId="{4BC60D47-C429-461D-86FB-7B0D10F0C78D}" type="pres">
      <dgm:prSet presAssocID="{A025D5F7-5B4B-4020-AB63-5C964A5C6026}" presName="conn2-1" presStyleLbl="parChTrans1D2" presStyleIdx="1" presStyleCnt="2"/>
      <dgm:spPr/>
    </dgm:pt>
    <dgm:pt modelId="{EFA5B1EC-EF2F-43C8-B9F3-3110BC769A18}" type="pres">
      <dgm:prSet presAssocID="{A025D5F7-5B4B-4020-AB63-5C964A5C6026}" presName="connTx" presStyleLbl="parChTrans1D2" presStyleIdx="1" presStyleCnt="2"/>
      <dgm:spPr/>
    </dgm:pt>
    <dgm:pt modelId="{64146AE4-9575-4B5F-86EE-E34D589A3291}" type="pres">
      <dgm:prSet presAssocID="{C6A1D183-7FF4-4FAE-B98F-BC54AB628D5A}" presName="root2" presStyleCnt="0"/>
      <dgm:spPr/>
    </dgm:pt>
    <dgm:pt modelId="{F3E51841-17EC-4320-AF2E-2B9ED4FDE1EA}" type="pres">
      <dgm:prSet presAssocID="{C6A1D183-7FF4-4FAE-B98F-BC54AB628D5A}" presName="LevelTwoTextNode" presStyleLbl="node2" presStyleIdx="1" presStyleCnt="2">
        <dgm:presLayoutVars>
          <dgm:chPref val="3"/>
        </dgm:presLayoutVars>
      </dgm:prSet>
      <dgm:spPr/>
    </dgm:pt>
    <dgm:pt modelId="{A22358CE-1CCE-4B61-969C-1701235FD7DB}" type="pres">
      <dgm:prSet presAssocID="{C6A1D183-7FF4-4FAE-B98F-BC54AB628D5A}" presName="level3hierChild" presStyleCnt="0"/>
      <dgm:spPr/>
    </dgm:pt>
    <dgm:pt modelId="{D6282B98-BD3A-41BF-943D-112DAAE6E3D3}" type="pres">
      <dgm:prSet presAssocID="{B04B3A0E-FD10-45FE-A5E2-BCCFAF03BAF1}" presName="conn2-1" presStyleLbl="parChTrans1D3" presStyleIdx="2" presStyleCnt="3"/>
      <dgm:spPr/>
    </dgm:pt>
    <dgm:pt modelId="{B7C4DFC0-44F7-47C9-A480-3B14710B7086}" type="pres">
      <dgm:prSet presAssocID="{B04B3A0E-FD10-45FE-A5E2-BCCFAF03BAF1}" presName="connTx" presStyleLbl="parChTrans1D3" presStyleIdx="2" presStyleCnt="3"/>
      <dgm:spPr/>
    </dgm:pt>
    <dgm:pt modelId="{7E6115F4-A77F-4828-BD14-908B1440F00B}" type="pres">
      <dgm:prSet presAssocID="{8B7301AD-5D0D-437D-9E7D-108B145211A8}" presName="root2" presStyleCnt="0"/>
      <dgm:spPr/>
    </dgm:pt>
    <dgm:pt modelId="{3E8CC95A-30BB-4288-A1FA-7394103B23E8}" type="pres">
      <dgm:prSet presAssocID="{8B7301AD-5D0D-437D-9E7D-108B145211A8}" presName="LevelTwoTextNode" presStyleLbl="node3" presStyleIdx="2" presStyleCnt="3">
        <dgm:presLayoutVars>
          <dgm:chPref val="3"/>
        </dgm:presLayoutVars>
      </dgm:prSet>
      <dgm:spPr/>
    </dgm:pt>
    <dgm:pt modelId="{71891B3C-826C-4756-A9BA-14E596B8A4AD}" type="pres">
      <dgm:prSet presAssocID="{8B7301AD-5D0D-437D-9E7D-108B145211A8}" presName="level3hierChild" presStyleCnt="0"/>
      <dgm:spPr/>
    </dgm:pt>
    <dgm:pt modelId="{D435C461-2B81-4B82-B114-76B56B6019A5}" type="pres">
      <dgm:prSet presAssocID="{AC02D027-B653-4B77-A361-66C1E1D7CA50}" presName="conn2-1" presStyleLbl="parChTrans1D4" presStyleIdx="3" presStyleCnt="4"/>
      <dgm:spPr/>
    </dgm:pt>
    <dgm:pt modelId="{318B42E5-770F-472D-ACC9-D1A6704BADAE}" type="pres">
      <dgm:prSet presAssocID="{AC02D027-B653-4B77-A361-66C1E1D7CA50}" presName="connTx" presStyleLbl="parChTrans1D4" presStyleIdx="3" presStyleCnt="4"/>
      <dgm:spPr/>
    </dgm:pt>
    <dgm:pt modelId="{73614549-27F9-437F-BC45-9989DB391E62}" type="pres">
      <dgm:prSet presAssocID="{CFEB4CDE-F0B5-4022-AB14-10D7A3BD425B}" presName="root2" presStyleCnt="0"/>
      <dgm:spPr/>
    </dgm:pt>
    <dgm:pt modelId="{7D3F564C-C748-4E8D-961D-03041E55C44F}" type="pres">
      <dgm:prSet presAssocID="{CFEB4CDE-F0B5-4022-AB14-10D7A3BD425B}" presName="LevelTwoTextNode" presStyleLbl="node4" presStyleIdx="3" presStyleCnt="4" custScaleX="125167">
        <dgm:presLayoutVars>
          <dgm:chPref val="3"/>
        </dgm:presLayoutVars>
      </dgm:prSet>
      <dgm:spPr/>
    </dgm:pt>
    <dgm:pt modelId="{9F347E03-D210-4419-A141-8E86578ADC41}" type="pres">
      <dgm:prSet presAssocID="{CFEB4CDE-F0B5-4022-AB14-10D7A3BD425B}" presName="level3hierChild" presStyleCnt="0"/>
      <dgm:spPr/>
    </dgm:pt>
  </dgm:ptLst>
  <dgm:cxnLst>
    <dgm:cxn modelId="{3F84B703-CABE-44E6-B70D-56B8E90E557F}" type="presOf" srcId="{8B7301AD-5D0D-437D-9E7D-108B145211A8}" destId="{3E8CC95A-30BB-4288-A1FA-7394103B23E8}" srcOrd="0" destOrd="0" presId="urn:microsoft.com/office/officeart/2005/8/layout/hierarchy2"/>
    <dgm:cxn modelId="{597DA304-403F-4755-BB62-78551B02FF74}" type="presOf" srcId="{DF4EB251-91B0-4EDC-A30F-364A10D62192}" destId="{7AD7728E-1E11-48A9-A67A-2806F1343BF8}" srcOrd="0" destOrd="0" presId="urn:microsoft.com/office/officeart/2005/8/layout/hierarchy2"/>
    <dgm:cxn modelId="{43F1770C-4109-4EF3-952E-854312585866}" srcId="{E305F6E0-EC7F-461D-B1AD-D138B59A1146}" destId="{0914DEFE-6C17-444F-A152-4ADFA2A76D26}" srcOrd="1" destOrd="0" parTransId="{55C1839A-3EE2-469A-A968-C59B499D05BA}" sibTransId="{A324E984-6FD7-4A91-A65E-95BF4B8D8819}"/>
    <dgm:cxn modelId="{D4B4D20C-E54A-4A0F-8998-C59CE70A0654}" type="presOf" srcId="{9082B496-25FE-4169-9363-EAD41C1BAD0D}" destId="{D3A862F4-77FC-4D64-8A8A-38BAB036F2ED}" srcOrd="1" destOrd="0" presId="urn:microsoft.com/office/officeart/2005/8/layout/hierarchy2"/>
    <dgm:cxn modelId="{E23C6F25-EBAB-4D8D-813E-9B443E08F072}" type="presOf" srcId="{36864AED-CFD1-4B11-9E77-829B0A685D8C}" destId="{1199E3A4-F43D-4B8D-9B92-9CCFF81D35F7}" srcOrd="1" destOrd="0" presId="urn:microsoft.com/office/officeart/2005/8/layout/hierarchy2"/>
    <dgm:cxn modelId="{4702072B-957F-4FB0-91A5-5B66BA43F5A2}" srcId="{E305F6E0-EC7F-461D-B1AD-D138B59A1146}" destId="{C3C4AD0C-8D93-4517-99A6-7BB2DE6CEC04}" srcOrd="0" destOrd="0" parTransId="{36864AED-CFD1-4B11-9E77-829B0A685D8C}" sibTransId="{B4C11FAF-C878-4A33-8573-836E65739DA5}"/>
    <dgm:cxn modelId="{81B84F2B-AAF3-4D0C-9682-3A9EE579370D}" type="presOf" srcId="{A025D5F7-5B4B-4020-AB63-5C964A5C6026}" destId="{4BC60D47-C429-461D-86FB-7B0D10F0C78D}" srcOrd="0" destOrd="0" presId="urn:microsoft.com/office/officeart/2005/8/layout/hierarchy2"/>
    <dgm:cxn modelId="{821CD031-D103-4C94-86A3-C6C23BF823DC}" type="presOf" srcId="{E305F6E0-EC7F-461D-B1AD-D138B59A1146}" destId="{B71EA1DC-AA5D-4DEF-AACD-D7B610C30043}" srcOrd="0" destOrd="0" presId="urn:microsoft.com/office/officeart/2005/8/layout/hierarchy2"/>
    <dgm:cxn modelId="{D6706D34-8E4B-428E-9F34-F18633DF773E}" type="presOf" srcId="{E4A990BC-AF9F-4844-9083-823B3AD7C5C2}" destId="{C2813F44-1BCE-4CF0-A191-6A9BA88049E6}" srcOrd="0" destOrd="0" presId="urn:microsoft.com/office/officeart/2005/8/layout/hierarchy2"/>
    <dgm:cxn modelId="{5FA74239-E1AA-47A6-86BE-C83F566EFDA9}" srcId="{DF4EB251-91B0-4EDC-A30F-364A10D62192}" destId="{C6A1D183-7FF4-4FAE-B98F-BC54AB628D5A}" srcOrd="1" destOrd="0" parTransId="{A025D5F7-5B4B-4020-AB63-5C964A5C6026}" sibTransId="{BCFC3C59-907B-437F-89F0-1BFE6A288355}"/>
    <dgm:cxn modelId="{A8F98E61-DB01-419C-925A-4AFB27DE3123}" type="presOf" srcId="{E4A990BC-AF9F-4844-9083-823B3AD7C5C2}" destId="{AD1E0002-1710-4BA8-9A2D-4BE914CC023A}" srcOrd="1" destOrd="0" presId="urn:microsoft.com/office/officeart/2005/8/layout/hierarchy2"/>
    <dgm:cxn modelId="{E515E243-A81E-4C9A-AC48-53641A22A375}" type="presOf" srcId="{B04B3A0E-FD10-45FE-A5E2-BCCFAF03BAF1}" destId="{B7C4DFC0-44F7-47C9-A480-3B14710B7086}" srcOrd="1" destOrd="0" presId="urn:microsoft.com/office/officeart/2005/8/layout/hierarchy2"/>
    <dgm:cxn modelId="{A651436A-A901-44B6-9405-2C3194C6719F}" srcId="{C6A1D183-7FF4-4FAE-B98F-BC54AB628D5A}" destId="{8B7301AD-5D0D-437D-9E7D-108B145211A8}" srcOrd="0" destOrd="0" parTransId="{B04B3A0E-FD10-45FE-A5E2-BCCFAF03BAF1}" sibTransId="{D4CBB90B-7089-40DB-8648-F6865918F443}"/>
    <dgm:cxn modelId="{70F19570-1A9F-4E31-84F8-DE8FB47CC1D5}" type="presOf" srcId="{1C0ECF78-B8D5-495F-8B34-81D90F573DFC}" destId="{D513FF87-3C30-4322-BFFA-C63F22E86710}" srcOrd="0" destOrd="0" presId="urn:microsoft.com/office/officeart/2005/8/layout/hierarchy2"/>
    <dgm:cxn modelId="{0F619D70-1841-4050-AE82-E0AA0F83B08D}" type="presOf" srcId="{A025D5F7-5B4B-4020-AB63-5C964A5C6026}" destId="{EFA5B1EC-EF2F-43C8-B9F3-3110BC769A18}" srcOrd="1" destOrd="0" presId="urn:microsoft.com/office/officeart/2005/8/layout/hierarchy2"/>
    <dgm:cxn modelId="{B5425454-C44F-43DC-9F30-C4FDF837555D}" srcId="{75B7D391-4A29-41BC-9D59-8A7063971AAF}" destId="{DF4EB251-91B0-4EDC-A30F-364A10D62192}" srcOrd="0" destOrd="0" parTransId="{B42D3CEC-CF6A-497B-BB12-1EA751780FEB}" sibTransId="{A7DD9B96-2E3C-4853-AA60-81CA5C4968F1}"/>
    <dgm:cxn modelId="{23C36A56-D7BE-4BB9-A3FF-19CEB3E7A7A2}" type="presOf" srcId="{55C1839A-3EE2-469A-A968-C59B499D05BA}" destId="{B8B595D4-1AA7-4313-8314-007ECD9CDB77}" srcOrd="0" destOrd="0" presId="urn:microsoft.com/office/officeart/2005/8/layout/hierarchy2"/>
    <dgm:cxn modelId="{8E9BF082-83F8-4427-B416-0F0A00D5DCF5}" type="presOf" srcId="{1C0ECF78-B8D5-495F-8B34-81D90F573DFC}" destId="{993821BC-5B4C-4351-A21C-51C3F561216C}" srcOrd="1" destOrd="0" presId="urn:microsoft.com/office/officeart/2005/8/layout/hierarchy2"/>
    <dgm:cxn modelId="{84A82993-07E2-4A42-A996-46900583FFD5}" type="presOf" srcId="{C9B97DA7-12E3-4241-8F63-104B4ECBB5A4}" destId="{C2D3945D-4E06-4CA2-AF42-3C456595FA60}" srcOrd="0" destOrd="0" presId="urn:microsoft.com/office/officeart/2005/8/layout/hierarchy2"/>
    <dgm:cxn modelId="{E6E3C997-6B60-4E00-92A1-B5963860F113}" srcId="{8B7301AD-5D0D-437D-9E7D-108B145211A8}" destId="{CFEB4CDE-F0B5-4022-AB14-10D7A3BD425B}" srcOrd="0" destOrd="0" parTransId="{AC02D027-B653-4B77-A361-66C1E1D7CA50}" sibTransId="{350C120B-5FD1-47A5-B158-69A7A418674E}"/>
    <dgm:cxn modelId="{D004069B-784F-4A7F-90F3-E3C14F8F8446}" type="presOf" srcId="{55C1839A-3EE2-469A-A968-C59B499D05BA}" destId="{B1487175-814D-407C-8DA0-5AF7332CCA9C}" srcOrd="1" destOrd="0" presId="urn:microsoft.com/office/officeart/2005/8/layout/hierarchy2"/>
    <dgm:cxn modelId="{9A6196A8-A767-498B-9EE4-E2E6CD9FDBF2}" type="presOf" srcId="{36864AED-CFD1-4B11-9E77-829B0A685D8C}" destId="{FA110F8D-A383-48E7-9886-D97D3E84D77B}" srcOrd="0" destOrd="0" presId="urn:microsoft.com/office/officeart/2005/8/layout/hierarchy2"/>
    <dgm:cxn modelId="{5842ECA9-F746-4C0A-A705-5FD8D552C0A2}" type="presOf" srcId="{31D6180F-ECE4-4AAC-88E5-C9AF6894F914}" destId="{F29B6492-ADF9-462F-8B22-062289126E4B}" srcOrd="0" destOrd="0" presId="urn:microsoft.com/office/officeart/2005/8/layout/hierarchy2"/>
    <dgm:cxn modelId="{2B8320AD-B5F0-4C10-9D29-1AE058F78511}" type="presOf" srcId="{B04B3A0E-FD10-45FE-A5E2-BCCFAF03BAF1}" destId="{D6282B98-BD3A-41BF-943D-112DAAE6E3D3}" srcOrd="0" destOrd="0" presId="urn:microsoft.com/office/officeart/2005/8/layout/hierarchy2"/>
    <dgm:cxn modelId="{68980EAF-F4E0-4134-9C02-831E8055E13F}" type="presOf" srcId="{1A01BAB7-D852-42EC-A523-3E0FC524173A}" destId="{1E4F17B2-61C1-4211-9112-21EAEF2D66DE}" srcOrd="0" destOrd="0" presId="urn:microsoft.com/office/officeart/2005/8/layout/hierarchy2"/>
    <dgm:cxn modelId="{4F59CCAF-7129-4B54-A4FE-70DB32A1AB06}" type="presOf" srcId="{C5672A87-218B-4E36-BC10-7ABBD4A208F8}" destId="{642034F3-0EE3-4AA1-9236-83102005B437}" srcOrd="0" destOrd="0" presId="urn:microsoft.com/office/officeart/2005/8/layout/hierarchy2"/>
    <dgm:cxn modelId="{FA7F50BC-A085-4985-B529-E11AA629042B}" type="presOf" srcId="{0914DEFE-6C17-444F-A152-4ADFA2A76D26}" destId="{B383E499-EC4E-4EDC-99D9-35F698E47E93}" srcOrd="0" destOrd="0" presId="urn:microsoft.com/office/officeart/2005/8/layout/hierarchy2"/>
    <dgm:cxn modelId="{CC9C15C0-2070-4F20-BDF5-6712228E4B64}" srcId="{C3C4AD0C-8D93-4517-99A6-7BB2DE6CEC04}" destId="{C5672A87-218B-4E36-BC10-7ABBD4A208F8}" srcOrd="0" destOrd="0" parTransId="{9082B496-25FE-4169-9363-EAD41C1BAD0D}" sibTransId="{86CFA9BB-6233-4B86-9BD4-4D1A8250F711}"/>
    <dgm:cxn modelId="{DD81C8C0-F814-4A71-B178-26C38485AB03}" type="presOf" srcId="{75B7D391-4A29-41BC-9D59-8A7063971AAF}" destId="{3789F7D8-6AC4-4DF3-B8E5-636A17DD51FD}" srcOrd="0" destOrd="0" presId="urn:microsoft.com/office/officeart/2005/8/layout/hierarchy2"/>
    <dgm:cxn modelId="{6FF2E9C2-7411-471F-B7B4-1B3B5C0C18DB}" type="presOf" srcId="{AC02D027-B653-4B77-A361-66C1E1D7CA50}" destId="{318B42E5-770F-472D-ACC9-D1A6704BADAE}" srcOrd="1" destOrd="0" presId="urn:microsoft.com/office/officeart/2005/8/layout/hierarchy2"/>
    <dgm:cxn modelId="{B2C0DAC4-923B-4605-B76F-E8E31B5A2F4C}" srcId="{DF4EB251-91B0-4EDC-A30F-364A10D62192}" destId="{E305F6E0-EC7F-461D-B1AD-D138B59A1146}" srcOrd="0" destOrd="0" parTransId="{1A01BAB7-D852-42EC-A523-3E0FC524173A}" sibTransId="{526E5ED3-9EBC-4DD4-9059-2BD77BA27ED4}"/>
    <dgm:cxn modelId="{22463FC8-5B58-4793-AA67-633DA645D0DA}" type="presOf" srcId="{1A01BAB7-D852-42EC-A523-3E0FC524173A}" destId="{A6B5AC58-8480-4DD8-9BC5-CDFC9B0E3773}" srcOrd="1" destOrd="0" presId="urn:microsoft.com/office/officeart/2005/8/layout/hierarchy2"/>
    <dgm:cxn modelId="{27FD6FCC-4B0E-4856-A61D-80EB9344E038}" type="presOf" srcId="{9082B496-25FE-4169-9363-EAD41C1BAD0D}" destId="{D74353A1-7855-41D7-BD9C-12C9D6E144B7}" srcOrd="0" destOrd="0" presId="urn:microsoft.com/office/officeart/2005/8/layout/hierarchy2"/>
    <dgm:cxn modelId="{8F2BA4CC-2A89-49E5-BA7F-60D3C868D503}" type="presOf" srcId="{C6A1D183-7FF4-4FAE-B98F-BC54AB628D5A}" destId="{F3E51841-17EC-4320-AF2E-2B9ED4FDE1EA}" srcOrd="0" destOrd="0" presId="urn:microsoft.com/office/officeart/2005/8/layout/hierarchy2"/>
    <dgm:cxn modelId="{D1EB92D1-4F82-44B2-8916-022EFA15D4A0}" srcId="{C3C4AD0C-8D93-4517-99A6-7BB2DE6CEC04}" destId="{C9B97DA7-12E3-4241-8F63-104B4ECBB5A4}" srcOrd="1" destOrd="0" parTransId="{1C0ECF78-B8D5-495F-8B34-81D90F573DFC}" sibTransId="{14C04757-3BF3-4BFA-9ED7-DCBE0F7B91E9}"/>
    <dgm:cxn modelId="{772E87E4-19D0-4434-A665-9F400A3B0D41}" type="presOf" srcId="{AC02D027-B653-4B77-A361-66C1E1D7CA50}" destId="{D435C461-2B81-4B82-B114-76B56B6019A5}" srcOrd="0" destOrd="0" presId="urn:microsoft.com/office/officeart/2005/8/layout/hierarchy2"/>
    <dgm:cxn modelId="{8085CAF9-53C3-4A2C-9A41-CD1BD9B4D669}" srcId="{0914DEFE-6C17-444F-A152-4ADFA2A76D26}" destId="{31D6180F-ECE4-4AAC-88E5-C9AF6894F914}" srcOrd="0" destOrd="0" parTransId="{E4A990BC-AF9F-4844-9083-823B3AD7C5C2}" sibTransId="{E21CD831-1C61-49A1-825C-F4960A7218FF}"/>
    <dgm:cxn modelId="{688C5CFB-4077-4602-8ECC-A7B0F4046EA4}" type="presOf" srcId="{CFEB4CDE-F0B5-4022-AB14-10D7A3BD425B}" destId="{7D3F564C-C748-4E8D-961D-03041E55C44F}" srcOrd="0" destOrd="0" presId="urn:microsoft.com/office/officeart/2005/8/layout/hierarchy2"/>
    <dgm:cxn modelId="{1F76F3FC-4CFA-4B4F-A0B4-7B2D4A5CA65F}" type="presOf" srcId="{C3C4AD0C-8D93-4517-99A6-7BB2DE6CEC04}" destId="{765BCC75-F323-4F23-9E4F-05AF23F1A45D}" srcOrd="0" destOrd="0" presId="urn:microsoft.com/office/officeart/2005/8/layout/hierarchy2"/>
    <dgm:cxn modelId="{C2C2D9A9-C18B-4814-96F3-BC5EB91C6053}" type="presParOf" srcId="{3789F7D8-6AC4-4DF3-B8E5-636A17DD51FD}" destId="{E47C858A-1874-4624-871F-0FF6CF740EFD}" srcOrd="0" destOrd="0" presId="urn:microsoft.com/office/officeart/2005/8/layout/hierarchy2"/>
    <dgm:cxn modelId="{CF8469B5-754E-4710-86F6-1760171C5029}" type="presParOf" srcId="{E47C858A-1874-4624-871F-0FF6CF740EFD}" destId="{7AD7728E-1E11-48A9-A67A-2806F1343BF8}" srcOrd="0" destOrd="0" presId="urn:microsoft.com/office/officeart/2005/8/layout/hierarchy2"/>
    <dgm:cxn modelId="{45522720-97E5-4877-B892-2691BCB8135F}" type="presParOf" srcId="{E47C858A-1874-4624-871F-0FF6CF740EFD}" destId="{6D5C6819-F805-4502-B02D-B89F900D7C7C}" srcOrd="1" destOrd="0" presId="urn:microsoft.com/office/officeart/2005/8/layout/hierarchy2"/>
    <dgm:cxn modelId="{81C17132-F0CD-4DA1-936E-EFC9FCBB0BD6}" type="presParOf" srcId="{6D5C6819-F805-4502-B02D-B89F900D7C7C}" destId="{1E4F17B2-61C1-4211-9112-21EAEF2D66DE}" srcOrd="0" destOrd="0" presId="urn:microsoft.com/office/officeart/2005/8/layout/hierarchy2"/>
    <dgm:cxn modelId="{57E74B41-D3B8-4624-BC0F-F56C22EC9044}" type="presParOf" srcId="{1E4F17B2-61C1-4211-9112-21EAEF2D66DE}" destId="{A6B5AC58-8480-4DD8-9BC5-CDFC9B0E3773}" srcOrd="0" destOrd="0" presId="urn:microsoft.com/office/officeart/2005/8/layout/hierarchy2"/>
    <dgm:cxn modelId="{5360C3BF-50B8-422E-BFD0-C244265376F1}" type="presParOf" srcId="{6D5C6819-F805-4502-B02D-B89F900D7C7C}" destId="{EDD66041-8B16-45B0-BD32-E81D4E90949B}" srcOrd="1" destOrd="0" presId="urn:microsoft.com/office/officeart/2005/8/layout/hierarchy2"/>
    <dgm:cxn modelId="{08876813-1DC6-4998-B19D-E6826B2DB2D0}" type="presParOf" srcId="{EDD66041-8B16-45B0-BD32-E81D4E90949B}" destId="{B71EA1DC-AA5D-4DEF-AACD-D7B610C30043}" srcOrd="0" destOrd="0" presId="urn:microsoft.com/office/officeart/2005/8/layout/hierarchy2"/>
    <dgm:cxn modelId="{DA65B810-0740-46E1-9855-14A44B30E136}" type="presParOf" srcId="{EDD66041-8B16-45B0-BD32-E81D4E90949B}" destId="{5318A4DA-010F-47AA-AC66-AE8EDE3DA503}" srcOrd="1" destOrd="0" presId="urn:microsoft.com/office/officeart/2005/8/layout/hierarchy2"/>
    <dgm:cxn modelId="{803E7EE0-14BC-469D-8AD1-4F5A4350835E}" type="presParOf" srcId="{5318A4DA-010F-47AA-AC66-AE8EDE3DA503}" destId="{FA110F8D-A383-48E7-9886-D97D3E84D77B}" srcOrd="0" destOrd="0" presId="urn:microsoft.com/office/officeart/2005/8/layout/hierarchy2"/>
    <dgm:cxn modelId="{EE242A62-E2F5-4BC4-A324-09861C58D654}" type="presParOf" srcId="{FA110F8D-A383-48E7-9886-D97D3E84D77B}" destId="{1199E3A4-F43D-4B8D-9B92-9CCFF81D35F7}" srcOrd="0" destOrd="0" presId="urn:microsoft.com/office/officeart/2005/8/layout/hierarchy2"/>
    <dgm:cxn modelId="{F2C5787B-51B5-4819-B3CF-7A6ED3CCB905}" type="presParOf" srcId="{5318A4DA-010F-47AA-AC66-AE8EDE3DA503}" destId="{C6DF0779-43DD-4B1E-A772-03F744E8787F}" srcOrd="1" destOrd="0" presId="urn:microsoft.com/office/officeart/2005/8/layout/hierarchy2"/>
    <dgm:cxn modelId="{BE4EDFBD-DD68-477D-A59A-CA7A23CB04F7}" type="presParOf" srcId="{C6DF0779-43DD-4B1E-A772-03F744E8787F}" destId="{765BCC75-F323-4F23-9E4F-05AF23F1A45D}" srcOrd="0" destOrd="0" presId="urn:microsoft.com/office/officeart/2005/8/layout/hierarchy2"/>
    <dgm:cxn modelId="{7051082F-981F-42E9-BBB3-F01DE1D6798B}" type="presParOf" srcId="{C6DF0779-43DD-4B1E-A772-03F744E8787F}" destId="{A55A60E8-CF45-462B-BE7D-C8E7CDACE2A1}" srcOrd="1" destOrd="0" presId="urn:microsoft.com/office/officeart/2005/8/layout/hierarchy2"/>
    <dgm:cxn modelId="{8050666B-7B69-48F8-B510-7E1A5DBC2C77}" type="presParOf" srcId="{A55A60E8-CF45-462B-BE7D-C8E7CDACE2A1}" destId="{D74353A1-7855-41D7-BD9C-12C9D6E144B7}" srcOrd="0" destOrd="0" presId="urn:microsoft.com/office/officeart/2005/8/layout/hierarchy2"/>
    <dgm:cxn modelId="{992BEE4E-9EBF-4444-9A0C-9A7E80D7E62E}" type="presParOf" srcId="{D74353A1-7855-41D7-BD9C-12C9D6E144B7}" destId="{D3A862F4-77FC-4D64-8A8A-38BAB036F2ED}" srcOrd="0" destOrd="0" presId="urn:microsoft.com/office/officeart/2005/8/layout/hierarchy2"/>
    <dgm:cxn modelId="{89FDBBF3-1F45-475C-A704-AD711EB53449}" type="presParOf" srcId="{A55A60E8-CF45-462B-BE7D-C8E7CDACE2A1}" destId="{772AE574-E155-41C1-8C7C-53A0CA8E64A6}" srcOrd="1" destOrd="0" presId="urn:microsoft.com/office/officeart/2005/8/layout/hierarchy2"/>
    <dgm:cxn modelId="{69BC2085-2D68-469F-876A-215E31B2ED2D}" type="presParOf" srcId="{772AE574-E155-41C1-8C7C-53A0CA8E64A6}" destId="{642034F3-0EE3-4AA1-9236-83102005B437}" srcOrd="0" destOrd="0" presId="urn:microsoft.com/office/officeart/2005/8/layout/hierarchy2"/>
    <dgm:cxn modelId="{30904D4C-212B-4578-9E2F-FC831D2608B1}" type="presParOf" srcId="{772AE574-E155-41C1-8C7C-53A0CA8E64A6}" destId="{320C7F01-7E38-48B3-A10C-3FC555DC5913}" srcOrd="1" destOrd="0" presId="urn:microsoft.com/office/officeart/2005/8/layout/hierarchy2"/>
    <dgm:cxn modelId="{2466BA71-6360-44FF-B1ED-BC03C4F181E9}" type="presParOf" srcId="{A55A60E8-CF45-462B-BE7D-C8E7CDACE2A1}" destId="{D513FF87-3C30-4322-BFFA-C63F22E86710}" srcOrd="2" destOrd="0" presId="urn:microsoft.com/office/officeart/2005/8/layout/hierarchy2"/>
    <dgm:cxn modelId="{194E5268-2AF3-4237-9807-E18AE7D982F8}" type="presParOf" srcId="{D513FF87-3C30-4322-BFFA-C63F22E86710}" destId="{993821BC-5B4C-4351-A21C-51C3F561216C}" srcOrd="0" destOrd="0" presId="urn:microsoft.com/office/officeart/2005/8/layout/hierarchy2"/>
    <dgm:cxn modelId="{8D1E5A38-E711-40C0-9195-F79BA66B56AD}" type="presParOf" srcId="{A55A60E8-CF45-462B-BE7D-C8E7CDACE2A1}" destId="{383A2893-2927-46FD-8384-993B43F7969D}" srcOrd="3" destOrd="0" presId="urn:microsoft.com/office/officeart/2005/8/layout/hierarchy2"/>
    <dgm:cxn modelId="{7B4182B1-1081-40D6-9EFB-378BC98BCAC9}" type="presParOf" srcId="{383A2893-2927-46FD-8384-993B43F7969D}" destId="{C2D3945D-4E06-4CA2-AF42-3C456595FA60}" srcOrd="0" destOrd="0" presId="urn:microsoft.com/office/officeart/2005/8/layout/hierarchy2"/>
    <dgm:cxn modelId="{44BADAC5-43E3-4418-BDBE-E376BB853230}" type="presParOf" srcId="{383A2893-2927-46FD-8384-993B43F7969D}" destId="{780A8359-8C36-45E9-A964-1C3E88BE545D}" srcOrd="1" destOrd="0" presId="urn:microsoft.com/office/officeart/2005/8/layout/hierarchy2"/>
    <dgm:cxn modelId="{63211BB6-7433-402C-B1D9-6ABED525A359}" type="presParOf" srcId="{5318A4DA-010F-47AA-AC66-AE8EDE3DA503}" destId="{B8B595D4-1AA7-4313-8314-007ECD9CDB77}" srcOrd="2" destOrd="0" presId="urn:microsoft.com/office/officeart/2005/8/layout/hierarchy2"/>
    <dgm:cxn modelId="{688B0E0A-FF19-4441-918B-6425406F8C25}" type="presParOf" srcId="{B8B595D4-1AA7-4313-8314-007ECD9CDB77}" destId="{B1487175-814D-407C-8DA0-5AF7332CCA9C}" srcOrd="0" destOrd="0" presId="urn:microsoft.com/office/officeart/2005/8/layout/hierarchy2"/>
    <dgm:cxn modelId="{6D242E2B-AD6D-4498-BBE3-49C0FB48BF44}" type="presParOf" srcId="{5318A4DA-010F-47AA-AC66-AE8EDE3DA503}" destId="{1357D8B1-ABAA-4F0E-9964-63439D698976}" srcOrd="3" destOrd="0" presId="urn:microsoft.com/office/officeart/2005/8/layout/hierarchy2"/>
    <dgm:cxn modelId="{0036D72B-057D-458C-BFC7-593148AC060D}" type="presParOf" srcId="{1357D8B1-ABAA-4F0E-9964-63439D698976}" destId="{B383E499-EC4E-4EDC-99D9-35F698E47E93}" srcOrd="0" destOrd="0" presId="urn:microsoft.com/office/officeart/2005/8/layout/hierarchy2"/>
    <dgm:cxn modelId="{33329614-87F9-44D5-93AD-9158234B7652}" type="presParOf" srcId="{1357D8B1-ABAA-4F0E-9964-63439D698976}" destId="{F9C45E20-25D5-4575-97DD-06CA105F6671}" srcOrd="1" destOrd="0" presId="urn:microsoft.com/office/officeart/2005/8/layout/hierarchy2"/>
    <dgm:cxn modelId="{85058505-5E30-48A3-B976-6BAB5B21A0CE}" type="presParOf" srcId="{F9C45E20-25D5-4575-97DD-06CA105F6671}" destId="{C2813F44-1BCE-4CF0-A191-6A9BA88049E6}" srcOrd="0" destOrd="0" presId="urn:microsoft.com/office/officeart/2005/8/layout/hierarchy2"/>
    <dgm:cxn modelId="{AD4B0BFD-C48F-425E-A456-D9039FFAB664}" type="presParOf" srcId="{C2813F44-1BCE-4CF0-A191-6A9BA88049E6}" destId="{AD1E0002-1710-4BA8-9A2D-4BE914CC023A}" srcOrd="0" destOrd="0" presId="urn:microsoft.com/office/officeart/2005/8/layout/hierarchy2"/>
    <dgm:cxn modelId="{0C5A2E90-1EB6-4332-B67C-C2DB97FF542D}" type="presParOf" srcId="{F9C45E20-25D5-4575-97DD-06CA105F6671}" destId="{25551B56-AC69-4956-82A8-51CEF5CB5FFD}" srcOrd="1" destOrd="0" presId="urn:microsoft.com/office/officeart/2005/8/layout/hierarchy2"/>
    <dgm:cxn modelId="{6CE626CB-7A31-4A5A-BF45-B7EF76698434}" type="presParOf" srcId="{25551B56-AC69-4956-82A8-51CEF5CB5FFD}" destId="{F29B6492-ADF9-462F-8B22-062289126E4B}" srcOrd="0" destOrd="0" presId="urn:microsoft.com/office/officeart/2005/8/layout/hierarchy2"/>
    <dgm:cxn modelId="{98DA896D-2190-42F7-AC20-6D1267E9D1B9}" type="presParOf" srcId="{25551B56-AC69-4956-82A8-51CEF5CB5FFD}" destId="{FF76B8D6-FA6D-40E5-876A-C0DE88BB6E8E}" srcOrd="1" destOrd="0" presId="urn:microsoft.com/office/officeart/2005/8/layout/hierarchy2"/>
    <dgm:cxn modelId="{04055716-1B3A-4871-BC73-8015C8F7A488}" type="presParOf" srcId="{6D5C6819-F805-4502-B02D-B89F900D7C7C}" destId="{4BC60D47-C429-461D-86FB-7B0D10F0C78D}" srcOrd="2" destOrd="0" presId="urn:microsoft.com/office/officeart/2005/8/layout/hierarchy2"/>
    <dgm:cxn modelId="{93EBBAAC-C236-4DE5-A4A2-D3A98B357E37}" type="presParOf" srcId="{4BC60D47-C429-461D-86FB-7B0D10F0C78D}" destId="{EFA5B1EC-EF2F-43C8-B9F3-3110BC769A18}" srcOrd="0" destOrd="0" presId="urn:microsoft.com/office/officeart/2005/8/layout/hierarchy2"/>
    <dgm:cxn modelId="{D758A8BD-ADAE-400E-89CD-FC3C726E392E}" type="presParOf" srcId="{6D5C6819-F805-4502-B02D-B89F900D7C7C}" destId="{64146AE4-9575-4B5F-86EE-E34D589A3291}" srcOrd="3" destOrd="0" presId="urn:microsoft.com/office/officeart/2005/8/layout/hierarchy2"/>
    <dgm:cxn modelId="{D3311058-EB78-41A9-A48D-0447EC431C47}" type="presParOf" srcId="{64146AE4-9575-4B5F-86EE-E34D589A3291}" destId="{F3E51841-17EC-4320-AF2E-2B9ED4FDE1EA}" srcOrd="0" destOrd="0" presId="urn:microsoft.com/office/officeart/2005/8/layout/hierarchy2"/>
    <dgm:cxn modelId="{FED6519D-2FAF-42EB-897E-BD505405F5CE}" type="presParOf" srcId="{64146AE4-9575-4B5F-86EE-E34D589A3291}" destId="{A22358CE-1CCE-4B61-969C-1701235FD7DB}" srcOrd="1" destOrd="0" presId="urn:microsoft.com/office/officeart/2005/8/layout/hierarchy2"/>
    <dgm:cxn modelId="{D375B505-B8FC-4BF7-BF83-26AF73694A69}" type="presParOf" srcId="{A22358CE-1CCE-4B61-969C-1701235FD7DB}" destId="{D6282B98-BD3A-41BF-943D-112DAAE6E3D3}" srcOrd="0" destOrd="0" presId="urn:microsoft.com/office/officeart/2005/8/layout/hierarchy2"/>
    <dgm:cxn modelId="{BC254DBD-3980-41BE-875F-9648527A347A}" type="presParOf" srcId="{D6282B98-BD3A-41BF-943D-112DAAE6E3D3}" destId="{B7C4DFC0-44F7-47C9-A480-3B14710B7086}" srcOrd="0" destOrd="0" presId="urn:microsoft.com/office/officeart/2005/8/layout/hierarchy2"/>
    <dgm:cxn modelId="{14769BDA-92DE-4EAD-9CE8-5CF9BB1B7591}" type="presParOf" srcId="{A22358CE-1CCE-4B61-969C-1701235FD7DB}" destId="{7E6115F4-A77F-4828-BD14-908B1440F00B}" srcOrd="1" destOrd="0" presId="urn:microsoft.com/office/officeart/2005/8/layout/hierarchy2"/>
    <dgm:cxn modelId="{A87FDE76-D2C3-41C8-9948-9E463481FABA}" type="presParOf" srcId="{7E6115F4-A77F-4828-BD14-908B1440F00B}" destId="{3E8CC95A-30BB-4288-A1FA-7394103B23E8}" srcOrd="0" destOrd="0" presId="urn:microsoft.com/office/officeart/2005/8/layout/hierarchy2"/>
    <dgm:cxn modelId="{4709C7A7-75D3-4201-9521-A459C886C9CD}" type="presParOf" srcId="{7E6115F4-A77F-4828-BD14-908B1440F00B}" destId="{71891B3C-826C-4756-A9BA-14E596B8A4AD}" srcOrd="1" destOrd="0" presId="urn:microsoft.com/office/officeart/2005/8/layout/hierarchy2"/>
    <dgm:cxn modelId="{7D4D40F9-2F57-47EF-AB99-565E8008D43C}" type="presParOf" srcId="{71891B3C-826C-4756-A9BA-14E596B8A4AD}" destId="{D435C461-2B81-4B82-B114-76B56B6019A5}" srcOrd="0" destOrd="0" presId="urn:microsoft.com/office/officeart/2005/8/layout/hierarchy2"/>
    <dgm:cxn modelId="{AD9BA2B2-9075-4EAA-8B4F-94780BC734BB}" type="presParOf" srcId="{D435C461-2B81-4B82-B114-76B56B6019A5}" destId="{318B42E5-770F-472D-ACC9-D1A6704BADAE}" srcOrd="0" destOrd="0" presId="urn:microsoft.com/office/officeart/2005/8/layout/hierarchy2"/>
    <dgm:cxn modelId="{274B24B1-39A6-4D06-ACB9-63E86300A003}" type="presParOf" srcId="{71891B3C-826C-4756-A9BA-14E596B8A4AD}" destId="{73614549-27F9-437F-BC45-9989DB391E62}" srcOrd="1" destOrd="0" presId="urn:microsoft.com/office/officeart/2005/8/layout/hierarchy2"/>
    <dgm:cxn modelId="{083F6DFA-4135-4CFF-9E8C-70277D4B1888}" type="presParOf" srcId="{73614549-27F9-437F-BC45-9989DB391E62}" destId="{7D3F564C-C748-4E8D-961D-03041E55C44F}" srcOrd="0" destOrd="0" presId="urn:microsoft.com/office/officeart/2005/8/layout/hierarchy2"/>
    <dgm:cxn modelId="{E4E443FD-A0D5-4175-AC1E-51359F5D4F4B}" type="presParOf" srcId="{73614549-27F9-437F-BC45-9989DB391E62}" destId="{9F347E03-D210-4419-A141-8E86578ADC41}" srcOrd="1" destOrd="0" presId="urn:microsoft.com/office/officeart/2005/8/layout/hierarchy2"/>
  </dgm:cxnLst>
  <dgm:bg/>
  <dgm:whole/>
  <dgm:extLst>
    <a:ext uri="http://schemas.microsoft.com/office/drawing/2008/diagram">
      <dsp:dataModelExt xmlns:dsp="http://schemas.microsoft.com/office/drawing/2008/diagram" relId="rId7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0B6ADC2-378A-4BF9-BACC-23B1CC38C95D}">
      <dsp:nvSpPr>
        <dsp:cNvPr id="0" name=""/>
        <dsp:cNvSpPr/>
      </dsp:nvSpPr>
      <dsp:spPr>
        <a:xfrm>
          <a:off x="768062" y="458077"/>
          <a:ext cx="3060533" cy="3060533"/>
        </a:xfrm>
        <a:prstGeom prst="blockArc">
          <a:avLst>
            <a:gd name="adj1" fmla="val 10800000"/>
            <a:gd name="adj2" fmla="val 16200000"/>
            <a:gd name="adj3" fmla="val 4642"/>
          </a:avLst>
        </a:prstGeom>
        <a:gradFill rotWithShape="0">
          <a:gsLst>
            <a:gs pos="0">
              <a:schemeClr val="accent3">
                <a:hueOff val="-1234063"/>
                <a:satOff val="-21671"/>
                <a:lumOff val="-392"/>
                <a:alphaOff val="0"/>
                <a:tint val="100000"/>
                <a:shade val="85000"/>
                <a:satMod val="100000"/>
                <a:lumMod val="100000"/>
              </a:schemeClr>
            </a:gs>
            <a:gs pos="100000">
              <a:schemeClr val="accent3">
                <a:hueOff val="-1234063"/>
                <a:satOff val="-21671"/>
                <a:lumOff val="-392"/>
                <a:alphaOff val="0"/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ln>
          <a:noFill/>
        </a:ln>
        <a:effectLst>
          <a:outerShdw blurRad="76200" dist="25400" dir="5400000" algn="ctr" rotWithShape="0">
            <a:srgbClr val="000000">
              <a:alpha val="60000"/>
            </a:srgbClr>
          </a:outerShdw>
        </a:effectLst>
        <a:scene3d>
          <a:camera prst="orthographicFront">
            <a:rot lat="0" lon="0" rev="0"/>
          </a:camera>
          <a:lightRig rig="flat" dir="t">
            <a:rot lat="0" lon="0" rev="3600000"/>
          </a:lightRig>
        </a:scene3d>
        <a:sp3d contourW="12700" prstMaterial="flat">
          <a:bevelT w="38100" h="44450" prst="angle"/>
          <a:contourClr>
            <a:schemeClr val="accent3">
              <a:hueOff val="-1234063"/>
              <a:satOff val="-21671"/>
              <a:lumOff val="-392"/>
              <a:alphaOff val="0"/>
              <a:shade val="35000"/>
              <a:satMod val="160000"/>
            </a:schemeClr>
          </a:contourClr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</dsp:sp>
    <dsp:sp modelId="{8D38B28F-2BC1-40FA-96A2-DE28DAAC0DA3}">
      <dsp:nvSpPr>
        <dsp:cNvPr id="0" name=""/>
        <dsp:cNvSpPr/>
      </dsp:nvSpPr>
      <dsp:spPr>
        <a:xfrm>
          <a:off x="768062" y="458077"/>
          <a:ext cx="3060533" cy="3060533"/>
        </a:xfrm>
        <a:prstGeom prst="blockArc">
          <a:avLst>
            <a:gd name="adj1" fmla="val 5400000"/>
            <a:gd name="adj2" fmla="val 10800000"/>
            <a:gd name="adj3" fmla="val 4642"/>
          </a:avLst>
        </a:prstGeom>
        <a:gradFill rotWithShape="0">
          <a:gsLst>
            <a:gs pos="0">
              <a:schemeClr val="accent3">
                <a:hueOff val="-822709"/>
                <a:satOff val="-14447"/>
                <a:lumOff val="-261"/>
                <a:alphaOff val="0"/>
                <a:tint val="100000"/>
                <a:shade val="85000"/>
                <a:satMod val="100000"/>
                <a:lumMod val="100000"/>
              </a:schemeClr>
            </a:gs>
            <a:gs pos="100000">
              <a:schemeClr val="accent3">
                <a:hueOff val="-822709"/>
                <a:satOff val="-14447"/>
                <a:lumOff val="-261"/>
                <a:alphaOff val="0"/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ln>
          <a:noFill/>
        </a:ln>
        <a:effectLst>
          <a:outerShdw blurRad="76200" dist="25400" dir="5400000" algn="ctr" rotWithShape="0">
            <a:srgbClr val="000000">
              <a:alpha val="60000"/>
            </a:srgbClr>
          </a:outerShdw>
        </a:effectLst>
        <a:scene3d>
          <a:camera prst="orthographicFront">
            <a:rot lat="0" lon="0" rev="0"/>
          </a:camera>
          <a:lightRig rig="flat" dir="t">
            <a:rot lat="0" lon="0" rev="3600000"/>
          </a:lightRig>
        </a:scene3d>
        <a:sp3d contourW="12700" prstMaterial="flat">
          <a:bevelT w="38100" h="44450" prst="angle"/>
          <a:contourClr>
            <a:schemeClr val="accent3">
              <a:hueOff val="-822709"/>
              <a:satOff val="-14447"/>
              <a:lumOff val="-261"/>
              <a:alphaOff val="0"/>
              <a:shade val="35000"/>
              <a:satMod val="160000"/>
            </a:schemeClr>
          </a:contourClr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</dsp:sp>
    <dsp:sp modelId="{4BE38136-E3AF-4B08-B25A-EF0717CE08AC}">
      <dsp:nvSpPr>
        <dsp:cNvPr id="0" name=""/>
        <dsp:cNvSpPr/>
      </dsp:nvSpPr>
      <dsp:spPr>
        <a:xfrm>
          <a:off x="768062" y="458077"/>
          <a:ext cx="3060533" cy="3060533"/>
        </a:xfrm>
        <a:prstGeom prst="blockArc">
          <a:avLst>
            <a:gd name="adj1" fmla="val 0"/>
            <a:gd name="adj2" fmla="val 5400000"/>
            <a:gd name="adj3" fmla="val 4642"/>
          </a:avLst>
        </a:prstGeom>
        <a:gradFill rotWithShape="0">
          <a:gsLst>
            <a:gs pos="0">
              <a:schemeClr val="accent3">
                <a:hueOff val="-411354"/>
                <a:satOff val="-7224"/>
                <a:lumOff val="-131"/>
                <a:alphaOff val="0"/>
                <a:tint val="100000"/>
                <a:shade val="85000"/>
                <a:satMod val="100000"/>
                <a:lumMod val="100000"/>
              </a:schemeClr>
            </a:gs>
            <a:gs pos="100000">
              <a:schemeClr val="accent3">
                <a:hueOff val="-411354"/>
                <a:satOff val="-7224"/>
                <a:lumOff val="-131"/>
                <a:alphaOff val="0"/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ln>
          <a:noFill/>
        </a:ln>
        <a:effectLst>
          <a:outerShdw blurRad="76200" dist="25400" dir="5400000" algn="ctr" rotWithShape="0">
            <a:srgbClr val="000000">
              <a:alpha val="60000"/>
            </a:srgbClr>
          </a:outerShdw>
        </a:effectLst>
        <a:scene3d>
          <a:camera prst="orthographicFront">
            <a:rot lat="0" lon="0" rev="0"/>
          </a:camera>
          <a:lightRig rig="flat" dir="t">
            <a:rot lat="0" lon="0" rev="3600000"/>
          </a:lightRig>
        </a:scene3d>
        <a:sp3d contourW="12700" prstMaterial="flat">
          <a:bevelT w="38100" h="44450" prst="angle"/>
          <a:contourClr>
            <a:schemeClr val="accent3">
              <a:hueOff val="-411354"/>
              <a:satOff val="-7224"/>
              <a:lumOff val="-131"/>
              <a:alphaOff val="0"/>
              <a:shade val="35000"/>
              <a:satMod val="160000"/>
            </a:schemeClr>
          </a:contourClr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</dsp:sp>
    <dsp:sp modelId="{8E4E5F5A-A4FE-41A6-A500-323272351F28}">
      <dsp:nvSpPr>
        <dsp:cNvPr id="0" name=""/>
        <dsp:cNvSpPr/>
      </dsp:nvSpPr>
      <dsp:spPr>
        <a:xfrm>
          <a:off x="768062" y="458077"/>
          <a:ext cx="3060533" cy="3060533"/>
        </a:xfrm>
        <a:prstGeom prst="blockArc">
          <a:avLst>
            <a:gd name="adj1" fmla="val 16200000"/>
            <a:gd name="adj2" fmla="val 0"/>
            <a:gd name="adj3" fmla="val 4642"/>
          </a:avLst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tint val="100000"/>
                <a:shade val="85000"/>
                <a:satMod val="100000"/>
                <a:lumMod val="100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ln>
          <a:noFill/>
        </a:ln>
        <a:effectLst>
          <a:outerShdw blurRad="76200" dist="25400" dir="5400000" algn="ctr" rotWithShape="0">
            <a:srgbClr val="000000">
              <a:alpha val="60000"/>
            </a:srgbClr>
          </a:outerShdw>
        </a:effectLst>
        <a:scene3d>
          <a:camera prst="orthographicFront">
            <a:rot lat="0" lon="0" rev="0"/>
          </a:camera>
          <a:lightRig rig="flat" dir="t">
            <a:rot lat="0" lon="0" rev="3600000"/>
          </a:lightRig>
        </a:scene3d>
        <a:sp3d contourW="12700" prstMaterial="flat">
          <a:bevelT w="38100" h="44450" prst="angle"/>
          <a:contourClr>
            <a:schemeClr val="accent3">
              <a:hueOff val="0"/>
              <a:satOff val="0"/>
              <a:lumOff val="0"/>
              <a:alphaOff val="0"/>
              <a:shade val="35000"/>
              <a:satMod val="160000"/>
            </a:schemeClr>
          </a:contourClr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</dsp:sp>
    <dsp:sp modelId="{6681B32D-2E24-4636-A78F-BC926B879589}">
      <dsp:nvSpPr>
        <dsp:cNvPr id="0" name=""/>
        <dsp:cNvSpPr/>
      </dsp:nvSpPr>
      <dsp:spPr>
        <a:xfrm>
          <a:off x="917963" y="549723"/>
          <a:ext cx="2871999" cy="2848841"/>
        </a:xfrm>
        <a:prstGeom prst="ellipse">
          <a:avLst/>
        </a:prstGeom>
        <a:noFill/>
        <a:ln w="15875" cap="flat" cmpd="sng" algn="ctr">
          <a:solidFill>
            <a:schemeClr val="accent4"/>
          </a:solidFill>
          <a:prstDash val="solid"/>
        </a:ln>
        <a:effectLst/>
      </dsp:spPr>
      <dsp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dsp:style>
      <dsp:txBody>
        <a:bodyPr spcFirstLastPara="0" vert="horz" wrap="square" lIns="82550" tIns="82550" rIns="82550" bIns="82550" numCol="1" spcCol="1270" anchor="ctr" anchorCtr="0">
          <a:noAutofit/>
        </a:bodyPr>
        <a:lstStyle/>
        <a:p>
          <a:pPr marL="0" lvl="0" indent="0" algn="ctr" defTabSz="2889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6500" kern="1200"/>
            <a:t> </a:t>
          </a:r>
        </a:p>
      </dsp:txBody>
      <dsp:txXfrm>
        <a:off x="1338558" y="966926"/>
        <a:ext cx="2030809" cy="2014435"/>
      </dsp:txXfrm>
    </dsp:sp>
    <dsp:sp modelId="{774A2DE8-AFF6-46FF-A0E0-2F858C500C72}">
      <dsp:nvSpPr>
        <dsp:cNvPr id="0" name=""/>
        <dsp:cNvSpPr/>
      </dsp:nvSpPr>
      <dsp:spPr>
        <a:xfrm>
          <a:off x="1804996" y="264"/>
          <a:ext cx="986665" cy="986665"/>
        </a:xfrm>
        <a:prstGeom prst="ellipse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tint val="100000"/>
                <a:shade val="85000"/>
                <a:satMod val="100000"/>
                <a:lumMod val="100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ln>
          <a:noFill/>
        </a:ln>
        <a:effectLst>
          <a:outerShdw blurRad="76200" dist="25400" dir="5400000" algn="ctr" rotWithShape="0">
            <a:srgbClr val="000000">
              <a:alpha val="60000"/>
            </a:srgbClr>
          </a:outerShdw>
        </a:effectLst>
        <a:scene3d>
          <a:camera prst="orthographicFront">
            <a:rot lat="0" lon="0" rev="0"/>
          </a:camera>
          <a:lightRig rig="flat" dir="t">
            <a:rot lat="0" lon="0" rev="3600000"/>
          </a:lightRig>
        </a:scene3d>
        <a:sp3d contourW="12700" prstMaterial="flat">
          <a:bevelT w="38100" h="44450" prst="angle"/>
          <a:contourClr>
            <a:schemeClr val="accent3">
              <a:hueOff val="0"/>
              <a:satOff val="0"/>
              <a:lumOff val="0"/>
              <a:alphaOff val="0"/>
              <a:shade val="35000"/>
              <a:satMod val="160000"/>
            </a:schemeClr>
          </a:contourClr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20320" tIns="20320" rIns="2032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600" kern="1200"/>
            <a:t>Ingresos</a:t>
          </a:r>
        </a:p>
      </dsp:txBody>
      <dsp:txXfrm>
        <a:off x="1949490" y="144758"/>
        <a:ext cx="697677" cy="697677"/>
      </dsp:txXfrm>
    </dsp:sp>
    <dsp:sp modelId="{EF7C0C61-9105-4366-A3B0-0C5E966BDBC2}">
      <dsp:nvSpPr>
        <dsp:cNvPr id="0" name=""/>
        <dsp:cNvSpPr/>
      </dsp:nvSpPr>
      <dsp:spPr>
        <a:xfrm>
          <a:off x="3299743" y="1495011"/>
          <a:ext cx="986665" cy="986665"/>
        </a:xfrm>
        <a:prstGeom prst="ellipse">
          <a:avLst/>
        </a:prstGeom>
        <a:gradFill rotWithShape="0">
          <a:gsLst>
            <a:gs pos="0">
              <a:schemeClr val="accent3">
                <a:hueOff val="-411354"/>
                <a:satOff val="-7224"/>
                <a:lumOff val="-131"/>
                <a:alphaOff val="0"/>
                <a:tint val="100000"/>
                <a:shade val="85000"/>
                <a:satMod val="100000"/>
                <a:lumMod val="100000"/>
              </a:schemeClr>
            </a:gs>
            <a:gs pos="100000">
              <a:schemeClr val="accent3">
                <a:hueOff val="-411354"/>
                <a:satOff val="-7224"/>
                <a:lumOff val="-131"/>
                <a:alphaOff val="0"/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ln>
          <a:noFill/>
        </a:ln>
        <a:effectLst>
          <a:outerShdw blurRad="76200" dist="25400" dir="5400000" algn="ctr" rotWithShape="0">
            <a:srgbClr val="000000">
              <a:alpha val="60000"/>
            </a:srgbClr>
          </a:outerShdw>
        </a:effectLst>
        <a:scene3d>
          <a:camera prst="orthographicFront">
            <a:rot lat="0" lon="0" rev="0"/>
          </a:camera>
          <a:lightRig rig="flat" dir="t">
            <a:rot lat="0" lon="0" rev="3600000"/>
          </a:lightRig>
        </a:scene3d>
        <a:sp3d contourW="12700" prstMaterial="flat">
          <a:bevelT w="38100" h="44450" prst="angle"/>
          <a:contourClr>
            <a:schemeClr val="accent3">
              <a:hueOff val="-411354"/>
              <a:satOff val="-7224"/>
              <a:lumOff val="-131"/>
              <a:alphaOff val="0"/>
              <a:shade val="35000"/>
              <a:satMod val="160000"/>
            </a:schemeClr>
          </a:contourClr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20320" tIns="20320" rIns="2032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600" kern="1200"/>
            <a:t>OPEX</a:t>
          </a:r>
        </a:p>
      </dsp:txBody>
      <dsp:txXfrm>
        <a:off x="3444237" y="1639505"/>
        <a:ext cx="697677" cy="697677"/>
      </dsp:txXfrm>
    </dsp:sp>
    <dsp:sp modelId="{DDE904DE-5D6B-417D-9107-C760ED08BAD2}">
      <dsp:nvSpPr>
        <dsp:cNvPr id="0" name=""/>
        <dsp:cNvSpPr/>
      </dsp:nvSpPr>
      <dsp:spPr>
        <a:xfrm>
          <a:off x="1804996" y="2989758"/>
          <a:ext cx="986665" cy="986665"/>
        </a:xfrm>
        <a:prstGeom prst="ellipse">
          <a:avLst/>
        </a:prstGeom>
        <a:gradFill rotWithShape="0">
          <a:gsLst>
            <a:gs pos="0">
              <a:schemeClr val="accent3">
                <a:hueOff val="-822709"/>
                <a:satOff val="-14447"/>
                <a:lumOff val="-261"/>
                <a:alphaOff val="0"/>
                <a:tint val="100000"/>
                <a:shade val="85000"/>
                <a:satMod val="100000"/>
                <a:lumMod val="100000"/>
              </a:schemeClr>
            </a:gs>
            <a:gs pos="100000">
              <a:schemeClr val="accent3">
                <a:hueOff val="-822709"/>
                <a:satOff val="-14447"/>
                <a:lumOff val="-261"/>
                <a:alphaOff val="0"/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ln>
          <a:noFill/>
        </a:ln>
        <a:effectLst>
          <a:outerShdw blurRad="76200" dist="25400" dir="5400000" algn="ctr" rotWithShape="0">
            <a:srgbClr val="000000">
              <a:alpha val="60000"/>
            </a:srgbClr>
          </a:outerShdw>
        </a:effectLst>
        <a:scene3d>
          <a:camera prst="orthographicFront">
            <a:rot lat="0" lon="0" rev="0"/>
          </a:camera>
          <a:lightRig rig="flat" dir="t">
            <a:rot lat="0" lon="0" rev="3600000"/>
          </a:lightRig>
        </a:scene3d>
        <a:sp3d contourW="12700" prstMaterial="flat">
          <a:bevelT w="38100" h="44450" prst="angle"/>
          <a:contourClr>
            <a:schemeClr val="accent3">
              <a:hueOff val="-822709"/>
              <a:satOff val="-14447"/>
              <a:lumOff val="-261"/>
              <a:alphaOff val="0"/>
              <a:shade val="35000"/>
              <a:satMod val="160000"/>
            </a:schemeClr>
          </a:contourClr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20320" tIns="20320" rIns="2032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600" kern="1200"/>
            <a:t>Cuentas x pagar</a:t>
          </a:r>
        </a:p>
      </dsp:txBody>
      <dsp:txXfrm>
        <a:off x="1949490" y="3134252"/>
        <a:ext cx="697677" cy="697677"/>
      </dsp:txXfrm>
    </dsp:sp>
    <dsp:sp modelId="{D695B8B3-A625-4533-8B71-F37199DAACE0}">
      <dsp:nvSpPr>
        <dsp:cNvPr id="0" name=""/>
        <dsp:cNvSpPr/>
      </dsp:nvSpPr>
      <dsp:spPr>
        <a:xfrm>
          <a:off x="310249" y="1495011"/>
          <a:ext cx="986665" cy="986665"/>
        </a:xfrm>
        <a:prstGeom prst="ellipse">
          <a:avLst/>
        </a:prstGeom>
        <a:gradFill rotWithShape="0">
          <a:gsLst>
            <a:gs pos="0">
              <a:schemeClr val="accent3">
                <a:hueOff val="-1234063"/>
                <a:satOff val="-21671"/>
                <a:lumOff val="-392"/>
                <a:alphaOff val="0"/>
                <a:tint val="100000"/>
                <a:shade val="85000"/>
                <a:satMod val="100000"/>
                <a:lumMod val="100000"/>
              </a:schemeClr>
            </a:gs>
            <a:gs pos="100000">
              <a:schemeClr val="accent3">
                <a:hueOff val="-1234063"/>
                <a:satOff val="-21671"/>
                <a:lumOff val="-392"/>
                <a:alphaOff val="0"/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ln>
          <a:noFill/>
        </a:ln>
        <a:effectLst>
          <a:outerShdw blurRad="76200" dist="25400" dir="5400000" algn="ctr" rotWithShape="0">
            <a:srgbClr val="000000">
              <a:alpha val="60000"/>
            </a:srgbClr>
          </a:outerShdw>
        </a:effectLst>
        <a:scene3d>
          <a:camera prst="orthographicFront">
            <a:rot lat="0" lon="0" rev="0"/>
          </a:camera>
          <a:lightRig rig="flat" dir="t">
            <a:rot lat="0" lon="0" rev="3600000"/>
          </a:lightRig>
        </a:scene3d>
        <a:sp3d contourW="12700" prstMaterial="flat">
          <a:bevelT w="38100" h="44450" prst="angle"/>
          <a:contourClr>
            <a:schemeClr val="accent3">
              <a:hueOff val="-1234063"/>
              <a:satOff val="-21671"/>
              <a:lumOff val="-392"/>
              <a:alphaOff val="0"/>
              <a:shade val="35000"/>
              <a:satMod val="160000"/>
            </a:schemeClr>
          </a:contourClr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20320" tIns="20320" rIns="2032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600" kern="1200"/>
            <a:t>Activos</a:t>
          </a:r>
        </a:p>
      </dsp:txBody>
      <dsp:txXfrm>
        <a:off x="454743" y="1639505"/>
        <a:ext cx="697677" cy="697677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7AD7728E-1E11-48A9-A67A-2806F1343BF8}">
      <dsp:nvSpPr>
        <dsp:cNvPr id="0" name=""/>
        <dsp:cNvSpPr/>
      </dsp:nvSpPr>
      <dsp:spPr>
        <a:xfrm>
          <a:off x="82398" y="2233226"/>
          <a:ext cx="1825267" cy="912633"/>
        </a:xfrm>
        <a:prstGeom prst="roundRect">
          <a:avLst>
            <a:gd name="adj" fmla="val 10000"/>
          </a:avLst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5875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15240" rIns="15240" bIns="152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2400" kern="1200"/>
            <a:t>Los Tunos Parrilla</a:t>
          </a:r>
        </a:p>
      </dsp:txBody>
      <dsp:txXfrm>
        <a:off x="109128" y="2259956"/>
        <a:ext cx="1771807" cy="859173"/>
      </dsp:txXfrm>
    </dsp:sp>
    <dsp:sp modelId="{1E4F17B2-61C1-4211-9112-21EAEF2D66DE}">
      <dsp:nvSpPr>
        <dsp:cNvPr id="0" name=""/>
        <dsp:cNvSpPr/>
      </dsp:nvSpPr>
      <dsp:spPr>
        <a:xfrm rot="18509147">
          <a:off x="1686118" y="2210179"/>
          <a:ext cx="1173200" cy="40390"/>
        </a:xfrm>
        <a:custGeom>
          <a:avLst/>
          <a:gdLst/>
          <a:ahLst/>
          <a:cxnLst/>
          <a:rect l="0" t="0" r="0" b="0"/>
          <a:pathLst>
            <a:path>
              <a:moveTo>
                <a:pt x="0" y="20195"/>
              </a:moveTo>
              <a:lnTo>
                <a:pt x="1173200" y="20195"/>
              </a:lnTo>
            </a:path>
          </a:pathLst>
        </a:custGeom>
        <a:noFill/>
        <a:ln w="15875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O" sz="900" kern="1200"/>
        </a:p>
      </dsp:txBody>
      <dsp:txXfrm>
        <a:off x="2243388" y="2201044"/>
        <a:ext cx="58660" cy="58660"/>
      </dsp:txXfrm>
    </dsp:sp>
    <dsp:sp modelId="{B71EA1DC-AA5D-4DEF-AACD-D7B610C30043}">
      <dsp:nvSpPr>
        <dsp:cNvPr id="0" name=""/>
        <dsp:cNvSpPr/>
      </dsp:nvSpPr>
      <dsp:spPr>
        <a:xfrm>
          <a:off x="2637772" y="1314888"/>
          <a:ext cx="1825267" cy="912633"/>
        </a:xfrm>
        <a:prstGeom prst="roundRect">
          <a:avLst>
            <a:gd name="adj" fmla="val 10000"/>
          </a:avLst>
        </a:prstGeom>
        <a:solidFill>
          <a:schemeClr val="accent4">
            <a:hueOff val="0"/>
            <a:satOff val="0"/>
            <a:lumOff val="0"/>
            <a:alphaOff val="0"/>
          </a:schemeClr>
        </a:solidFill>
        <a:ln w="15875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600" kern="1200"/>
            <a:t>Adaptarse</a:t>
          </a:r>
        </a:p>
      </dsp:txBody>
      <dsp:txXfrm>
        <a:off x="2664502" y="1341618"/>
        <a:ext cx="1771807" cy="859173"/>
      </dsp:txXfrm>
    </dsp:sp>
    <dsp:sp modelId="{FA110F8D-A383-48E7-9886-D97D3E84D77B}">
      <dsp:nvSpPr>
        <dsp:cNvPr id="0" name=""/>
        <dsp:cNvSpPr/>
      </dsp:nvSpPr>
      <dsp:spPr>
        <a:xfrm rot="18770822">
          <a:off x="4291283" y="1357437"/>
          <a:ext cx="1073617" cy="40390"/>
        </a:xfrm>
        <a:custGeom>
          <a:avLst/>
          <a:gdLst/>
          <a:ahLst/>
          <a:cxnLst/>
          <a:rect l="0" t="0" r="0" b="0"/>
          <a:pathLst>
            <a:path>
              <a:moveTo>
                <a:pt x="0" y="20195"/>
              </a:moveTo>
              <a:lnTo>
                <a:pt x="1073617" y="20195"/>
              </a:lnTo>
            </a:path>
          </a:pathLst>
        </a:custGeom>
        <a:noFill/>
        <a:ln w="15875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O" sz="900" kern="1200"/>
        </a:p>
      </dsp:txBody>
      <dsp:txXfrm>
        <a:off x="4801252" y="1350791"/>
        <a:ext cx="53680" cy="53680"/>
      </dsp:txXfrm>
    </dsp:sp>
    <dsp:sp modelId="{765BCC75-F323-4F23-9E4F-05AF23F1A45D}">
      <dsp:nvSpPr>
        <dsp:cNvPr id="0" name=""/>
        <dsp:cNvSpPr/>
      </dsp:nvSpPr>
      <dsp:spPr>
        <a:xfrm>
          <a:off x="5193145" y="527742"/>
          <a:ext cx="1825267" cy="912633"/>
        </a:xfrm>
        <a:prstGeom prst="roundRect">
          <a:avLst>
            <a:gd name="adj" fmla="val 10000"/>
          </a:avLst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5875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700" tIns="12700" rIns="12700" bIns="127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2000" kern="1200"/>
            <a:t>Plataforma de ventas</a:t>
          </a:r>
        </a:p>
      </dsp:txBody>
      <dsp:txXfrm>
        <a:off x="5219875" y="554472"/>
        <a:ext cx="1771807" cy="859173"/>
      </dsp:txXfrm>
    </dsp:sp>
    <dsp:sp modelId="{D74353A1-7855-41D7-BD9C-12C9D6E144B7}">
      <dsp:nvSpPr>
        <dsp:cNvPr id="0" name=""/>
        <dsp:cNvSpPr/>
      </dsp:nvSpPr>
      <dsp:spPr>
        <a:xfrm rot="19457599">
          <a:off x="6933901" y="701481"/>
          <a:ext cx="899129" cy="40390"/>
        </a:xfrm>
        <a:custGeom>
          <a:avLst/>
          <a:gdLst/>
          <a:ahLst/>
          <a:cxnLst/>
          <a:rect l="0" t="0" r="0" b="0"/>
          <a:pathLst>
            <a:path>
              <a:moveTo>
                <a:pt x="0" y="20195"/>
              </a:moveTo>
              <a:lnTo>
                <a:pt x="899129" y="20195"/>
              </a:lnTo>
            </a:path>
          </a:pathLst>
        </a:custGeom>
        <a:noFill/>
        <a:ln w="15875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O" sz="900" kern="1200"/>
        </a:p>
      </dsp:txBody>
      <dsp:txXfrm>
        <a:off x="7360988" y="699198"/>
        <a:ext cx="44956" cy="44956"/>
      </dsp:txXfrm>
    </dsp:sp>
    <dsp:sp modelId="{642034F3-0EE3-4AA1-9236-83102005B437}">
      <dsp:nvSpPr>
        <dsp:cNvPr id="0" name=""/>
        <dsp:cNvSpPr/>
      </dsp:nvSpPr>
      <dsp:spPr>
        <a:xfrm>
          <a:off x="7748519" y="2977"/>
          <a:ext cx="2284631" cy="912633"/>
        </a:xfrm>
        <a:prstGeom prst="roundRect">
          <a:avLst>
            <a:gd name="adj" fmla="val 10000"/>
          </a:avLst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5875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600" kern="1200"/>
            <a:t>Facebook - Istagran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600" kern="1200"/>
            <a:t>Wasap.</a:t>
          </a:r>
        </a:p>
      </dsp:txBody>
      <dsp:txXfrm>
        <a:off x="7775249" y="29707"/>
        <a:ext cx="2231171" cy="859173"/>
      </dsp:txXfrm>
    </dsp:sp>
    <dsp:sp modelId="{D513FF87-3C30-4322-BFFA-C63F22E86710}">
      <dsp:nvSpPr>
        <dsp:cNvPr id="0" name=""/>
        <dsp:cNvSpPr/>
      </dsp:nvSpPr>
      <dsp:spPr>
        <a:xfrm rot="2142401">
          <a:off x="6933901" y="1226245"/>
          <a:ext cx="899129" cy="40390"/>
        </a:xfrm>
        <a:custGeom>
          <a:avLst/>
          <a:gdLst/>
          <a:ahLst/>
          <a:cxnLst/>
          <a:rect l="0" t="0" r="0" b="0"/>
          <a:pathLst>
            <a:path>
              <a:moveTo>
                <a:pt x="0" y="20195"/>
              </a:moveTo>
              <a:lnTo>
                <a:pt x="899129" y="20195"/>
              </a:lnTo>
            </a:path>
          </a:pathLst>
        </a:custGeom>
        <a:noFill/>
        <a:ln w="15875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O" sz="900" kern="1200"/>
        </a:p>
      </dsp:txBody>
      <dsp:txXfrm>
        <a:off x="7360988" y="1223962"/>
        <a:ext cx="44956" cy="44956"/>
      </dsp:txXfrm>
    </dsp:sp>
    <dsp:sp modelId="{C2D3945D-4E06-4CA2-AF42-3C456595FA60}">
      <dsp:nvSpPr>
        <dsp:cNvPr id="0" name=""/>
        <dsp:cNvSpPr/>
      </dsp:nvSpPr>
      <dsp:spPr>
        <a:xfrm>
          <a:off x="7748519" y="1052506"/>
          <a:ext cx="2284631" cy="912633"/>
        </a:xfrm>
        <a:prstGeom prst="roundRect">
          <a:avLst>
            <a:gd name="adj" fmla="val 10000"/>
          </a:avLst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5875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400" kern="1200"/>
            <a:t>* Blog del menú</a:t>
          </a:r>
        </a:p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400" kern="1200"/>
            <a:t>* Wasap</a:t>
          </a:r>
        </a:p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400" kern="1200"/>
            <a:t>* Mensajes de Texto</a:t>
          </a:r>
        </a:p>
      </dsp:txBody>
      <dsp:txXfrm>
        <a:off x="7775249" y="1079236"/>
        <a:ext cx="2231171" cy="859173"/>
      </dsp:txXfrm>
    </dsp:sp>
    <dsp:sp modelId="{B8B595D4-1AA7-4313-8314-007ECD9CDB77}">
      <dsp:nvSpPr>
        <dsp:cNvPr id="0" name=""/>
        <dsp:cNvSpPr/>
      </dsp:nvSpPr>
      <dsp:spPr>
        <a:xfrm rot="2829178">
          <a:off x="4291283" y="2144583"/>
          <a:ext cx="1073617" cy="40390"/>
        </a:xfrm>
        <a:custGeom>
          <a:avLst/>
          <a:gdLst/>
          <a:ahLst/>
          <a:cxnLst/>
          <a:rect l="0" t="0" r="0" b="0"/>
          <a:pathLst>
            <a:path>
              <a:moveTo>
                <a:pt x="0" y="20195"/>
              </a:moveTo>
              <a:lnTo>
                <a:pt x="1073617" y="20195"/>
              </a:lnTo>
            </a:path>
          </a:pathLst>
        </a:custGeom>
        <a:noFill/>
        <a:ln w="15875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O" sz="900" kern="1200"/>
        </a:p>
      </dsp:txBody>
      <dsp:txXfrm>
        <a:off x="4801252" y="2137938"/>
        <a:ext cx="53680" cy="53680"/>
      </dsp:txXfrm>
    </dsp:sp>
    <dsp:sp modelId="{B383E499-EC4E-4EDC-99D9-35F698E47E93}">
      <dsp:nvSpPr>
        <dsp:cNvPr id="0" name=""/>
        <dsp:cNvSpPr/>
      </dsp:nvSpPr>
      <dsp:spPr>
        <a:xfrm>
          <a:off x="5193145" y="2102035"/>
          <a:ext cx="1825267" cy="912633"/>
        </a:xfrm>
        <a:prstGeom prst="roundRect">
          <a:avLst>
            <a:gd name="adj" fmla="val 10000"/>
          </a:avLst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5875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1430" tIns="11430" rIns="11430" bIns="1143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800" kern="1200"/>
            <a:t>Pagos Online a Domicilio</a:t>
          </a:r>
        </a:p>
      </dsp:txBody>
      <dsp:txXfrm>
        <a:off x="5219875" y="2128765"/>
        <a:ext cx="1771807" cy="859173"/>
      </dsp:txXfrm>
    </dsp:sp>
    <dsp:sp modelId="{C2813F44-1BCE-4CF0-A191-6A9BA88049E6}">
      <dsp:nvSpPr>
        <dsp:cNvPr id="0" name=""/>
        <dsp:cNvSpPr/>
      </dsp:nvSpPr>
      <dsp:spPr>
        <a:xfrm>
          <a:off x="7018412" y="2538156"/>
          <a:ext cx="730106" cy="40390"/>
        </a:xfrm>
        <a:custGeom>
          <a:avLst/>
          <a:gdLst/>
          <a:ahLst/>
          <a:cxnLst/>
          <a:rect l="0" t="0" r="0" b="0"/>
          <a:pathLst>
            <a:path>
              <a:moveTo>
                <a:pt x="0" y="20195"/>
              </a:moveTo>
              <a:lnTo>
                <a:pt x="730106" y="20195"/>
              </a:lnTo>
            </a:path>
          </a:pathLst>
        </a:custGeom>
        <a:noFill/>
        <a:ln w="15875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O" sz="900" kern="1200"/>
        </a:p>
      </dsp:txBody>
      <dsp:txXfrm>
        <a:off x="7365213" y="2540099"/>
        <a:ext cx="36505" cy="36505"/>
      </dsp:txXfrm>
    </dsp:sp>
    <dsp:sp modelId="{F29B6492-ADF9-462F-8B22-062289126E4B}">
      <dsp:nvSpPr>
        <dsp:cNvPr id="0" name=""/>
        <dsp:cNvSpPr/>
      </dsp:nvSpPr>
      <dsp:spPr>
        <a:xfrm>
          <a:off x="7748519" y="2102035"/>
          <a:ext cx="2284631" cy="912633"/>
        </a:xfrm>
        <a:prstGeom prst="roundRect">
          <a:avLst>
            <a:gd name="adj" fmla="val 10000"/>
          </a:avLst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5875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* Disminución de riesgo Covid-19</a:t>
          </a:r>
        </a:p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* Disminución de costo por usar Datafono</a:t>
          </a:r>
        </a:p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* Crecimiento del ingreso</a:t>
          </a:r>
        </a:p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* Crecimiento de ventas a largo plazo</a:t>
          </a:r>
        </a:p>
      </dsp:txBody>
      <dsp:txXfrm>
        <a:off x="7775249" y="2128765"/>
        <a:ext cx="2231171" cy="859173"/>
      </dsp:txXfrm>
    </dsp:sp>
    <dsp:sp modelId="{4BC60D47-C429-461D-86FB-7B0D10F0C78D}">
      <dsp:nvSpPr>
        <dsp:cNvPr id="0" name=""/>
        <dsp:cNvSpPr/>
      </dsp:nvSpPr>
      <dsp:spPr>
        <a:xfrm rot="3090853">
          <a:off x="1686118" y="3128516"/>
          <a:ext cx="1173200" cy="40390"/>
        </a:xfrm>
        <a:custGeom>
          <a:avLst/>
          <a:gdLst/>
          <a:ahLst/>
          <a:cxnLst/>
          <a:rect l="0" t="0" r="0" b="0"/>
          <a:pathLst>
            <a:path>
              <a:moveTo>
                <a:pt x="0" y="20195"/>
              </a:moveTo>
              <a:lnTo>
                <a:pt x="1173200" y="20195"/>
              </a:lnTo>
            </a:path>
          </a:pathLst>
        </a:custGeom>
        <a:noFill/>
        <a:ln w="15875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O" sz="900" kern="1200"/>
        </a:p>
      </dsp:txBody>
      <dsp:txXfrm>
        <a:off x="2243388" y="3119381"/>
        <a:ext cx="58660" cy="58660"/>
      </dsp:txXfrm>
    </dsp:sp>
    <dsp:sp modelId="{F3E51841-17EC-4320-AF2E-2B9ED4FDE1EA}">
      <dsp:nvSpPr>
        <dsp:cNvPr id="0" name=""/>
        <dsp:cNvSpPr/>
      </dsp:nvSpPr>
      <dsp:spPr>
        <a:xfrm>
          <a:off x="2637772" y="3151563"/>
          <a:ext cx="1825267" cy="912633"/>
        </a:xfrm>
        <a:prstGeom prst="roundRect">
          <a:avLst>
            <a:gd name="adj" fmla="val 10000"/>
          </a:avLst>
        </a:prstGeom>
        <a:solidFill>
          <a:schemeClr val="accent4">
            <a:hueOff val="0"/>
            <a:satOff val="0"/>
            <a:lumOff val="0"/>
            <a:alphaOff val="0"/>
          </a:schemeClr>
        </a:solidFill>
        <a:ln w="15875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600" kern="1200"/>
            <a:t>No adaptarse</a:t>
          </a:r>
        </a:p>
      </dsp:txBody>
      <dsp:txXfrm>
        <a:off x="2664502" y="3178293"/>
        <a:ext cx="1771807" cy="859173"/>
      </dsp:txXfrm>
    </dsp:sp>
    <dsp:sp modelId="{D6282B98-BD3A-41BF-943D-112DAAE6E3D3}">
      <dsp:nvSpPr>
        <dsp:cNvPr id="0" name=""/>
        <dsp:cNvSpPr/>
      </dsp:nvSpPr>
      <dsp:spPr>
        <a:xfrm>
          <a:off x="4463039" y="3587685"/>
          <a:ext cx="730106" cy="40390"/>
        </a:xfrm>
        <a:custGeom>
          <a:avLst/>
          <a:gdLst/>
          <a:ahLst/>
          <a:cxnLst/>
          <a:rect l="0" t="0" r="0" b="0"/>
          <a:pathLst>
            <a:path>
              <a:moveTo>
                <a:pt x="0" y="20195"/>
              </a:moveTo>
              <a:lnTo>
                <a:pt x="730106" y="20195"/>
              </a:lnTo>
            </a:path>
          </a:pathLst>
        </a:custGeom>
        <a:noFill/>
        <a:ln w="15875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O" sz="900" kern="1200"/>
        </a:p>
      </dsp:txBody>
      <dsp:txXfrm>
        <a:off x="4809839" y="3589627"/>
        <a:ext cx="36505" cy="36505"/>
      </dsp:txXfrm>
    </dsp:sp>
    <dsp:sp modelId="{3E8CC95A-30BB-4288-A1FA-7394103B23E8}">
      <dsp:nvSpPr>
        <dsp:cNvPr id="0" name=""/>
        <dsp:cNvSpPr/>
      </dsp:nvSpPr>
      <dsp:spPr>
        <a:xfrm>
          <a:off x="5193145" y="3151563"/>
          <a:ext cx="1825267" cy="912633"/>
        </a:xfrm>
        <a:prstGeom prst="roundRect">
          <a:avLst>
            <a:gd name="adj" fmla="val 10000"/>
          </a:avLst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5875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600" kern="1200"/>
            <a:t>En cuestión de tiempo otros restaurantes se adaptaran tecnologicamente</a:t>
          </a:r>
        </a:p>
      </dsp:txBody>
      <dsp:txXfrm>
        <a:off x="5219875" y="3178293"/>
        <a:ext cx="1771807" cy="859173"/>
      </dsp:txXfrm>
    </dsp:sp>
    <dsp:sp modelId="{D435C461-2B81-4B82-B114-76B56B6019A5}">
      <dsp:nvSpPr>
        <dsp:cNvPr id="0" name=""/>
        <dsp:cNvSpPr/>
      </dsp:nvSpPr>
      <dsp:spPr>
        <a:xfrm>
          <a:off x="7018412" y="3587685"/>
          <a:ext cx="730106" cy="40390"/>
        </a:xfrm>
        <a:custGeom>
          <a:avLst/>
          <a:gdLst/>
          <a:ahLst/>
          <a:cxnLst/>
          <a:rect l="0" t="0" r="0" b="0"/>
          <a:pathLst>
            <a:path>
              <a:moveTo>
                <a:pt x="0" y="20195"/>
              </a:moveTo>
              <a:lnTo>
                <a:pt x="730106" y="20195"/>
              </a:lnTo>
            </a:path>
          </a:pathLst>
        </a:custGeom>
        <a:noFill/>
        <a:ln w="15875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O" sz="900" kern="1200"/>
        </a:p>
      </dsp:txBody>
      <dsp:txXfrm>
        <a:off x="7365213" y="3589627"/>
        <a:ext cx="36505" cy="36505"/>
      </dsp:txXfrm>
    </dsp:sp>
    <dsp:sp modelId="{7D3F564C-C748-4E8D-961D-03041E55C44F}">
      <dsp:nvSpPr>
        <dsp:cNvPr id="0" name=""/>
        <dsp:cNvSpPr/>
      </dsp:nvSpPr>
      <dsp:spPr>
        <a:xfrm>
          <a:off x="7748519" y="3151563"/>
          <a:ext cx="2284631" cy="912633"/>
        </a:xfrm>
        <a:prstGeom prst="roundRect">
          <a:avLst>
            <a:gd name="adj" fmla="val 10000"/>
          </a:avLst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5875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400" kern="1200"/>
            <a:t>En el corto plazo se percibiran beneficios, pero en el largo riesgo de Difault x menor participación del mercado</a:t>
          </a:r>
        </a:p>
      </dsp:txBody>
      <dsp:txXfrm>
        <a:off x="7775249" y="3178293"/>
        <a:ext cx="2231171" cy="859173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radial6">
  <dgm:title val=""/>
  <dgm:desc val=""/>
  <dgm:catLst>
    <dgm:cat type="cycle" pri="9000"/>
    <dgm:cat type="relationship" pri="21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  <dgm:pt modelId="14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  <dgm:cxn modelId="5" srcId="1" destId="13" srcOrd="2" destOrd="0"/>
        <dgm:cxn modelId="6" srcId="1" destId="14" srcOrd="3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13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12"/>
        <dgm:pt modelId="13"/>
        <dgm:pt modelId="14"/>
        <dgm:pt modelId="15"/>
        <dgm:pt modelId="16"/>
      </dgm:ptLst>
      <dgm:cxnLst>
        <dgm:cxn modelId="2" srcId="0" destId="1" srcOrd="0" destOrd="0"/>
        <dgm:cxn modelId="16" srcId="1" destId="11" srcOrd="0" destOrd="0"/>
        <dgm:cxn modelId="17" srcId="1" destId="12" srcOrd="1" destOrd="0"/>
        <dgm:cxn modelId="18" srcId="1" destId="13" srcOrd="2" destOrd="0"/>
        <dgm:cxn modelId="19" srcId="1" destId="14" srcOrd="3" destOrd="0"/>
        <dgm:cxn modelId="20" srcId="1" destId="15" srcOrd="4" destOrd="0"/>
        <dgm:cxn modelId="21" srcId="1" destId="16" srcOrd="5" destOrd="0"/>
      </dgm:cxnLst>
      <dgm:bg/>
      <dgm:whole/>
    </dgm:dataModel>
  </dgm:clrData>
  <dgm:layoutNode name="Name0">
    <dgm:varLst>
      <dgm:chMax val="1"/>
      <dgm:dir/>
      <dgm:animLvl val="ctr"/>
      <dgm:resizeHandles val="exact"/>
    </dgm:varLst>
    <dgm:choose name="Name1">
      <dgm:if name="Name2" func="var" arg="dir" op="equ" val="norm">
        <dgm:choose name="Name3">
          <dgm:if name="Name4" axis="ch ch" ptType="node node" st="1 1" cnt="1 0" func="cnt" op="lte" val="1">
            <dgm:alg type="cycle">
              <dgm:param type="stAng" val="90"/>
              <dgm:param type="spanAng" val="360"/>
              <dgm:param type="ctrShpMap" val="fNode"/>
            </dgm:alg>
          </dgm:if>
          <dgm:else name="Name5">
            <dgm:alg type="cycle">
              <dgm:param type="stAng" val="0"/>
              <dgm:param type="spanAng" val="360"/>
              <dgm:param type="ctrShpMap" val="fNode"/>
            </dgm:alg>
          </dgm:else>
        </dgm:choose>
      </dgm:if>
      <dgm:else name="Name6">
        <dgm:choose name="Name7">
          <dgm:if name="Name8" axis="ch ch" ptType="node node" st="1 1" cnt="1 0" func="cnt" op="lte" val="1">
            <dgm:alg type="cycle">
              <dgm:param type="stAng" val="-90"/>
              <dgm:param type="spanAng" val="360"/>
              <dgm:param type="ctrShpMap" val="fNode"/>
            </dgm:alg>
          </dgm:if>
          <dgm:else name="Name9">
            <dgm:alg type="cycle">
              <dgm:param type="stAng" val="0"/>
              <dgm:param type="spanAng" val="-360"/>
              <dgm:param type="ctrShpMap" val="fNode"/>
            </dgm:alg>
          </dgm:else>
        </dgm:choose>
      </dgm:else>
    </dgm:choose>
    <dgm:shape xmlns:r="http://schemas.openxmlformats.org/officeDocument/2006/relationships" r:blip="">
      <dgm:adjLst/>
    </dgm:shape>
    <dgm:presOf/>
    <dgm:choose name="Name10">
      <dgm:if name="Name11" func="var" arg="dir" op="equ" val="norm">
        <dgm:choose name="Name12">
          <dgm:if name="Name13" axis="ch ch" ptType="node node" st="1 1" cnt="1 0" func="cnt" op="equ" val="1">
            <dgm:constrLst>
              <dgm:constr type="diam" val="170"/>
              <dgm:constr type="w" for="ch" forName="centerShape" refType="w"/>
              <dgm:constr type="w" for="ch" forName="oneComp" refType="w" refFor="ch" refForName="centerShape" op="equ" fact="0.7"/>
              <dgm:constr type="sp" refType="w" refFor="ch" refForName="oneComp" fact="0.3"/>
              <dgm:constr type="sibSp" refType="w" refFor="ch" refForName="oneComp" fact="0.3"/>
              <dgm:constr type="primFontSz" for="ch" forName="centerShape" val="65"/>
              <dgm:constr type="primFontSz" for="des" forName="oneNode" refType="primFontSz" refFor="ch" refForName="centerShape" fact="0.95"/>
              <dgm:constr type="primFontSz" for="des" forName="oneNode" refType="primFontSz" refFor="ch" refForName="centerShape" op="lte" fact="0.95"/>
              <dgm:constr type="diam" for="ch" forName="singleconn" refType="diam" op="equ" fact="-1"/>
              <dgm:constr type="h" for="ch" forName="singleconn" refType="w" refFor="ch" refForName="oneComp" fact="0.24"/>
              <dgm:constr type="w" for="ch" forName="dummya" refType="w" refFor="ch" refForName="oneComp" op="equ"/>
              <dgm:constr type="w" for="ch" forName="dummyb" refType="w" refFor="ch" refForName="oneComp" op="equ"/>
              <dgm:constr type="w" for="ch" forName="dummyc" refType="w" refFor="ch" refForName="oneComp" op="equ"/>
            </dgm:constrLst>
          </dgm:if>
          <dgm:else name="Name14">
            <dgm:constrLst>
              <dgm:constr type="diam" val="170"/>
              <dgm:constr type="w" for="ch" forName="centerShape" refType="w"/>
              <dgm:constr type="w" for="ch" forName="node" refType="w" refFor="ch" refForName="centerShape" op="equ" fact="0.7"/>
              <dgm:constr type="sp" refType="w" refFor="ch" refForName="node" fact="0.3"/>
              <dgm:constr type="sibSp" refType="w" refFor="ch" refForName="node" fact="0.3"/>
              <dgm:constr type="primFontSz" for="ch" forName="centerShape" val="65"/>
              <dgm:constr type="primFontSz" for="des" forName="node" refType="primFontSz" refFor="ch" refForName="centerShape" fact="0.78"/>
              <dgm:constr type="primFontSz" for="ch" forName="node" refType="primFontSz" refFor="ch" refForName="centerShape" op="lte" fact="0.95"/>
              <dgm:constr type="diam" for="ch" forName="sibTrans" refType="diam" op="equ"/>
              <dgm:constr type="h" for="ch" forName="sibTrans" refType="w" refFor="ch" refForName="node" fact="0.24"/>
              <dgm:constr type="w" for="ch" forName="dummy" val="1"/>
            </dgm:constrLst>
          </dgm:else>
        </dgm:choose>
      </dgm:if>
      <dgm:else name="Name15">
        <dgm:choose name="Name16">
          <dgm:if name="Name17" axis="ch ch" ptType="node node" st="1 1" cnt="1 0" func="cnt" op="equ" val="1">
            <dgm:constrLst>
              <dgm:constr type="diam" val="170"/>
              <dgm:constr type="w" for="ch" forName="centerShape" refType="w"/>
              <dgm:constr type="w" for="ch" forName="oneComp" refType="w" refFor="ch" refForName="centerShape" op="equ" fact="0.7"/>
              <dgm:constr type="sp" refType="w" refFor="ch" refForName="oneComp" fact="0.3"/>
              <dgm:constr type="sibSp" refType="w" refFor="ch" refForName="oneComp" fact="0.3"/>
              <dgm:constr type="primFontSz" for="ch" forName="centerShape" val="65"/>
              <dgm:constr type="primFontSz" for="des" forName="oneNode" refType="primFontSz" refFor="ch" refForName="centerShape" fact="0.95"/>
              <dgm:constr type="primFontSz" for="ch" forName="oneNode" refType="primFontSz" refFor="ch" refForName="centerShape" op="lte" fact="0.95"/>
              <dgm:constr type="diam" for="ch" forName="singleconn" refType="diam"/>
              <dgm:constr type="h" for="ch" forName="singleconn" refType="w" refFor="ch" refForName="oneComp" fact="0.24"/>
              <dgm:constr type="diam" for="ch" refType="diam" op="equ"/>
              <dgm:constr type="w" for="ch" forName="dummya" refType="w" refFor="ch" refForName="oneComp" op="equ"/>
              <dgm:constr type="w" for="ch" forName="dummyb" refType="w" refFor="ch" refForName="oneComp" op="equ"/>
              <dgm:constr type="w" for="ch" forName="dummyc" refType="w" refFor="ch" refForName="oneComp" op="equ"/>
            </dgm:constrLst>
          </dgm:if>
          <dgm:else name="Name18">
            <dgm:constrLst>
              <dgm:constr type="diam" val="170"/>
              <dgm:constr type="w" for="ch" forName="centerShape" refType="w"/>
              <dgm:constr type="w" for="ch" forName="node" refType="w" refFor="ch" refForName="centerShape" op="equ" fact="0.7"/>
              <dgm:constr type="sp" refType="w" refFor="ch" refForName="node" fact="0.3"/>
              <dgm:constr type="sibSp" refType="w" refFor="ch" refForName="node" fact="0.3"/>
              <dgm:constr type="primFontSz" for="ch" forName="centerShape" val="65"/>
              <dgm:constr type="primFontSz" for="des" forName="node" refType="primFontSz" refFor="ch" refForName="centerShape" fact="0.78"/>
              <dgm:constr type="primFontSz" for="ch" forName="node" refType="primFontSz" refFor="ch" refForName="centerShape" op="lte" fact="0.95"/>
              <dgm:constr type="diam" for="ch" ptType="sibTrans" refType="diam" fact="-1"/>
              <dgm:constr type="h" for="ch" forName="sibTrans" refType="w" refFor="ch" refForName="node" fact="0.24"/>
              <dgm:constr type="diam" for="ch" refType="diam" op="equ" fact="-1"/>
              <dgm:constr type="w" for="ch" forName="dummy" val="1"/>
            </dgm:constrLst>
          </dgm:else>
        </dgm:choose>
      </dgm:else>
    </dgm:choose>
    <dgm:ruleLst>
      <dgm:rule type="diam" val="INF" fact="NaN" max="NaN"/>
    </dgm:ruleLst>
    <dgm:forEach name="Name19" axis="ch" ptType="node" cnt="1">
      <dgm:layoutNode name="centerShape" styleLbl="node0">
        <dgm:alg type="tx"/>
        <dgm:shape xmlns:r="http://schemas.openxmlformats.org/officeDocument/2006/relationships" type="ellipse" r:blip="">
          <dgm:adjLst/>
        </dgm:shape>
        <dgm:presOf axis="self"/>
        <dgm:constrLst>
          <dgm:constr type="h" refType="w"/>
          <dgm:constr type="tMarg" refType="primFontSz" fact="0.1"/>
          <dgm:constr type="bMarg" refType="primFontSz" fact="0.1"/>
          <dgm:constr type="lMarg" refType="primFontSz" fact="0.1"/>
          <dgm:constr type="rMarg" refType="primFontSz" fact="0.1"/>
        </dgm:constrLst>
        <dgm:ruleLst>
          <dgm:rule type="primFontSz" val="5" fact="NaN" max="NaN"/>
        </dgm:ruleLst>
      </dgm:layoutNode>
      <dgm:forEach name="Name20" axis="ch">
        <dgm:forEach name="Name21" axis="self" ptType="node">
          <dgm:choose name="Name22">
            <dgm:if name="Name23" axis="par ch" ptType="node node" func="cnt" op="gt" val="1">
              <dgm:layoutNode name="node" styleLbl="node1">
                <dgm:varLst>
                  <dgm:bulletEnabled val="1"/>
                </dgm:varLst>
                <dgm:alg type="tx">
                  <dgm:param type="txAnchorVertCh" val="mid"/>
                </dgm:alg>
                <dgm:shape xmlns:r="http://schemas.openxmlformats.org/officeDocument/2006/relationships" type="ellipse" r:blip="">
                  <dgm:adjLst/>
                </dgm:shape>
                <dgm:presOf axis="desOrSelf" ptType="node"/>
                <dgm:constrLst>
                  <dgm:constr type="h" refType="w"/>
                  <dgm:constr type="tMarg" refType="primFontSz" fact="0.1"/>
                  <dgm:constr type="bMarg" refType="primFontSz" fact="0.1"/>
                  <dgm:constr type="lMarg" refType="primFontSz" fact="0.1"/>
                  <dgm:constr type="rMarg" refType="primFontSz" fact="0.1"/>
                </dgm:constrLst>
                <dgm:ruleLst>
                  <dgm:rule type="primFontSz" val="5" fact="NaN" max="NaN"/>
                </dgm:ruleLst>
              </dgm:layoutNode>
              <dgm:layoutNode name="dummy">
                <dgm:alg type="sp"/>
                <dgm:shape xmlns:r="http://schemas.openxmlformats.org/officeDocument/2006/relationships" r:blip="">
                  <dgm:adjLst/>
                </dgm:shape>
                <dgm:presOf/>
                <dgm:constrLst>
                  <dgm:constr type="h" refType="w"/>
                </dgm:constrLst>
                <dgm:ruleLst/>
              </dgm:layoutNode>
              <dgm:forEach name="sibTransForEach" axis="followSib" ptType="sibTrans" hideLastTrans="0" cnt="1">
                <dgm:layoutNode name="sibTrans" styleLbl="sibTrans2D1">
                  <dgm:alg type="conn">
                    <dgm:param type="connRout" val="curve"/>
                    <dgm:param type="begPts" val="ctr"/>
                    <dgm:param type="endPts" val="ctr"/>
                    <dgm:param type="begSty" val="noArr"/>
                    <dgm:param type="endSty" val="noArr"/>
                    <dgm:param type="dstNode" val="node"/>
                  </dgm:alg>
                  <dgm:shape xmlns:r="http://schemas.openxmlformats.org/officeDocument/2006/relationships" type="conn" r:blip="" zOrderOff="-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</dgm:if>
            <dgm:if name="Name24" axis="par ch" ptType="node node" func="cnt" op="equ" val="1">
              <dgm:layoutNode name="oneComp">
                <dgm:alg type="composite">
                  <dgm:param type="ar" val="1"/>
                </dgm:alg>
                <dgm:shape xmlns:r="http://schemas.openxmlformats.org/officeDocument/2006/relationships" r:blip="">
                  <dgm:adjLst/>
                </dgm:shape>
                <dgm:presOf/>
                <dgm:constrLst>
                  <dgm:constr type="h" refType="w"/>
                  <dgm:constr type="l" for="ch" forName="dummyConnPt" refType="w" fact="0.5"/>
                  <dgm:constr type="t" for="ch" forName="dummyConnPt" refType="w" fact="0.5"/>
                  <dgm:constr type="l" for="ch" forName="oneNode"/>
                  <dgm:constr type="t" for="ch" forName="oneNode"/>
                  <dgm:constr type="h" for="ch" forName="oneNode" refType="h"/>
                  <dgm:constr type="w" for="ch" forName="oneNode" refType="w"/>
                </dgm:constrLst>
                <dgm:ruleLst/>
                <dgm:layoutNode name="dummyConnPt" styleLbl="node1">
                  <dgm:alg type="sp"/>
                  <dgm:shape xmlns:r="http://schemas.openxmlformats.org/officeDocument/2006/relationships" r:blip="">
                    <dgm:adjLst/>
                  </dgm:shape>
                  <dgm:presOf/>
                  <dgm:constrLst>
                    <dgm:constr type="w" val="1"/>
                    <dgm:constr type="h" val="1"/>
                  </dgm:constrLst>
                  <dgm:ruleLst/>
                </dgm:layoutNode>
                <dgm:layoutNode name="oneNode" styleLbl="node1">
                  <dgm:varLst>
                    <dgm:bulletEnabled val="1"/>
                  </dgm:varLst>
                  <dgm:alg type="tx">
                    <dgm:param type="txAnchorVertCh" val="mid"/>
                  </dgm:alg>
                  <dgm:shape xmlns:r="http://schemas.openxmlformats.org/officeDocument/2006/relationships" type="ellipse" r:blip="">
                    <dgm:adjLst/>
                  </dgm:shape>
                  <dgm:presOf axis="desOrSelf" ptType="node"/>
                  <dgm:constrLst>
                    <dgm:constr type="h" refType="w"/>
                    <dgm:constr type="tMarg" refType="primFontSz" fact="0.1"/>
                    <dgm:constr type="bMarg" refType="primFontSz" fact="0.1"/>
                    <dgm:constr type="lMarg" refType="primFontSz" fact="0.1"/>
                    <dgm:constr type="rMarg" refType="primFontSz" fact="0.1"/>
                  </dgm:constrLst>
                  <dgm:ruleLst>
                    <dgm:rule type="primFontSz" val="5" fact="NaN" max="NaN"/>
                  </dgm:ruleLst>
                </dgm:layoutNode>
              </dgm:layoutNode>
              <dgm:layoutNode name="dummya">
                <dgm:alg type="sp"/>
                <dgm:shape xmlns:r="http://schemas.openxmlformats.org/officeDocument/2006/relationships" r:blip="">
                  <dgm:adjLst/>
                </dgm:shape>
                <dgm:presOf/>
                <dgm:constrLst>
                  <dgm:constr type="h" refType="w"/>
                </dgm:constrLst>
                <dgm:ruleLst/>
              </dgm:layoutNode>
              <dgm:layoutNode name="dummyb">
                <dgm:alg type="sp"/>
                <dgm:shape xmlns:r="http://schemas.openxmlformats.org/officeDocument/2006/relationships" r:blip="">
                  <dgm:adjLst/>
                </dgm:shape>
                <dgm:presOf/>
                <dgm:constrLst>
                  <dgm:constr type="h" refType="w"/>
                </dgm:constrLst>
                <dgm:ruleLst/>
              </dgm:layoutNode>
              <dgm:layoutNode name="dummyc">
                <dgm:alg type="sp"/>
                <dgm:shape xmlns:r="http://schemas.openxmlformats.org/officeDocument/2006/relationships" r:blip="">
                  <dgm:adjLst/>
                </dgm:shape>
                <dgm:presOf/>
                <dgm:constrLst>
                  <dgm:constr type="h" refType="w"/>
                </dgm:constrLst>
                <dgm:ruleLst/>
              </dgm:layoutNode>
              <dgm:forEach name="sibTransForEach1" axis="followSib" ptType="sibTrans" hideLastTrans="0" cnt="1">
                <dgm:layoutNode name="singleconn" styleLbl="sibTrans2D1">
                  <dgm:alg type="conn">
                    <dgm:param type="connRout" val="longCurve"/>
                    <dgm:param type="begPts" val="bCtr"/>
                    <dgm:param type="endPts" val="tCtr"/>
                    <dgm:param type="begSty" val="noArr"/>
                    <dgm:param type="endSty" val="noArr"/>
                    <dgm:param type="srcNode" val="dummyConnPt"/>
                    <dgm:param type="dstNode" val="dummyConnPt"/>
                  </dgm:alg>
                  <dgm:shape xmlns:r="http://schemas.openxmlformats.org/officeDocument/2006/relationships" type="conn" r:blip="" zOrderOff="-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</dgm:if>
            <dgm:else name="Name25"/>
          </dgm:choose>
        </dgm:forEach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hierarchy2">
  <dgm:title val=""/>
  <dgm:desc val=""/>
  <dgm:catLst>
    <dgm:cat type="hierarchy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 val="exact"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ptType="node" refType="h"/>
      <dgm:constr type="w" for="des" ptType="node" refType="h" refFor="des" refPtType="node" fact="2"/>
      <dgm:constr type="sibSp" refType="h" refFor="des" refPtType="node" op="equ" fact="0.15"/>
      <dgm:constr type="sibSp" for="des" forName="level2hierChild" refType="h" refFor="des" refPtType="node" op="equ" fact="0.15"/>
      <dgm:constr type="sibSp" for="des" forName="level3hierChild" refType="h" refFor="des" refPtType="node" op="equ" fact="0.15"/>
      <dgm:constr type="sp" for="des" forName="root1" refType="w" refFor="des" refPtType="node" fact="0.4"/>
      <dgm:constr type="sp" for="des" forName="root2" refType="sp" refFor="des" refForName="root1" op="equ"/>
      <dgm:constr type="primFontSz" for="des" ptType="node" op="equ" val="65"/>
      <dgm:constr type="primFontSz" for="des" forName="connTx" op="equ" val="55"/>
      <dgm:constr type="primFontSz" for="des" forName="connTx" refType="primFontSz" refFor="des" refPtType="node" op="lte" fact="0.8"/>
    </dgm:constrLst>
    <dgm:ruleLst/>
    <dgm:forEach name="Name3" axis="ch">
      <dgm:forEach name="Name4" axis="self" ptType="node">
        <dgm:layoutNode name="root1">
          <dgm:choose name="Name5">
            <dgm:if name="Name6" func="var" arg="dir" op="equ" val="norm">
              <dgm:alg type="hierRoot">
                <dgm:param type="hierAlign" val="lCtrCh"/>
              </dgm:alg>
            </dgm:if>
            <dgm:else name="Name7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/>
          <dgm:layoutNode name="LevelOneTextNode" styleLbl="node0">
            <dgm:varLst>
              <dgm:chPref val="3"/>
            </dgm:varLst>
            <dgm:alg type="tx"/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  <dgm:layoutNode name="level2hierChild">
            <dgm:choose name="Name8">
              <dgm:if name="Name9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0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eat" axis="ch">
              <dgm:forEach name="Name11" axis="self" ptType="parTrans" cnt="1">
                <dgm:layoutNode name="conn2-1">
                  <dgm:choose name="Name12">
                    <dgm:if name="Name13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</dgm:alg>
                    </dgm:if>
                    <dgm:else name="Name14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ruleLst/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5" axis="self" ptType="node">
                <dgm:layoutNode name="root2">
                  <dgm:choose name="Name16">
                    <dgm:if name="Name17" func="var" arg="dir" op="equ" val="norm">
                      <dgm:alg type="hierRoot">
                        <dgm:param type="hierAlign" val="lCtrCh"/>
                      </dgm:alg>
                    </dgm:if>
                    <dgm:else name="Name18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oundRect" r:blip="">
                      <dgm:adjLst>
                        <dgm:adj idx="1" val="0.1"/>
                      </dgm:adjLst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level3hierChild">
                    <dgm:choose name="Name19">
                      <dgm:if name="Name20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1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22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5">
  <dgm:title val=""/>
  <dgm:desc val=""/>
  <dgm:catLst>
    <dgm:cat type="simple" pri="105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Inicio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tmp"/><Relationship Id="rId1" Type="http://schemas.openxmlformats.org/officeDocument/2006/relationships/image" Target="../media/image3.tmp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Misi&#243;n y visi&#243;n'!A1"/><Relationship Id="rId3" Type="http://schemas.openxmlformats.org/officeDocument/2006/relationships/diagramQuickStyle" Target="../diagrams/quickStyle1.xml"/><Relationship Id="rId7" Type="http://schemas.openxmlformats.org/officeDocument/2006/relationships/hyperlink" Target="#'Mam&#225;-Yuly'!A1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image" Target="../media/image5.png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Inicio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hyperlink" Target="#Inicio!A1"/><Relationship Id="rId4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Inicio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Inicio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Inicio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tmp"/><Relationship Id="rId1" Type="http://schemas.openxmlformats.org/officeDocument/2006/relationships/image" Target="../media/image7.tmp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diagramData" Target="../diagrams/data2.xml"/><Relationship Id="rId7" Type="http://schemas.microsoft.com/office/2007/relationships/diagramDrawing" Target="../diagrams/drawing2.xml"/><Relationship Id="rId2" Type="http://schemas.openxmlformats.org/officeDocument/2006/relationships/image" Target="../media/image6.png"/><Relationship Id="rId1" Type="http://schemas.openxmlformats.org/officeDocument/2006/relationships/hyperlink" Target="#Inicio!A1"/><Relationship Id="rId6" Type="http://schemas.openxmlformats.org/officeDocument/2006/relationships/diagramColors" Target="../diagrams/colors2.xml"/><Relationship Id="rId5" Type="http://schemas.openxmlformats.org/officeDocument/2006/relationships/diagramQuickStyle" Target="../diagrams/quickStyle2.xml"/><Relationship Id="rId4" Type="http://schemas.openxmlformats.org/officeDocument/2006/relationships/diagramLayout" Target="../diagrams/layout2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tmp"/><Relationship Id="rId2" Type="http://schemas.openxmlformats.org/officeDocument/2006/relationships/image" Target="../media/image10.jpeg"/><Relationship Id="rId1" Type="http://schemas.openxmlformats.org/officeDocument/2006/relationships/image" Target="../media/image9.jpeg"/><Relationship Id="rId4" Type="http://schemas.openxmlformats.org/officeDocument/2006/relationships/image" Target="../media/image12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0</xdr:col>
      <xdr:colOff>587750</xdr:colOff>
      <xdr:row>2</xdr:row>
      <xdr:rowOff>43979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AD4D53-4046-47A1-BF5C-45CF39E72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0"/>
          <a:ext cx="578225" cy="5620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4</xdr:col>
      <xdr:colOff>800446</xdr:colOff>
      <xdr:row>9</xdr:row>
      <xdr:rowOff>76286</xdr:rowOff>
    </xdr:to>
    <xdr:pic>
      <xdr:nvPicPr>
        <xdr:cNvPr id="2" name="Imagen 1" descr="Recorte de pantall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1085850"/>
          <a:ext cx="2476846" cy="619211"/>
        </a:xfrm>
        <a:prstGeom prst="rect">
          <a:avLst/>
        </a:prstGeom>
      </xdr:spPr>
    </xdr:pic>
    <xdr:clientData/>
  </xdr:twoCellAnchor>
  <xdr:twoCellAnchor editAs="oneCell">
    <xdr:from>
      <xdr:col>4</xdr:col>
      <xdr:colOff>466725</xdr:colOff>
      <xdr:row>12</xdr:row>
      <xdr:rowOff>123825</xdr:rowOff>
    </xdr:from>
    <xdr:to>
      <xdr:col>10</xdr:col>
      <xdr:colOff>657954</xdr:colOff>
      <xdr:row>17</xdr:row>
      <xdr:rowOff>9635</xdr:rowOff>
    </xdr:to>
    <xdr:pic>
      <xdr:nvPicPr>
        <xdr:cNvPr id="3" name="Imagen 2" descr="Recorte de pantalla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295525"/>
          <a:ext cx="5220429" cy="7906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790575</xdr:colOff>
      <xdr:row>0</xdr:row>
      <xdr:rowOff>76200</xdr:rowOff>
    </xdr:from>
    <xdr:to>
      <xdr:col>6</xdr:col>
      <xdr:colOff>358033</xdr:colOff>
      <xdr:row>22</xdr:row>
      <xdr:rowOff>71438</xdr:rowOff>
    </xdr:to>
    <xdr:graphicFrame macro="">
      <xdr:nvGraphicFramePr>
        <xdr:cNvPr id="6" name="Diagrama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 editAs="oneCell">
    <xdr:from>
      <xdr:col>2</xdr:col>
      <xdr:colOff>420343</xdr:colOff>
      <xdr:row>8</xdr:row>
      <xdr:rowOff>138318</xdr:rowOff>
    </xdr:from>
    <xdr:to>
      <xdr:col>4</xdr:col>
      <xdr:colOff>712304</xdr:colOff>
      <xdr:row>10</xdr:row>
      <xdr:rowOff>181577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93430" y="1596057"/>
          <a:ext cx="1965048" cy="407694"/>
        </a:xfrm>
        <a:prstGeom prst="rect">
          <a:avLst/>
        </a:prstGeom>
      </xdr:spPr>
    </xdr:pic>
    <xdr:clientData/>
  </xdr:twoCellAnchor>
  <xdr:twoCellAnchor>
    <xdr:from>
      <xdr:col>8</xdr:col>
      <xdr:colOff>132841</xdr:colOff>
      <xdr:row>8</xdr:row>
      <xdr:rowOff>23254</xdr:rowOff>
    </xdr:from>
    <xdr:to>
      <xdr:col>9</xdr:col>
      <xdr:colOff>301360</xdr:colOff>
      <xdr:row>13</xdr:row>
      <xdr:rowOff>139529</xdr:rowOff>
    </xdr:to>
    <xdr:sp macro="" textlink="">
      <xdr:nvSpPr>
        <xdr:cNvPr id="2" name="Elipse 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825189" y="1480993"/>
          <a:ext cx="1005062" cy="1027362"/>
        </a:xfrm>
        <a:prstGeom prst="ellipse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600"/>
            <a:t>Mamá</a:t>
          </a:r>
        </a:p>
        <a:p>
          <a:pPr algn="ctr"/>
          <a:r>
            <a:rPr lang="es-CO" sz="1600"/>
            <a:t>Yuly</a:t>
          </a:r>
        </a:p>
      </xdr:txBody>
    </xdr:sp>
    <xdr:clientData/>
  </xdr:twoCellAnchor>
  <xdr:twoCellAnchor>
    <xdr:from>
      <xdr:col>0</xdr:col>
      <xdr:colOff>588065</xdr:colOff>
      <xdr:row>1</xdr:row>
      <xdr:rowOff>140805</xdr:rowOff>
    </xdr:from>
    <xdr:to>
      <xdr:col>2</xdr:col>
      <xdr:colOff>149087</xdr:colOff>
      <xdr:row>4</xdr:row>
      <xdr:rowOff>49696</xdr:rowOff>
    </xdr:to>
    <xdr:sp macro="" textlink="">
      <xdr:nvSpPr>
        <xdr:cNvPr id="3" name="Rectángulo redondeado 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88065" y="323022"/>
          <a:ext cx="1234109" cy="455544"/>
        </a:xfrm>
        <a:prstGeom prst="roundRect">
          <a:avLst/>
        </a:prstGeom>
        <a:solidFill>
          <a:schemeClr val="accent2">
            <a:lumMod val="75000"/>
          </a:schemeClr>
        </a:solidFill>
        <a:scene3d>
          <a:camera prst="orthographicFront">
            <a:rot lat="0" lon="0" rev="0"/>
          </a:camera>
          <a:lightRig rig="flat" dir="t">
            <a:rot lat="0" lon="0" rev="3600000"/>
          </a:lightRig>
        </a:scene3d>
        <a:sp3d contourW="12700" prstMaterial="flat">
          <a:bevelT w="38100" h="44450"/>
          <a:contourClr>
            <a:schemeClr val="dk1">
              <a:shade val="35000"/>
              <a:satMod val="160000"/>
            </a:schemeClr>
          </a:contourClr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>
              <a:solidFill>
                <a:srgbClr val="FFFFA3"/>
              </a:solidFill>
            </a:rPr>
            <a:t>Misión y Visión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24848</xdr:colOff>
      <xdr:row>0</xdr:row>
      <xdr:rowOff>57978</xdr:rowOff>
    </xdr:from>
    <xdr:to>
      <xdr:col>6</xdr:col>
      <xdr:colOff>8282</xdr:colOff>
      <xdr:row>2</xdr:row>
      <xdr:rowOff>91108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32522" y="57978"/>
          <a:ext cx="5449956" cy="39756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2400" u="sng">
              <a:solidFill>
                <a:schemeClr val="accent3">
                  <a:lumMod val="50000"/>
                </a:schemeClr>
              </a:solidFill>
            </a:rPr>
            <a:t>Pasivos</a:t>
          </a:r>
        </a:p>
      </xdr:txBody>
    </xdr:sp>
    <xdr:clientData/>
  </xdr:twoCellAnchor>
  <xdr:twoCellAnchor>
    <xdr:from>
      <xdr:col>6</xdr:col>
      <xdr:colOff>364433</xdr:colOff>
      <xdr:row>0</xdr:row>
      <xdr:rowOff>57977</xdr:rowOff>
    </xdr:from>
    <xdr:to>
      <xdr:col>8</xdr:col>
      <xdr:colOff>952500</xdr:colOff>
      <xdr:row>2</xdr:row>
      <xdr:rowOff>82825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938629" y="57977"/>
          <a:ext cx="2501349" cy="389283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2400" u="sng">
              <a:solidFill>
                <a:schemeClr val="accent3">
                  <a:lumMod val="50000"/>
                </a:schemeClr>
              </a:solidFill>
            </a:rPr>
            <a:t>Gastos</a:t>
          </a:r>
          <a:r>
            <a:rPr lang="es-CO" sz="2400" u="sng" baseline="0">
              <a:solidFill>
                <a:schemeClr val="accent3">
                  <a:lumMod val="50000"/>
                </a:schemeClr>
              </a:solidFill>
            </a:rPr>
            <a:t> de entrada</a:t>
          </a:r>
          <a:endParaRPr lang="es-CO" sz="2400" u="sng">
            <a:solidFill>
              <a:schemeClr val="accent3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372717</xdr:colOff>
      <xdr:row>27</xdr:row>
      <xdr:rowOff>149085</xdr:rowOff>
    </xdr:from>
    <xdr:to>
      <xdr:col>9</xdr:col>
      <xdr:colOff>472109</xdr:colOff>
      <xdr:row>29</xdr:row>
      <xdr:rowOff>91108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80391" y="5085520"/>
          <a:ext cx="9732066" cy="306458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2400" u="sng">
              <a:solidFill>
                <a:schemeClr val="accent3">
                  <a:lumMod val="50000"/>
                </a:schemeClr>
              </a:solidFill>
            </a:rPr>
            <a:t>Patrimonio</a:t>
          </a:r>
        </a:p>
      </xdr:txBody>
    </xdr:sp>
    <xdr:clientData/>
  </xdr:twoCellAnchor>
  <xdr:twoCellAnchor>
    <xdr:from>
      <xdr:col>7</xdr:col>
      <xdr:colOff>24848</xdr:colOff>
      <xdr:row>30</xdr:row>
      <xdr:rowOff>17393</xdr:rowOff>
    </xdr:from>
    <xdr:to>
      <xdr:col>9</xdr:col>
      <xdr:colOff>8283</xdr:colOff>
      <xdr:row>32</xdr:row>
      <xdr:rowOff>49697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5010978" y="4026176"/>
          <a:ext cx="2501348" cy="396738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2400" u="sng">
              <a:solidFill>
                <a:schemeClr val="accent3">
                  <a:lumMod val="50000"/>
                </a:schemeClr>
              </a:solidFill>
            </a:rPr>
            <a:t>Inventario (Stock)</a:t>
          </a:r>
        </a:p>
      </xdr:txBody>
    </xdr:sp>
    <xdr:clientData/>
  </xdr:twoCellAnchor>
  <xdr:twoCellAnchor editAs="oneCell">
    <xdr:from>
      <xdr:col>7</xdr:col>
      <xdr:colOff>985631</xdr:colOff>
      <xdr:row>12</xdr:row>
      <xdr:rowOff>124238</xdr:rowOff>
    </xdr:from>
    <xdr:to>
      <xdr:col>8</xdr:col>
      <xdr:colOff>23291</xdr:colOff>
      <xdr:row>15</xdr:row>
      <xdr:rowOff>139642</xdr:rowOff>
    </xdr:to>
    <xdr:pic>
      <xdr:nvPicPr>
        <xdr:cNvPr id="7" name="Imagen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23283" y="2310847"/>
          <a:ext cx="578225" cy="562056"/>
        </a:xfrm>
        <a:prstGeom prst="rect">
          <a:avLst/>
        </a:prstGeom>
      </xdr:spPr>
    </xdr:pic>
    <xdr:clientData/>
  </xdr:twoCellAnchor>
  <xdr:twoCellAnchor>
    <xdr:from>
      <xdr:col>0</xdr:col>
      <xdr:colOff>99391</xdr:colOff>
      <xdr:row>30</xdr:row>
      <xdr:rowOff>12424</xdr:rowOff>
    </xdr:from>
    <xdr:to>
      <xdr:col>4</xdr:col>
      <xdr:colOff>0</xdr:colOff>
      <xdr:row>32</xdr:row>
      <xdr:rowOff>44728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99391" y="4021207"/>
          <a:ext cx="4514022" cy="396738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2400" u="sng">
              <a:solidFill>
                <a:schemeClr val="accent3">
                  <a:lumMod val="50000"/>
                </a:schemeClr>
              </a:solidFill>
            </a:rPr>
            <a:t>Planta y Equipo</a:t>
          </a:r>
        </a:p>
      </xdr:txBody>
    </xdr:sp>
    <xdr:clientData/>
  </xdr:twoCellAnchor>
  <xdr:twoCellAnchor>
    <xdr:from>
      <xdr:col>10</xdr:col>
      <xdr:colOff>0</xdr:colOff>
      <xdr:row>0</xdr:row>
      <xdr:rowOff>66260</xdr:rowOff>
    </xdr:from>
    <xdr:to>
      <xdr:col>14</xdr:col>
      <xdr:colOff>0</xdr:colOff>
      <xdr:row>2</xdr:row>
      <xdr:rowOff>173934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8158370" y="66260"/>
          <a:ext cx="3735456" cy="472109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600" b="1" u="sng">
              <a:solidFill>
                <a:schemeClr val="accent3">
                  <a:lumMod val="50000"/>
                </a:schemeClr>
              </a:solidFill>
            </a:rPr>
            <a:t>Balance General</a:t>
          </a:r>
          <a:r>
            <a:rPr lang="es-CO" sz="1600" b="1" u="sng" baseline="0">
              <a:solidFill>
                <a:schemeClr val="accent3">
                  <a:lumMod val="50000"/>
                </a:schemeClr>
              </a:solidFill>
            </a:rPr>
            <a:t> </a:t>
          </a:r>
          <a:br>
            <a:rPr lang="es-CO" sz="1800" b="1" u="sng" baseline="0">
              <a:solidFill>
                <a:schemeClr val="accent3">
                  <a:lumMod val="50000"/>
                </a:schemeClr>
              </a:solidFill>
            </a:rPr>
          </a:br>
          <a:r>
            <a:rPr lang="es-CO" sz="1050" b="1" u="sng" baseline="0">
              <a:solidFill>
                <a:schemeClr val="accent3">
                  <a:lumMod val="50000"/>
                </a:schemeClr>
              </a:solidFill>
            </a:rPr>
            <a:t>31 de marzo de 2020</a:t>
          </a:r>
          <a:endParaRPr lang="es-CO" sz="1200" b="1" u="sng">
            <a:solidFill>
              <a:schemeClr val="accent3">
                <a:lumMod val="50000"/>
              </a:schemeClr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5</xdr:row>
      <xdr:rowOff>180975</xdr:rowOff>
    </xdr:from>
    <xdr:to>
      <xdr:col>21</xdr:col>
      <xdr:colOff>457200</xdr:colOff>
      <xdr:row>11</xdr:row>
      <xdr:rowOff>38099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ipo día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í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58400" y="1095375"/>
              <a:ext cx="1533524" cy="9905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828675</xdr:colOff>
      <xdr:row>13</xdr:row>
      <xdr:rowOff>38100</xdr:rowOff>
    </xdr:from>
    <xdr:to>
      <xdr:col>21</xdr:col>
      <xdr:colOff>447675</xdr:colOff>
      <xdr:row>19</xdr:row>
      <xdr:rowOff>124557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es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48875" y="2466975"/>
              <a:ext cx="1533524" cy="95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18</xdr:col>
      <xdr:colOff>533399</xdr:colOff>
      <xdr:row>0</xdr:row>
      <xdr:rowOff>133350</xdr:rowOff>
    </xdr:from>
    <xdr:to>
      <xdr:col>30</xdr:col>
      <xdr:colOff>133350</xdr:colOff>
      <xdr:row>21</xdr:row>
      <xdr:rowOff>9525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9753599" y="133350"/>
          <a:ext cx="10572751" cy="37909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19</xdr:col>
      <xdr:colOff>104775</xdr:colOff>
      <xdr:row>1</xdr:row>
      <xdr:rowOff>142875</xdr:rowOff>
    </xdr:from>
    <xdr:to>
      <xdr:col>20</xdr:col>
      <xdr:colOff>63876</xdr:colOff>
      <xdr:row>4</xdr:row>
      <xdr:rowOff>158279</xdr:rowOff>
    </xdr:to>
    <xdr:pic>
      <xdr:nvPicPr>
        <xdr:cNvPr id="8" name="Imagen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96800" y="323850"/>
          <a:ext cx="578225" cy="558329"/>
        </a:xfrm>
        <a:prstGeom prst="rect">
          <a:avLst/>
        </a:prstGeom>
      </xdr:spPr>
    </xdr:pic>
    <xdr:clientData/>
  </xdr:twoCellAnchor>
  <xdr:twoCellAnchor>
    <xdr:from>
      <xdr:col>6</xdr:col>
      <xdr:colOff>695324</xdr:colOff>
      <xdr:row>1</xdr:row>
      <xdr:rowOff>24848</xdr:rowOff>
    </xdr:from>
    <xdr:to>
      <xdr:col>18</xdr:col>
      <xdr:colOff>200024</xdr:colOff>
      <xdr:row>16</xdr:row>
      <xdr:rowOff>1656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28576</xdr:colOff>
      <xdr:row>18</xdr:row>
      <xdr:rowOff>45137</xdr:rowOff>
    </xdr:from>
    <xdr:to>
      <xdr:col>18</xdr:col>
      <xdr:colOff>484909</xdr:colOff>
      <xdr:row>44</xdr:row>
      <xdr:rowOff>66674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857250</xdr:colOff>
      <xdr:row>0</xdr:row>
      <xdr:rowOff>114300</xdr:rowOff>
    </xdr:from>
    <xdr:to>
      <xdr:col>2</xdr:col>
      <xdr:colOff>1266825</xdr:colOff>
      <xdr:row>2</xdr:row>
      <xdr:rowOff>123825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857250" y="114300"/>
          <a:ext cx="228600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2400" b="1" u="sng">
              <a:solidFill>
                <a:schemeClr val="accent3">
                  <a:lumMod val="50000"/>
                </a:schemeClr>
              </a:solidFill>
            </a:rPr>
            <a:t>Plan de pagos</a:t>
          </a:r>
        </a:p>
      </xdr:txBody>
    </xdr:sp>
    <xdr:clientData/>
  </xdr:twoCellAnchor>
  <xdr:twoCellAnchor editAs="oneCell">
    <xdr:from>
      <xdr:col>0</xdr:col>
      <xdr:colOff>190500</xdr:colOff>
      <xdr:row>0</xdr:row>
      <xdr:rowOff>76200</xdr:rowOff>
    </xdr:from>
    <xdr:to>
      <xdr:col>0</xdr:col>
      <xdr:colOff>659933</xdr:colOff>
      <xdr:row>2</xdr:row>
      <xdr:rowOff>171490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76200"/>
          <a:ext cx="469433" cy="4572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857250</xdr:colOff>
      <xdr:row>0</xdr:row>
      <xdr:rowOff>114300</xdr:rowOff>
    </xdr:from>
    <xdr:to>
      <xdr:col>2</xdr:col>
      <xdr:colOff>1266825</xdr:colOff>
      <xdr:row>2</xdr:row>
      <xdr:rowOff>123825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0103000-43E2-4F50-AB64-886FEF361E79}"/>
            </a:ext>
          </a:extLst>
        </xdr:cNvPr>
        <xdr:cNvSpPr txBox="1"/>
      </xdr:nvSpPr>
      <xdr:spPr>
        <a:xfrm>
          <a:off x="857250" y="114300"/>
          <a:ext cx="347662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2400" b="1" u="sng">
              <a:solidFill>
                <a:schemeClr val="accent3">
                  <a:lumMod val="50000"/>
                </a:schemeClr>
              </a:solidFill>
            </a:rPr>
            <a:t>Plan de Cobros</a:t>
          </a:r>
        </a:p>
      </xdr:txBody>
    </xdr:sp>
    <xdr:clientData/>
  </xdr:twoCellAnchor>
  <xdr:twoCellAnchor editAs="oneCell">
    <xdr:from>
      <xdr:col>0</xdr:col>
      <xdr:colOff>190500</xdr:colOff>
      <xdr:row>0</xdr:row>
      <xdr:rowOff>76200</xdr:rowOff>
    </xdr:from>
    <xdr:to>
      <xdr:col>0</xdr:col>
      <xdr:colOff>659933</xdr:colOff>
      <xdr:row>2</xdr:row>
      <xdr:rowOff>171490</xdr:rowOff>
    </xdr:to>
    <xdr:pic>
      <xdr:nvPicPr>
        <xdr:cNvPr id="3" name="Image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3A458F-DD58-4F0D-905D-15363F73C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76200"/>
          <a:ext cx="469433" cy="4572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0</xdr:col>
      <xdr:colOff>587750</xdr:colOff>
      <xdr:row>2</xdr:row>
      <xdr:rowOff>43979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FA71A8-7A95-4B08-863B-30698B610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0"/>
          <a:ext cx="578225" cy="56785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533401</xdr:colOff>
      <xdr:row>4</xdr:row>
      <xdr:rowOff>95250</xdr:rowOff>
    </xdr:from>
    <xdr:ext cx="4476750" cy="2888966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1" y="819150"/>
          <a:ext cx="4476750" cy="2888966"/>
        </a:xfrm>
        <a:prstGeom prst="rect">
          <a:avLst/>
        </a:prstGeom>
      </xdr:spPr>
    </xdr:pic>
    <xdr:clientData/>
  </xdr:oneCellAnchor>
  <xdr:oneCellAnchor>
    <xdr:from>
      <xdr:col>7</xdr:col>
      <xdr:colOff>247650</xdr:colOff>
      <xdr:row>3</xdr:row>
      <xdr:rowOff>128768</xdr:rowOff>
    </xdr:from>
    <xdr:ext cx="4496950" cy="2900923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1650" y="700268"/>
          <a:ext cx="4496950" cy="2900923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47625</xdr:rowOff>
    </xdr:from>
    <xdr:to>
      <xdr:col>0</xdr:col>
      <xdr:colOff>593258</xdr:colOff>
      <xdr:row>2</xdr:row>
      <xdr:rowOff>145400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" y="47625"/>
          <a:ext cx="469433" cy="459725"/>
        </a:xfrm>
        <a:prstGeom prst="rect">
          <a:avLst/>
        </a:prstGeom>
      </xdr:spPr>
    </xdr:pic>
    <xdr:clientData/>
  </xdr:twoCellAnchor>
  <xdr:twoCellAnchor>
    <xdr:from>
      <xdr:col>0</xdr:col>
      <xdr:colOff>400050</xdr:colOff>
      <xdr:row>0</xdr:row>
      <xdr:rowOff>76200</xdr:rowOff>
    </xdr:from>
    <xdr:to>
      <xdr:col>12</xdr:col>
      <xdr:colOff>457200</xdr:colOff>
      <xdr:row>22</xdr:row>
      <xdr:rowOff>161925</xdr:rowOff>
    </xdr:to>
    <xdr:graphicFrame macro="">
      <xdr:nvGraphicFramePr>
        <xdr:cNvPr id="3" name="Diagrama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3" r:lo="rId4" r:qs="rId5" r:cs="rId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342900</xdr:colOff>
      <xdr:row>11</xdr:row>
      <xdr:rowOff>171450</xdr:rowOff>
    </xdr:from>
    <xdr:to>
      <xdr:col>19</xdr:col>
      <xdr:colOff>561975</xdr:colOff>
      <xdr:row>72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2266950"/>
          <a:ext cx="6924675" cy="11630025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7</xdr:row>
      <xdr:rowOff>38100</xdr:rowOff>
    </xdr:from>
    <xdr:to>
      <xdr:col>9</xdr:col>
      <xdr:colOff>511950</xdr:colOff>
      <xdr:row>69</xdr:row>
      <xdr:rowOff>38099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1371600"/>
          <a:ext cx="7065150" cy="11810999"/>
        </a:xfrm>
        <a:prstGeom prst="rect">
          <a:avLst/>
        </a:prstGeom>
      </xdr:spPr>
    </xdr:pic>
    <xdr:clientData/>
  </xdr:twoCellAnchor>
  <xdr:twoCellAnchor editAs="oneCell">
    <xdr:from>
      <xdr:col>24</xdr:col>
      <xdr:colOff>498082</xdr:colOff>
      <xdr:row>20</xdr:row>
      <xdr:rowOff>1190</xdr:rowOff>
    </xdr:from>
    <xdr:to>
      <xdr:col>45</xdr:col>
      <xdr:colOff>495300</xdr:colOff>
      <xdr:row>121</xdr:row>
      <xdr:rowOff>143486</xdr:rowOff>
    </xdr:to>
    <xdr:pic>
      <xdr:nvPicPr>
        <xdr:cNvPr id="4" name="Imagen 3" descr="Recorte de pantalla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14882" y="3811190"/>
          <a:ext cx="17599418" cy="19382796"/>
        </a:xfrm>
        <a:prstGeom prst="rect">
          <a:avLst/>
        </a:prstGeom>
      </xdr:spPr>
    </xdr:pic>
    <xdr:clientData/>
  </xdr:twoCellAnchor>
  <xdr:twoCellAnchor editAs="oneCell">
    <xdr:from>
      <xdr:col>40</xdr:col>
      <xdr:colOff>533401</xdr:colOff>
      <xdr:row>11</xdr:row>
      <xdr:rowOff>114300</xdr:rowOff>
    </xdr:from>
    <xdr:to>
      <xdr:col>72</xdr:col>
      <xdr:colOff>17149</xdr:colOff>
      <xdr:row>79</xdr:row>
      <xdr:rowOff>38100</xdr:rowOff>
    </xdr:to>
    <xdr:pic>
      <xdr:nvPicPr>
        <xdr:cNvPr id="5" name="Imagen 4" descr="Recorte de pantalla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61401" y="2209800"/>
          <a:ext cx="26306148" cy="1287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Downloads\Los%20Tunos_Parrilla_Contabilida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shboard%20Chorobi%20Parrill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dwin%20Torres\Desktop\Buck-up\Base%20Total\Finance%20System\OPEX\Gastos%20Servicios%20p&#250;blicos_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se%20Total\Finance%20System\Gastos%20Servicios%20p&#250;blico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se%20Total\Finance%20System\Gastos%20Servicios%20p&#250;blicos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cio"/>
      <sheetName val="Dashboard"/>
      <sheetName val="Formato Ingreso"/>
      <sheetName val="Ingresos"/>
      <sheetName val="Gastos Operacionales"/>
      <sheetName val="Inventario"/>
      <sheetName val="Egresos mercancia"/>
      <sheetName val="Costo MP"/>
      <sheetName val="Cuentas x Pagar"/>
      <sheetName val="Estrategia"/>
      <sheetName val="Hoja3"/>
      <sheetName val="Hoja2"/>
      <sheetName val="Cuentas x Pagar (Edwin)"/>
      <sheetName val="Efectivo"/>
      <sheetName val="Cartas"/>
      <sheetName val="Hoja1"/>
      <sheetName val="Stock de Inventario"/>
      <sheetName val="Entradas y Salidas"/>
      <sheetName val="Los Tunos_Parrilla_Contabilid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>
        <row r="20">
          <cell r="F20">
            <v>8291265.666666666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  <sheetName val="sales_BI"/>
      <sheetName val="Informe"/>
      <sheetName val="historial de venta"/>
      <sheetName val="urls"/>
    </sheetNames>
    <sheetDataSet>
      <sheetData sheetId="0">
        <row r="5">
          <cell r="C5" t="str">
            <v>Chorizo</v>
          </cell>
        </row>
        <row r="6">
          <cell r="C6" t="str">
            <v>Chorizo</v>
          </cell>
        </row>
        <row r="7">
          <cell r="C7" t="str">
            <v>Chorizo</v>
          </cell>
        </row>
        <row r="8">
          <cell r="C8" t="str">
            <v>Coca cola</v>
          </cell>
        </row>
        <row r="9">
          <cell r="C9" t="str">
            <v>Chorizo</v>
          </cell>
        </row>
        <row r="10">
          <cell r="C10" t="str">
            <v>Agua</v>
          </cell>
        </row>
        <row r="11">
          <cell r="C11" t="str">
            <v>Chorizo</v>
          </cell>
        </row>
        <row r="12">
          <cell r="C12" t="str">
            <v>Chorizo</v>
          </cell>
        </row>
        <row r="13">
          <cell r="C13" t="str">
            <v>Postobon</v>
          </cell>
        </row>
        <row r="14">
          <cell r="C14" t="str">
            <v>Chorizo</v>
          </cell>
        </row>
        <row r="15">
          <cell r="C15" t="str">
            <v>Chorizo</v>
          </cell>
        </row>
        <row r="16">
          <cell r="C16" t="str">
            <v>Coca cola</v>
          </cell>
        </row>
        <row r="17">
          <cell r="C17" t="str">
            <v>Chorizo</v>
          </cell>
        </row>
        <row r="18">
          <cell r="C18" t="str">
            <v>Chorizo</v>
          </cell>
        </row>
        <row r="19">
          <cell r="C19" t="str">
            <v>Chorizo</v>
          </cell>
        </row>
        <row r="20">
          <cell r="C20" t="str">
            <v>Chorizo</v>
          </cell>
        </row>
        <row r="21">
          <cell r="C21" t="str">
            <v>Postobon</v>
          </cell>
        </row>
        <row r="22">
          <cell r="C22" t="str">
            <v>Chorizo</v>
          </cell>
        </row>
        <row r="23">
          <cell r="C23" t="str">
            <v>Chorizo</v>
          </cell>
        </row>
        <row r="24">
          <cell r="C24" t="str">
            <v>Chorizo</v>
          </cell>
        </row>
        <row r="25">
          <cell r="C25" t="str">
            <v>Chorizo</v>
          </cell>
        </row>
        <row r="26">
          <cell r="C26" t="str">
            <v>Chorizo</v>
          </cell>
        </row>
        <row r="27">
          <cell r="C27" t="str">
            <v>Chorizo</v>
          </cell>
        </row>
        <row r="28">
          <cell r="C28" t="str">
            <v>Chorizo</v>
          </cell>
        </row>
        <row r="29">
          <cell r="C29" t="str">
            <v>Chorizo</v>
          </cell>
        </row>
        <row r="30">
          <cell r="C30" t="str">
            <v>Chori- CRUDO</v>
          </cell>
        </row>
        <row r="31">
          <cell r="C31" t="str">
            <v>Chorizo</v>
          </cell>
        </row>
        <row r="32">
          <cell r="C32" t="str">
            <v>Chorizo</v>
          </cell>
        </row>
        <row r="33">
          <cell r="C33" t="str">
            <v>Chorizo</v>
          </cell>
        </row>
        <row r="34">
          <cell r="C34" t="str">
            <v>Chorizo</v>
          </cell>
        </row>
        <row r="35">
          <cell r="C35" t="str">
            <v>Agua</v>
          </cell>
        </row>
        <row r="36">
          <cell r="C36" t="str">
            <v>Chorizo</v>
          </cell>
        </row>
        <row r="37">
          <cell r="C37" t="str">
            <v>Postobon</v>
          </cell>
        </row>
        <row r="38">
          <cell r="C38" t="str">
            <v>Chorizo</v>
          </cell>
        </row>
        <row r="39">
          <cell r="C39" t="str">
            <v>Coca cola</v>
          </cell>
        </row>
        <row r="40">
          <cell r="C40" t="str">
            <v>Chorizo</v>
          </cell>
        </row>
        <row r="41">
          <cell r="C41" t="str">
            <v>Chorizo</v>
          </cell>
        </row>
        <row r="42">
          <cell r="C42" t="str">
            <v>Chorizo</v>
          </cell>
        </row>
        <row r="43">
          <cell r="C43" t="str">
            <v>Chorizo</v>
          </cell>
        </row>
        <row r="44">
          <cell r="C44" t="str">
            <v>parri tres carnes</v>
          </cell>
        </row>
        <row r="45">
          <cell r="C45" t="str">
            <v>parri tres carnes</v>
          </cell>
        </row>
        <row r="46">
          <cell r="C46" t="str">
            <v>Chorizo</v>
          </cell>
        </row>
        <row r="47">
          <cell r="C47" t="str">
            <v>Chorizo</v>
          </cell>
        </row>
        <row r="48">
          <cell r="C48" t="str">
            <v>Chorizo</v>
          </cell>
        </row>
        <row r="49">
          <cell r="C49" t="str">
            <v>Chorizo</v>
          </cell>
        </row>
        <row r="50">
          <cell r="C50" t="str">
            <v>Chorizo</v>
          </cell>
        </row>
        <row r="51">
          <cell r="C51" t="str">
            <v>Chorizo</v>
          </cell>
        </row>
        <row r="52">
          <cell r="C52" t="str">
            <v>Chorizo</v>
          </cell>
        </row>
        <row r="53">
          <cell r="C53" t="str">
            <v>Coca cola</v>
          </cell>
        </row>
        <row r="54">
          <cell r="C54" t="str">
            <v>Postobon</v>
          </cell>
        </row>
        <row r="55">
          <cell r="C55" t="str">
            <v>Chorizo</v>
          </cell>
        </row>
        <row r="56">
          <cell r="C56" t="str">
            <v>Chorizo</v>
          </cell>
        </row>
        <row r="57">
          <cell r="C57" t="str">
            <v>Chorizo</v>
          </cell>
        </row>
        <row r="58">
          <cell r="C58" t="str">
            <v>Coca cola</v>
          </cell>
        </row>
        <row r="59">
          <cell r="C59" t="str">
            <v>Chori- CRUDO</v>
          </cell>
        </row>
        <row r="60">
          <cell r="C60" t="str">
            <v>parri tres carnes</v>
          </cell>
        </row>
        <row r="61">
          <cell r="C61" t="str">
            <v>Postobon</v>
          </cell>
        </row>
        <row r="62">
          <cell r="C62" t="str">
            <v>Chorizo</v>
          </cell>
        </row>
        <row r="63">
          <cell r="C63" t="str">
            <v>Chorizo</v>
          </cell>
        </row>
        <row r="64">
          <cell r="C64" t="str">
            <v>Chorizo</v>
          </cell>
        </row>
        <row r="65">
          <cell r="C65" t="str">
            <v>Chorizo</v>
          </cell>
        </row>
        <row r="66">
          <cell r="C66" t="str">
            <v>Chorizo</v>
          </cell>
        </row>
        <row r="67">
          <cell r="C67" t="str">
            <v>Chori- CRUDO</v>
          </cell>
        </row>
        <row r="68">
          <cell r="C68" t="str">
            <v>Chorizo</v>
          </cell>
        </row>
        <row r="69">
          <cell r="C69" t="str">
            <v>carne + chorizo</v>
          </cell>
        </row>
        <row r="70">
          <cell r="C70" t="str">
            <v>Chorizo</v>
          </cell>
        </row>
        <row r="71">
          <cell r="C71" t="str">
            <v>Postobon</v>
          </cell>
        </row>
        <row r="72">
          <cell r="C72" t="str">
            <v>Chorizo</v>
          </cell>
        </row>
        <row r="73">
          <cell r="C73" t="str">
            <v>Chorizo</v>
          </cell>
        </row>
        <row r="74">
          <cell r="C74" t="str">
            <v>Chorizo</v>
          </cell>
        </row>
        <row r="75">
          <cell r="C75" t="str">
            <v>Chorizo</v>
          </cell>
        </row>
        <row r="76">
          <cell r="C76" t="str">
            <v>Chorizo</v>
          </cell>
        </row>
        <row r="77">
          <cell r="C77" t="str">
            <v>Chorizo</v>
          </cell>
        </row>
        <row r="78">
          <cell r="C78" t="str">
            <v>Coca cola</v>
          </cell>
        </row>
        <row r="79">
          <cell r="C79" t="str">
            <v>Chorizo</v>
          </cell>
        </row>
        <row r="80">
          <cell r="C80" t="str">
            <v>Chorizo</v>
          </cell>
        </row>
        <row r="81">
          <cell r="C81" t="str">
            <v>Chorizo</v>
          </cell>
        </row>
        <row r="82">
          <cell r="C82" t="str">
            <v>Postobon</v>
          </cell>
        </row>
        <row r="83">
          <cell r="C83" t="str">
            <v>Chorizo</v>
          </cell>
        </row>
        <row r="84">
          <cell r="C84" t="str">
            <v>Chorizo</v>
          </cell>
        </row>
        <row r="85">
          <cell r="C85" t="str">
            <v>Chorizo</v>
          </cell>
        </row>
        <row r="86">
          <cell r="C86" t="str">
            <v>Postobon</v>
          </cell>
        </row>
        <row r="87">
          <cell r="C87" t="str">
            <v>Chorizo</v>
          </cell>
        </row>
        <row r="88">
          <cell r="C88" t="str">
            <v>Chorizo</v>
          </cell>
        </row>
        <row r="89">
          <cell r="C89" t="str">
            <v>parri tres carnes</v>
          </cell>
        </row>
        <row r="90">
          <cell r="C90" t="str">
            <v>tinto</v>
          </cell>
        </row>
        <row r="91">
          <cell r="C91" t="str">
            <v>Chorizo</v>
          </cell>
        </row>
        <row r="92">
          <cell r="C92" t="str">
            <v>Coca cola</v>
          </cell>
        </row>
        <row r="93">
          <cell r="C93" t="str">
            <v>parri tres carnes</v>
          </cell>
        </row>
        <row r="94">
          <cell r="C94" t="str">
            <v>Chorizo</v>
          </cell>
        </row>
        <row r="95">
          <cell r="C95" t="str">
            <v>Coca cola</v>
          </cell>
        </row>
        <row r="96">
          <cell r="C96" t="str">
            <v>Chorizo</v>
          </cell>
        </row>
        <row r="97">
          <cell r="C97" t="str">
            <v>Agua</v>
          </cell>
        </row>
        <row r="98">
          <cell r="C98" t="str">
            <v>Chorizo</v>
          </cell>
        </row>
        <row r="99">
          <cell r="C99" t="str">
            <v>Chorizo</v>
          </cell>
        </row>
        <row r="100">
          <cell r="C100" t="str">
            <v>Chorizo</v>
          </cell>
        </row>
        <row r="101">
          <cell r="C101" t="str">
            <v>Coca cola</v>
          </cell>
        </row>
        <row r="102">
          <cell r="C102" t="str">
            <v>Chorizo</v>
          </cell>
        </row>
        <row r="103">
          <cell r="C103" t="str">
            <v>Chori- CRUDO</v>
          </cell>
        </row>
        <row r="104">
          <cell r="C104" t="str">
            <v>Chorizo</v>
          </cell>
        </row>
        <row r="105">
          <cell r="C105" t="str">
            <v>Agua</v>
          </cell>
        </row>
        <row r="106">
          <cell r="C106" t="str">
            <v>Chorizo</v>
          </cell>
        </row>
        <row r="107">
          <cell r="C107" t="str">
            <v>tinto</v>
          </cell>
        </row>
        <row r="108">
          <cell r="C108" t="str">
            <v>Chorizo</v>
          </cell>
        </row>
        <row r="109">
          <cell r="C109" t="str">
            <v>Coca cola</v>
          </cell>
        </row>
        <row r="110">
          <cell r="C110" t="str">
            <v>Chorizo</v>
          </cell>
        </row>
        <row r="111">
          <cell r="C111" t="str">
            <v>Coca cola</v>
          </cell>
        </row>
        <row r="112">
          <cell r="C112" t="str">
            <v>Chorizo</v>
          </cell>
        </row>
        <row r="113">
          <cell r="C113" t="str">
            <v>Coca cola</v>
          </cell>
        </row>
        <row r="114">
          <cell r="C114" t="str">
            <v>Chorizo</v>
          </cell>
        </row>
        <row r="115">
          <cell r="C115" t="str">
            <v>Coca cola</v>
          </cell>
        </row>
        <row r="116">
          <cell r="C116" t="str">
            <v>Chorizo</v>
          </cell>
        </row>
        <row r="117">
          <cell r="C117" t="str">
            <v>Chorizo</v>
          </cell>
        </row>
        <row r="118">
          <cell r="C118" t="str">
            <v>Hit</v>
          </cell>
        </row>
        <row r="119">
          <cell r="C119" t="str">
            <v>parri tres carnes</v>
          </cell>
        </row>
        <row r="120">
          <cell r="C120" t="str">
            <v>parri tres carnes</v>
          </cell>
        </row>
        <row r="121">
          <cell r="C121" t="str">
            <v>parri 48</v>
          </cell>
        </row>
        <row r="122">
          <cell r="C122" t="str">
            <v>parri 70</v>
          </cell>
        </row>
        <row r="123">
          <cell r="C123" t="str">
            <v>parri 40</v>
          </cell>
        </row>
        <row r="124">
          <cell r="C124" t="str">
            <v>Chori- CRUDO</v>
          </cell>
        </row>
      </sheetData>
      <sheetData sheetId="1">
        <row r="2">
          <cell r="H2">
            <v>16000</v>
          </cell>
          <cell r="J2">
            <v>46076</v>
          </cell>
          <cell r="K2" t="str">
            <v>04:36 p. m.</v>
          </cell>
          <cell r="L2">
            <v>16000</v>
          </cell>
          <cell r="M2">
            <v>0</v>
          </cell>
        </row>
        <row r="3">
          <cell r="H3">
            <v>8000</v>
          </cell>
          <cell r="J3">
            <v>46076</v>
          </cell>
          <cell r="L3">
            <v>0</v>
          </cell>
        </row>
        <row r="4">
          <cell r="H4">
            <v>16000</v>
          </cell>
          <cell r="J4">
            <v>46076</v>
          </cell>
          <cell r="L4">
            <v>16000</v>
          </cell>
        </row>
        <row r="5">
          <cell r="H5">
            <v>6000</v>
          </cell>
          <cell r="J5">
            <v>46076</v>
          </cell>
          <cell r="L5">
            <v>6000</v>
          </cell>
        </row>
        <row r="6">
          <cell r="H6">
            <v>24000</v>
          </cell>
          <cell r="J6">
            <v>46076</v>
          </cell>
          <cell r="L6">
            <v>0</v>
          </cell>
        </row>
        <row r="7">
          <cell r="H7">
            <v>6000</v>
          </cell>
          <cell r="J7">
            <v>46076</v>
          </cell>
          <cell r="L7">
            <v>6000</v>
          </cell>
        </row>
        <row r="8">
          <cell r="H8">
            <v>16000</v>
          </cell>
          <cell r="J8">
            <v>46076</v>
          </cell>
          <cell r="L8">
            <v>16000</v>
          </cell>
        </row>
        <row r="9">
          <cell r="H9">
            <v>16000</v>
          </cell>
          <cell r="J9">
            <v>46076</v>
          </cell>
          <cell r="L9">
            <v>16000</v>
          </cell>
        </row>
        <row r="10">
          <cell r="H10">
            <v>3000</v>
          </cell>
          <cell r="J10">
            <v>46076</v>
          </cell>
          <cell r="L10">
            <v>3000</v>
          </cell>
        </row>
        <row r="11">
          <cell r="H11">
            <v>8000</v>
          </cell>
          <cell r="J11">
            <v>46076</v>
          </cell>
          <cell r="L11">
            <v>8000</v>
          </cell>
        </row>
        <row r="12">
          <cell r="H12">
            <v>16000</v>
          </cell>
          <cell r="J12">
            <v>46076</v>
          </cell>
          <cell r="L12">
            <v>16000</v>
          </cell>
        </row>
        <row r="13">
          <cell r="H13">
            <v>6000</v>
          </cell>
          <cell r="J13">
            <v>46076</v>
          </cell>
          <cell r="L13">
            <v>6000</v>
          </cell>
        </row>
        <row r="14">
          <cell r="H14">
            <v>24000</v>
          </cell>
          <cell r="J14">
            <v>46076</v>
          </cell>
          <cell r="L14">
            <v>24000</v>
          </cell>
        </row>
        <row r="15">
          <cell r="H15">
            <v>8000</v>
          </cell>
          <cell r="J15">
            <v>46076</v>
          </cell>
          <cell r="L15">
            <v>8000</v>
          </cell>
        </row>
        <row r="16">
          <cell r="H16">
            <v>8000</v>
          </cell>
          <cell r="J16">
            <v>46076</v>
          </cell>
          <cell r="L16">
            <v>8000</v>
          </cell>
        </row>
        <row r="17">
          <cell r="H17">
            <v>8000</v>
          </cell>
          <cell r="J17">
            <v>46076</v>
          </cell>
          <cell r="L17">
            <v>8000</v>
          </cell>
        </row>
        <row r="18">
          <cell r="H18">
            <v>3000</v>
          </cell>
          <cell r="J18">
            <v>46076</v>
          </cell>
          <cell r="L18">
            <v>3000</v>
          </cell>
        </row>
        <row r="19">
          <cell r="H19">
            <v>24000</v>
          </cell>
          <cell r="J19">
            <v>46076</v>
          </cell>
          <cell r="L19">
            <v>24000</v>
          </cell>
        </row>
        <row r="20">
          <cell r="H20">
            <v>8000</v>
          </cell>
          <cell r="J20">
            <v>46076</v>
          </cell>
          <cell r="L20">
            <v>8000</v>
          </cell>
        </row>
        <row r="21">
          <cell r="H21">
            <v>40000</v>
          </cell>
          <cell r="J21">
            <v>46077</v>
          </cell>
          <cell r="L21">
            <v>40000</v>
          </cell>
        </row>
        <row r="22">
          <cell r="H22">
            <v>24000</v>
          </cell>
          <cell r="J22">
            <v>46077</v>
          </cell>
          <cell r="L22">
            <v>24000</v>
          </cell>
        </row>
        <row r="23">
          <cell r="H23">
            <v>8000</v>
          </cell>
          <cell r="J23">
            <v>46077</v>
          </cell>
          <cell r="L23">
            <v>8000</v>
          </cell>
        </row>
        <row r="24">
          <cell r="H24">
            <v>8000</v>
          </cell>
          <cell r="J24">
            <v>46077</v>
          </cell>
          <cell r="L24">
            <v>8000</v>
          </cell>
        </row>
        <row r="25">
          <cell r="H25">
            <v>16000</v>
          </cell>
          <cell r="J25">
            <v>46077</v>
          </cell>
          <cell r="L25">
            <v>16000</v>
          </cell>
        </row>
        <row r="26">
          <cell r="H26">
            <v>8000</v>
          </cell>
          <cell r="J26">
            <v>46077</v>
          </cell>
          <cell r="L26">
            <v>8000</v>
          </cell>
        </row>
        <row r="27">
          <cell r="H27">
            <v>9000</v>
          </cell>
          <cell r="J27">
            <v>46077</v>
          </cell>
          <cell r="L27">
            <v>9000</v>
          </cell>
        </row>
        <row r="28">
          <cell r="H28">
            <v>8000</v>
          </cell>
          <cell r="J28">
            <v>46077</v>
          </cell>
          <cell r="L28">
            <v>8000</v>
          </cell>
        </row>
        <row r="29">
          <cell r="H29">
            <v>8000</v>
          </cell>
          <cell r="J29">
            <v>46077</v>
          </cell>
          <cell r="L29">
            <v>8000</v>
          </cell>
        </row>
        <row r="30">
          <cell r="H30">
            <v>8000</v>
          </cell>
          <cell r="J30">
            <v>46077</v>
          </cell>
          <cell r="L30">
            <v>0</v>
          </cell>
        </row>
        <row r="31">
          <cell r="H31">
            <v>8000</v>
          </cell>
          <cell r="J31">
            <v>46077</v>
          </cell>
          <cell r="L31">
            <v>8000</v>
          </cell>
        </row>
        <row r="32">
          <cell r="H32">
            <v>3000</v>
          </cell>
          <cell r="J32">
            <v>46077</v>
          </cell>
          <cell r="L32">
            <v>3000</v>
          </cell>
        </row>
        <row r="33">
          <cell r="H33">
            <v>24000</v>
          </cell>
          <cell r="J33">
            <v>46077</v>
          </cell>
          <cell r="L33">
            <v>24000</v>
          </cell>
        </row>
        <row r="34">
          <cell r="H34">
            <v>3000</v>
          </cell>
          <cell r="J34">
            <v>46077</v>
          </cell>
          <cell r="L34">
            <v>3000</v>
          </cell>
        </row>
        <row r="35">
          <cell r="H35">
            <v>32000</v>
          </cell>
          <cell r="J35">
            <v>46077</v>
          </cell>
          <cell r="L35">
            <v>32000</v>
          </cell>
        </row>
        <row r="36">
          <cell r="H36">
            <v>6000</v>
          </cell>
          <cell r="J36">
            <v>46077</v>
          </cell>
          <cell r="L36">
            <v>6000</v>
          </cell>
        </row>
        <row r="37">
          <cell r="H37">
            <v>8000</v>
          </cell>
          <cell r="J37">
            <v>46077</v>
          </cell>
          <cell r="L37">
            <v>8000</v>
          </cell>
        </row>
        <row r="38">
          <cell r="H38">
            <v>8000</v>
          </cell>
          <cell r="J38">
            <v>46078</v>
          </cell>
          <cell r="L38">
            <v>8000</v>
          </cell>
        </row>
        <row r="39">
          <cell r="H39">
            <v>8000</v>
          </cell>
          <cell r="J39">
            <v>46078</v>
          </cell>
          <cell r="L39">
            <v>8000</v>
          </cell>
        </row>
        <row r="40">
          <cell r="H40">
            <v>8000</v>
          </cell>
          <cell r="J40">
            <v>46078</v>
          </cell>
          <cell r="L40">
            <v>8000</v>
          </cell>
        </row>
        <row r="41">
          <cell r="H41">
            <v>35000</v>
          </cell>
          <cell r="J41">
            <v>46078</v>
          </cell>
          <cell r="L41">
            <v>35000</v>
          </cell>
        </row>
        <row r="42">
          <cell r="H42">
            <v>35000</v>
          </cell>
          <cell r="J42">
            <v>46078</v>
          </cell>
          <cell r="L42">
            <v>35000</v>
          </cell>
        </row>
        <row r="43">
          <cell r="H43">
            <v>16000</v>
          </cell>
          <cell r="J43">
            <v>46078</v>
          </cell>
          <cell r="L43">
            <v>16000</v>
          </cell>
        </row>
        <row r="44">
          <cell r="H44">
            <v>8000</v>
          </cell>
          <cell r="J44">
            <v>46078</v>
          </cell>
          <cell r="L44">
            <v>8000</v>
          </cell>
        </row>
        <row r="45">
          <cell r="H45">
            <v>8000</v>
          </cell>
          <cell r="J45">
            <v>46078</v>
          </cell>
          <cell r="L45">
            <v>0</v>
          </cell>
        </row>
        <row r="46">
          <cell r="H46">
            <v>8000</v>
          </cell>
          <cell r="J46">
            <v>46078</v>
          </cell>
          <cell r="L46">
            <v>8000</v>
          </cell>
        </row>
        <row r="47">
          <cell r="H47">
            <v>8000</v>
          </cell>
          <cell r="J47">
            <v>46078</v>
          </cell>
          <cell r="L47">
            <v>8000</v>
          </cell>
        </row>
        <row r="48">
          <cell r="H48">
            <v>8000</v>
          </cell>
          <cell r="J48">
            <v>46078</v>
          </cell>
          <cell r="L48">
            <v>8000</v>
          </cell>
        </row>
        <row r="49">
          <cell r="H49">
            <v>40000</v>
          </cell>
          <cell r="J49">
            <v>46078</v>
          </cell>
          <cell r="L49">
            <v>40000</v>
          </cell>
        </row>
        <row r="50">
          <cell r="H50">
            <v>6000</v>
          </cell>
          <cell r="J50">
            <v>46078</v>
          </cell>
          <cell r="L50">
            <v>6000</v>
          </cell>
        </row>
        <row r="51">
          <cell r="H51">
            <v>3000</v>
          </cell>
          <cell r="J51">
            <v>46078</v>
          </cell>
          <cell r="L51">
            <v>3000</v>
          </cell>
        </row>
        <row r="52">
          <cell r="H52">
            <v>24000</v>
          </cell>
          <cell r="J52">
            <v>46078</v>
          </cell>
          <cell r="L52">
            <v>24000</v>
          </cell>
        </row>
        <row r="53">
          <cell r="H53">
            <v>8000</v>
          </cell>
          <cell r="J53">
            <v>46078</v>
          </cell>
          <cell r="L53">
            <v>0</v>
          </cell>
        </row>
        <row r="54">
          <cell r="H54">
            <v>8000</v>
          </cell>
          <cell r="J54">
            <v>46078</v>
          </cell>
          <cell r="L54">
            <v>8000</v>
          </cell>
        </row>
        <row r="55">
          <cell r="H55">
            <v>3000</v>
          </cell>
          <cell r="J55">
            <v>46078</v>
          </cell>
          <cell r="L55">
            <v>3000</v>
          </cell>
        </row>
        <row r="56">
          <cell r="H56">
            <v>22500</v>
          </cell>
          <cell r="J56">
            <v>46078</v>
          </cell>
          <cell r="L56">
            <v>0</v>
          </cell>
        </row>
        <row r="57">
          <cell r="H57">
            <v>35000</v>
          </cell>
          <cell r="J57">
            <v>46078</v>
          </cell>
          <cell r="L57">
            <v>35000</v>
          </cell>
        </row>
        <row r="58">
          <cell r="H58">
            <v>3000</v>
          </cell>
          <cell r="J58">
            <v>46078</v>
          </cell>
          <cell r="L58">
            <v>3000</v>
          </cell>
        </row>
        <row r="59">
          <cell r="H59">
            <v>16000</v>
          </cell>
          <cell r="J59">
            <v>46078</v>
          </cell>
          <cell r="L59">
            <v>16000</v>
          </cell>
        </row>
        <row r="60">
          <cell r="H60">
            <v>16000</v>
          </cell>
          <cell r="J60">
            <v>46078</v>
          </cell>
          <cell r="L60">
            <v>16000</v>
          </cell>
        </row>
        <row r="61">
          <cell r="H61">
            <v>32000</v>
          </cell>
          <cell r="J61">
            <v>46078</v>
          </cell>
          <cell r="L61">
            <v>32000</v>
          </cell>
        </row>
        <row r="62">
          <cell r="H62">
            <v>8000</v>
          </cell>
          <cell r="J62">
            <v>46078</v>
          </cell>
          <cell r="L62">
            <v>0</v>
          </cell>
        </row>
        <row r="63">
          <cell r="H63">
            <v>16000</v>
          </cell>
          <cell r="J63">
            <v>46078</v>
          </cell>
          <cell r="L63">
            <v>16000</v>
          </cell>
        </row>
        <row r="64">
          <cell r="H64">
            <v>9000</v>
          </cell>
          <cell r="J64">
            <v>46079</v>
          </cell>
          <cell r="L64">
            <v>9000</v>
          </cell>
        </row>
        <row r="65">
          <cell r="H65">
            <v>16000</v>
          </cell>
          <cell r="J65">
            <v>46079</v>
          </cell>
          <cell r="L65">
            <v>16000</v>
          </cell>
        </row>
        <row r="66">
          <cell r="H66">
            <v>25000</v>
          </cell>
          <cell r="J66">
            <v>46079</v>
          </cell>
          <cell r="L66">
            <v>0</v>
          </cell>
        </row>
        <row r="67">
          <cell r="H67">
            <v>40000</v>
          </cell>
          <cell r="J67">
            <v>46079</v>
          </cell>
          <cell r="L67">
            <v>0</v>
          </cell>
        </row>
        <row r="68">
          <cell r="H68">
            <v>9000</v>
          </cell>
          <cell r="J68">
            <v>46079</v>
          </cell>
          <cell r="L68">
            <v>0</v>
          </cell>
        </row>
        <row r="69">
          <cell r="H69">
            <v>8000</v>
          </cell>
          <cell r="J69">
            <v>46079</v>
          </cell>
          <cell r="L69">
            <v>8000</v>
          </cell>
        </row>
        <row r="70">
          <cell r="H70">
            <v>8000</v>
          </cell>
          <cell r="J70">
            <v>46079</v>
          </cell>
          <cell r="L70">
            <v>0</v>
          </cell>
        </row>
        <row r="71">
          <cell r="H71">
            <v>8000</v>
          </cell>
          <cell r="J71">
            <v>46079</v>
          </cell>
          <cell r="L71">
            <v>8000</v>
          </cell>
        </row>
        <row r="72">
          <cell r="H72">
            <v>8000</v>
          </cell>
          <cell r="J72">
            <v>46079</v>
          </cell>
          <cell r="L72">
            <v>0</v>
          </cell>
        </row>
        <row r="73">
          <cell r="H73">
            <v>16000</v>
          </cell>
          <cell r="J73">
            <v>46079</v>
          </cell>
          <cell r="L73">
            <v>16000</v>
          </cell>
        </row>
        <row r="74">
          <cell r="H74">
            <v>16000</v>
          </cell>
          <cell r="J74">
            <v>46079</v>
          </cell>
          <cell r="L74">
            <v>0</v>
          </cell>
        </row>
        <row r="75">
          <cell r="H75">
            <v>3000</v>
          </cell>
          <cell r="J75">
            <v>46079</v>
          </cell>
          <cell r="L75">
            <v>0</v>
          </cell>
        </row>
        <row r="76">
          <cell r="H76">
            <v>8000</v>
          </cell>
          <cell r="J76">
            <v>46079</v>
          </cell>
          <cell r="L76">
            <v>8000</v>
          </cell>
        </row>
        <row r="77">
          <cell r="H77">
            <v>8000</v>
          </cell>
          <cell r="J77">
            <v>46079</v>
          </cell>
          <cell r="L77">
            <v>8000</v>
          </cell>
        </row>
        <row r="78">
          <cell r="H78">
            <v>8000</v>
          </cell>
          <cell r="J78">
            <v>46079</v>
          </cell>
          <cell r="L78">
            <v>8000</v>
          </cell>
        </row>
        <row r="79">
          <cell r="H79">
            <v>3000</v>
          </cell>
          <cell r="J79">
            <v>46079</v>
          </cell>
          <cell r="L79">
            <v>3000</v>
          </cell>
        </row>
        <row r="80">
          <cell r="H80">
            <v>8000</v>
          </cell>
          <cell r="J80">
            <v>46079</v>
          </cell>
          <cell r="L80">
            <v>0</v>
          </cell>
        </row>
        <row r="81">
          <cell r="H81">
            <v>8000</v>
          </cell>
          <cell r="J81">
            <v>46079</v>
          </cell>
          <cell r="L81">
            <v>0</v>
          </cell>
        </row>
        <row r="82">
          <cell r="H82">
            <v>8000</v>
          </cell>
          <cell r="J82">
            <v>46080</v>
          </cell>
          <cell r="L82">
            <v>0</v>
          </cell>
        </row>
        <row r="83">
          <cell r="H83">
            <v>3000</v>
          </cell>
          <cell r="J83">
            <v>46080</v>
          </cell>
          <cell r="L83">
            <v>0</v>
          </cell>
        </row>
        <row r="84">
          <cell r="H84">
            <v>8000</v>
          </cell>
          <cell r="J84">
            <v>46080</v>
          </cell>
          <cell r="L84">
            <v>8000</v>
          </cell>
        </row>
        <row r="85">
          <cell r="H85">
            <v>8000</v>
          </cell>
          <cell r="J85">
            <v>46080</v>
          </cell>
          <cell r="L85">
            <v>8000</v>
          </cell>
        </row>
        <row r="86">
          <cell r="H86">
            <v>35000</v>
          </cell>
          <cell r="J86">
            <v>46080</v>
          </cell>
          <cell r="L86">
            <v>35000</v>
          </cell>
        </row>
        <row r="87">
          <cell r="H87">
            <v>2000</v>
          </cell>
          <cell r="J87">
            <v>46080</v>
          </cell>
          <cell r="L87">
            <v>2000</v>
          </cell>
        </row>
        <row r="88">
          <cell r="H88">
            <v>24000</v>
          </cell>
          <cell r="J88">
            <v>46080</v>
          </cell>
          <cell r="L88">
            <v>24000</v>
          </cell>
        </row>
        <row r="89">
          <cell r="H89">
            <v>6000</v>
          </cell>
          <cell r="J89">
            <v>46080</v>
          </cell>
          <cell r="L89">
            <v>6000</v>
          </cell>
        </row>
        <row r="90">
          <cell r="H90">
            <v>35000</v>
          </cell>
          <cell r="J90">
            <v>46080</v>
          </cell>
          <cell r="L90">
            <v>35000</v>
          </cell>
        </row>
        <row r="91">
          <cell r="H91">
            <v>16000</v>
          </cell>
          <cell r="J91">
            <v>46080</v>
          </cell>
          <cell r="L91">
            <v>16000</v>
          </cell>
        </row>
        <row r="92">
          <cell r="H92">
            <v>3000</v>
          </cell>
          <cell r="J92">
            <v>46080</v>
          </cell>
          <cell r="L92">
            <v>3000</v>
          </cell>
        </row>
        <row r="93">
          <cell r="H93">
            <v>24000</v>
          </cell>
          <cell r="J93">
            <v>46080</v>
          </cell>
          <cell r="L93">
            <v>0</v>
          </cell>
        </row>
        <row r="94">
          <cell r="H94">
            <v>3000</v>
          </cell>
          <cell r="J94">
            <v>46080</v>
          </cell>
          <cell r="L94">
            <v>0</v>
          </cell>
        </row>
        <row r="95">
          <cell r="H95">
            <v>8000</v>
          </cell>
          <cell r="J95">
            <v>46080</v>
          </cell>
          <cell r="L95">
            <v>0</v>
          </cell>
        </row>
        <row r="96">
          <cell r="H96">
            <v>16000</v>
          </cell>
          <cell r="J96">
            <v>46080</v>
          </cell>
          <cell r="L96">
            <v>0</v>
          </cell>
        </row>
        <row r="97">
          <cell r="H97">
            <v>32000</v>
          </cell>
          <cell r="J97">
            <v>46080</v>
          </cell>
          <cell r="L97">
            <v>32000</v>
          </cell>
        </row>
        <row r="98">
          <cell r="H98">
            <v>9000</v>
          </cell>
          <cell r="J98">
            <v>46080</v>
          </cell>
          <cell r="L98">
            <v>9000</v>
          </cell>
        </row>
        <row r="99">
          <cell r="H99">
            <v>8000</v>
          </cell>
          <cell r="J99">
            <v>46080</v>
          </cell>
          <cell r="L99">
            <v>8000</v>
          </cell>
        </row>
        <row r="100">
          <cell r="H100">
            <v>27000</v>
          </cell>
          <cell r="J100">
            <v>46081</v>
          </cell>
          <cell r="L100">
            <v>27000</v>
          </cell>
        </row>
        <row r="101">
          <cell r="H101">
            <v>16000</v>
          </cell>
          <cell r="J101">
            <v>46081</v>
          </cell>
          <cell r="L101">
            <v>0</v>
          </cell>
        </row>
        <row r="102">
          <cell r="H102">
            <v>3000</v>
          </cell>
          <cell r="J102">
            <v>46081</v>
          </cell>
          <cell r="L102">
            <v>0</v>
          </cell>
        </row>
        <row r="103">
          <cell r="H103">
            <v>8000</v>
          </cell>
          <cell r="J103">
            <v>46081</v>
          </cell>
          <cell r="L103">
            <v>0</v>
          </cell>
        </row>
        <row r="104">
          <cell r="H104">
            <v>2000</v>
          </cell>
          <cell r="J104">
            <v>46081</v>
          </cell>
          <cell r="L104">
            <v>0</v>
          </cell>
        </row>
        <row r="105">
          <cell r="H105">
            <v>16000</v>
          </cell>
          <cell r="J105">
            <v>46081</v>
          </cell>
          <cell r="L105">
            <v>16000</v>
          </cell>
        </row>
        <row r="106">
          <cell r="H106">
            <v>3000</v>
          </cell>
          <cell r="J106">
            <v>46081</v>
          </cell>
          <cell r="L106">
            <v>3000</v>
          </cell>
        </row>
        <row r="107">
          <cell r="H107">
            <v>16000</v>
          </cell>
          <cell r="J107">
            <v>46081</v>
          </cell>
          <cell r="L107">
            <v>16000</v>
          </cell>
        </row>
        <row r="108">
          <cell r="H108">
            <v>3000</v>
          </cell>
          <cell r="J108">
            <v>46081</v>
          </cell>
          <cell r="L108">
            <v>3000</v>
          </cell>
        </row>
        <row r="109">
          <cell r="H109">
            <v>8000</v>
          </cell>
          <cell r="J109">
            <v>46081</v>
          </cell>
          <cell r="L109">
            <v>8000</v>
          </cell>
        </row>
        <row r="110">
          <cell r="H110">
            <v>3000</v>
          </cell>
          <cell r="J110">
            <v>46081</v>
          </cell>
          <cell r="L110">
            <v>3000</v>
          </cell>
        </row>
        <row r="111">
          <cell r="H111">
            <v>32000</v>
          </cell>
          <cell r="J111">
            <v>46081</v>
          </cell>
          <cell r="L111">
            <v>32000</v>
          </cell>
        </row>
        <row r="112">
          <cell r="H112">
            <v>6000</v>
          </cell>
          <cell r="J112">
            <v>46081</v>
          </cell>
          <cell r="L112">
            <v>6000</v>
          </cell>
        </row>
        <row r="113">
          <cell r="H113">
            <v>16000</v>
          </cell>
          <cell r="J113">
            <v>46081</v>
          </cell>
          <cell r="L113">
            <v>16000</v>
          </cell>
        </row>
        <row r="114">
          <cell r="H114">
            <v>24000</v>
          </cell>
          <cell r="J114">
            <v>46081</v>
          </cell>
          <cell r="L114">
            <v>24000</v>
          </cell>
        </row>
        <row r="115">
          <cell r="H115">
            <v>4500</v>
          </cell>
          <cell r="J115">
            <v>46081</v>
          </cell>
          <cell r="L115">
            <v>4500</v>
          </cell>
        </row>
        <row r="116">
          <cell r="H116">
            <v>35000</v>
          </cell>
          <cell r="J116">
            <v>46081</v>
          </cell>
          <cell r="L116">
            <v>35000</v>
          </cell>
        </row>
        <row r="117">
          <cell r="H117">
            <v>35000</v>
          </cell>
          <cell r="J117">
            <v>46081</v>
          </cell>
          <cell r="L117">
            <v>35000</v>
          </cell>
        </row>
        <row r="118">
          <cell r="H118">
            <v>48000</v>
          </cell>
          <cell r="J118">
            <v>46081</v>
          </cell>
          <cell r="L118">
            <v>48000</v>
          </cell>
        </row>
        <row r="119">
          <cell r="H119">
            <v>140000</v>
          </cell>
          <cell r="J119">
            <v>46081</v>
          </cell>
          <cell r="L119">
            <v>140000</v>
          </cell>
        </row>
        <row r="120">
          <cell r="H120">
            <v>40000</v>
          </cell>
          <cell r="J120">
            <v>46081</v>
          </cell>
          <cell r="L120">
            <v>40000</v>
          </cell>
        </row>
        <row r="121">
          <cell r="H121">
            <v>18000</v>
          </cell>
          <cell r="J121">
            <v>46081</v>
          </cell>
          <cell r="L121">
            <v>0</v>
          </cell>
        </row>
      </sheetData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ico3"/>
      <sheetName val="Gas natural"/>
      <sheetName val="Análisis Gas"/>
      <sheetName val="Gráfico4"/>
      <sheetName val="Energia y Luz"/>
      <sheetName val="Análisis Energia"/>
      <sheetName val="Análisis energia_"/>
      <sheetName val="Radicado Energia"/>
      <sheetName val="Análisis Energia (2)"/>
      <sheetName val="Arriendo"/>
      <sheetName val="Hoja1"/>
    </sheetNames>
    <sheetDataSet>
      <sheetData sheetId="0" refreshError="1"/>
      <sheetData sheetId="1" refreshError="1"/>
      <sheetData sheetId="2">
        <row r="22">
          <cell r="I22">
            <v>247319</v>
          </cell>
        </row>
      </sheetData>
      <sheetData sheetId="3" refreshError="1"/>
      <sheetData sheetId="4" refreshError="1"/>
      <sheetData sheetId="5">
        <row r="24">
          <cell r="I24">
            <v>319050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ico1"/>
      <sheetName val="Gas natural"/>
      <sheetName val="Análisis Gas"/>
      <sheetName val="Gráfico2"/>
      <sheetName val="Energia y Luz"/>
      <sheetName val="Análisis Energia"/>
      <sheetName val="Radicado Energia"/>
      <sheetName val="Análisis Energia (2)"/>
      <sheetName val="Análisis energia_"/>
      <sheetName val="Arriendo"/>
      <sheetName val="Hoja1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>
        <row r="30">
          <cell r="C30">
            <v>38171</v>
          </cell>
        </row>
        <row r="33">
          <cell r="C33">
            <v>264247</v>
          </cell>
        </row>
        <row r="34">
          <cell r="C34">
            <v>264247</v>
          </cell>
        </row>
        <row r="35">
          <cell r="C35">
            <v>264247</v>
          </cell>
        </row>
        <row r="36">
          <cell r="C36">
            <v>264247</v>
          </cell>
        </row>
        <row r="37">
          <cell r="C37">
            <v>0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ico1"/>
      <sheetName val="Gas natural"/>
      <sheetName val="Análisis Gas"/>
      <sheetName val="Gráfico2"/>
      <sheetName val="Energia y Luz"/>
      <sheetName val="Análisis Energia"/>
      <sheetName val="Análisis energia_"/>
      <sheetName val="Radicado Energia"/>
      <sheetName val="Análisis Energia (2)"/>
      <sheetName val="Arriendo"/>
      <sheetName val="Hoja1"/>
    </sheetNames>
    <sheetDataSet>
      <sheetData sheetId="0" refreshError="1"/>
      <sheetData sheetId="1"/>
      <sheetData sheetId="2"/>
      <sheetData sheetId="3" refreshError="1"/>
      <sheetData sheetId="4"/>
      <sheetData sheetId="5">
        <row r="24">
          <cell r="F24">
            <v>734830</v>
          </cell>
          <cell r="G24">
            <v>330570</v>
          </cell>
        </row>
        <row r="25">
          <cell r="G25">
            <v>220800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win Torres" refreshedDate="44040.519693402777" createdVersion="5" refreshedVersion="6" minRefreshableVersion="3" recordCount="19" xr:uid="{00000000-000A-0000-FFFF-FFFF06000000}">
  <cacheSource type="worksheet">
    <worksheetSource name="Pasivos"/>
  </cacheSource>
  <cacheFields count="18">
    <cacheField name="Nombre proveedor" numFmtId="0">
      <sharedItems containsBlank="1" count="22">
        <s v=" Diego"/>
        <s v=" Martin"/>
        <s v=" Sarmiento"/>
        <s v=" Leornardo"/>
        <s v=" Orlando"/>
        <s v=" Hector"/>
        <s v=" Vecino"/>
        <s v="Nd"/>
        <s v="Arredatario"/>
        <s v="Vitrina, ollas"/>
        <s v=" Saul"/>
        <s v="Gota x Gota"/>
        <s v="Nomina"/>
        <s v="enel - 6451508-5"/>
        <s v="Sandra"/>
        <s v="Ladron de Gas"/>
        <s v="Licuadora"/>
        <m u="1"/>
        <s v="vecino" u="1"/>
        <s v="Stefania" u="1"/>
        <s v="ESP de Tocancipá" u="1"/>
        <s v="Vantì-Cta: 3721477" u="1"/>
      </sharedItems>
    </cacheField>
    <cacheField name="Proveedor" numFmtId="172">
      <sharedItems containsBlank="1" count="21">
        <s v="Carne de cerdo"/>
        <s v="Carne de res"/>
        <s v="Mercado"/>
        <s v="Menudo y prestamo"/>
        <s v="Carne de Pollo"/>
        <s v="PUBLICIDAD"/>
        <s v="Pintura, local"/>
        <s v="ARRIENDO"/>
        <s v="Vitrina, ollas"/>
        <s v="FINANCIERO"/>
        <s v="NOMINA"/>
        <s v="CODENSA"/>
        <s v="Arriendo Apto."/>
        <s v="Contingencia: Gas"/>
        <s v="Contingencia: Licuadora"/>
        <m u="1"/>
        <s v="Servicios, AGUA" u="1"/>
        <s v="Coca Cola" u="1"/>
        <s v="Servicios, LUZ" u="1"/>
        <s v="Pollo" u="1"/>
        <s v="Servicios, GAS" u="1"/>
      </sharedItems>
    </cacheField>
    <cacheField name="Tipo de obligación" numFmtId="172">
      <sharedItems count="5">
        <s v="Pasivo de corto plazo"/>
        <s v="Pasivo de largo plazo"/>
        <s v="Gerardo" u="1"/>
        <s v="Antigua deuda" u="1"/>
        <s v="Nueva obligación" u="1"/>
      </sharedItems>
    </cacheField>
    <cacheField name="Marzo" numFmtId="0">
      <sharedItems containsSemiMixedTypes="0" containsString="0" containsNumber="1" containsInteger="1" minValue="0" maxValue="3000000"/>
    </cacheField>
    <cacheField name="Valor pagado_x000a_Marzo" numFmtId="172">
      <sharedItems containsString="0" containsBlank="1" containsNumber="1" containsInteger="1" minValue="-631210" maxValue="150000"/>
    </cacheField>
    <cacheField name="Abril" numFmtId="172">
      <sharedItems containsSemiMixedTypes="0" containsString="0" containsNumber="1" containsInteger="1" minValue="0" maxValue="3000000"/>
    </cacheField>
    <cacheField name="Valor pagado_x000a_Abril" numFmtId="172">
      <sharedItems containsString="0" containsBlank="1" containsNumber="1" containsInteger="1" minValue="-463290" maxValue="150000"/>
    </cacheField>
    <cacheField name="Mayo" numFmtId="172">
      <sharedItems containsSemiMixedTypes="0" containsString="0" containsNumber="1" containsInteger="1" minValue="0" maxValue="3000000"/>
    </cacheField>
    <cacheField name="Valor pagado_x000a_Mayo" numFmtId="172">
      <sharedItems containsString="0" containsBlank="1" containsNumber="1" containsInteger="1" minValue="0" maxValue="150000"/>
    </cacheField>
    <cacheField name="Junio" numFmtId="172">
      <sharedItems containsSemiMixedTypes="0" containsString="0" containsNumber="1" containsInteger="1" minValue="0" maxValue="3000000"/>
    </cacheField>
    <cacheField name="Valor pagado_x000a_Junio" numFmtId="172">
      <sharedItems containsSemiMixedTypes="0" containsString="0" containsNumber="1" containsInteger="1" minValue="0" maxValue="400000"/>
    </cacheField>
    <cacheField name="Julio" numFmtId="172">
      <sharedItems containsSemiMixedTypes="0" containsString="0" containsNumber="1" containsInteger="1" minValue="0" maxValue="3000000"/>
    </cacheField>
    <cacheField name="Pagos Julio x programar" numFmtId="172">
      <sharedItems containsSemiMixedTypes="0" containsString="0" containsNumber="1" containsInteger="1" minValue="0" maxValue="750000"/>
    </cacheField>
    <cacheField name="Valor pagado_x000a_Julio" numFmtId="172">
      <sharedItems containsString="0" containsBlank="1" containsNumber="1" containsInteger="1" minValue="0" maxValue="150000"/>
    </cacheField>
    <cacheField name="Valor por Pagar" numFmtId="172">
      <sharedItems containsSemiMixedTypes="0" containsString="0" containsNumber="1" containsInteger="1" minValue="0" maxValue="750000"/>
    </cacheField>
    <cacheField name="Estado Tesoreria" numFmtId="0">
      <sharedItems/>
    </cacheField>
    <cacheField name="Origen" numFmtId="172">
      <sharedItems/>
    </cacheField>
    <cacheField name="Saldo nuevo admón" numFmtId="172">
      <sharedItems containsSemiMixedTypes="0" containsString="0" containsNumber="1" minValue="0" maxValue="1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win Torres" refreshedDate="44053.819915509259" createdVersion="5" refreshedVersion="6" minRefreshableVersion="3" recordCount="214" xr:uid="{00000000-000A-0000-FFFF-FFFF07000000}">
  <cacheSource type="worksheet">
    <worksheetSource name="sales"/>
  </cacheSource>
  <cacheFields count="24">
    <cacheField name="Fecha" numFmtId="14">
      <sharedItems containsSemiMixedTypes="0" containsNonDate="0" containsDate="1" containsString="0" minDate="2020-03-01T00:00:00" maxDate="2020-10-01T00:00:00" count="214"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</sharedItems>
      <fieldGroup base="0">
        <rangePr groupBy="days" startDate="2020-03-01T00:00:00" endDate="2020-10-01T00:00:00"/>
        <groupItems count="368">
          <s v="&lt;1/03/2020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/10/2020"/>
        </groupItems>
      </fieldGroup>
    </cacheField>
    <cacheField name="Tipo día" numFmtId="0">
      <sharedItems count="2">
        <s v="Normal"/>
        <s v="Cuarentena"/>
      </sharedItems>
    </cacheField>
    <cacheField name="No. Semana de operación" numFmtId="0">
      <sharedItems containsSemiMixedTypes="0" containsString="0" containsNumber="1" containsInteger="1" minValue="0" maxValue="31" count="32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Tipo día2" numFmtId="14">
      <sharedItems/>
    </cacheField>
    <cacheField name="Día" numFmtId="0">
      <sharedItems count="14">
        <s v="dom"/>
        <s v="lun"/>
        <s v="mar"/>
        <s v="mié"/>
        <s v="jue"/>
        <s v="vie"/>
        <s v="sáb"/>
        <s v="lunes" u="1"/>
        <s v="miércoles" u="1"/>
        <s v="martes" u="1"/>
        <s v="domingo" u="1"/>
        <s v="viernes" u="1"/>
        <s v="jueves" u="1"/>
        <s v="sábado" u="1"/>
      </sharedItems>
    </cacheField>
    <cacheField name="Mes" numFmtId="0">
      <sharedItems count="7">
        <s v="marzo"/>
        <s v="abril"/>
        <s v="mayo"/>
        <s v="junio"/>
        <s v="julio"/>
        <s v="agosto"/>
        <s v="septiembre"/>
      </sharedItems>
    </cacheField>
    <cacheField name="Margen de contribución" numFmtId="166">
      <sharedItems containsSemiMixedTypes="0" containsString="0" containsNumber="1" minValue="0" maxValue="385000"/>
    </cacheField>
    <cacheField name="Venta" numFmtId="166">
      <sharedItems containsSemiMixedTypes="0" containsString="0" containsNumber="1" minValue="0" maxValue="1100000"/>
    </cacheField>
    <cacheField name="Caja" numFmtId="166">
      <sharedItems containsSemiMixedTypes="0" containsString="0" containsNumber="1" minValue="0" maxValue="1100000"/>
    </cacheField>
    <cacheField name="Bancos" numFmtId="166">
      <sharedItems containsSemiMixedTypes="0" containsString="0" containsNumber="1" containsInteger="1" minValue="0" maxValue="30000"/>
    </cacheField>
    <cacheField name="Gastos" numFmtId="166">
      <sharedItems containsSemiMixedTypes="0" containsString="0" containsNumber="1" minValue="25091" maxValue="109345.93548387097"/>
    </cacheField>
    <cacheField name="Arriendo" numFmtId="166">
      <sharedItems containsSemiMixedTypes="0" containsString="0" containsNumber="1" minValue="16129.032258064517" maxValue="32258.064516129034"/>
    </cacheField>
    <cacheField name="Gas" numFmtId="166">
      <sharedItems containsSemiMixedTypes="0" containsString="0" containsNumber="1" minValue="3424.3333333333335" maxValue="8387.0967741935492"/>
    </cacheField>
    <cacheField name="Agua" numFmtId="166">
      <sharedItems containsSemiMixedTypes="0" containsString="0" containsNumber="1" minValue="2258.0645161290322" maxValue="5000"/>
    </cacheField>
    <cacheField name="Electricidad" numFmtId="166">
      <sharedItems containsSemiMixedTypes="0" containsString="0" containsNumber="1" minValue="0" maxValue="12500"/>
    </cacheField>
    <cacheField name="Nomina" numFmtId="0">
      <sharedItems containsSemiMixedTypes="0" containsString="0" containsNumber="1" containsInteger="1" minValue="0" maxValue="65000"/>
    </cacheField>
    <cacheField name="Mesero" numFmtId="166">
      <sharedItems containsString="0" containsBlank="1" containsNumber="1" containsInteger="1" minValue="0" maxValue="35000"/>
    </cacheField>
    <cacheField name="Domiciliario" numFmtId="166">
      <sharedItems containsSemiMixedTypes="0" containsString="0" containsNumber="1" containsInteger="1" minValue="0" maxValue="25000"/>
    </cacheField>
    <cacheField name="Cocinera" numFmtId="166">
      <sharedItems containsSemiMixedTypes="0" containsString="0" containsNumber="1" containsInteger="1" minValue="0" maxValue="30000"/>
    </cacheField>
    <cacheField name="Rentabilidad del trabajo" numFmtId="174">
      <sharedItems containsSemiMixedTypes="0" containsString="0" containsNumber="1" minValue="-74345.93548387097" maxValue="328259.96774193551"/>
    </cacheField>
    <cacheField name="Venta PE" numFmtId="166">
      <sharedItems containsSemiMixedTypes="0" containsString="0" containsNumber="1" minValue="71688.571428571435" maxValue="312416.95852534566"/>
    </cacheField>
    <cacheField name="Cuentas x Pagar" numFmtId="166">
      <sharedItems containsSemiMixedTypes="0" containsString="0" containsNumber="1" minValue="0" maxValue="13387.096774193549"/>
    </cacheField>
    <cacheField name="Gastos +CP" numFmtId="166">
      <sharedItems containsSemiMixedTypes="0" containsString="0" containsNumber="1" minValue="0" maxValue="109345.93548387097"/>
    </cacheField>
    <cacheField name="Venta PE &amp; CP" numFmtId="166">
      <sharedItems containsSemiMixedTypes="0" containsString="0" containsNumber="1" minValue="0" maxValue="246751.93548387094"/>
    </cacheField>
  </cacheFields>
  <extLst>
    <ext xmlns:x14="http://schemas.microsoft.com/office/spreadsheetml/2009/9/main" uri="{725AE2AE-9491-48be-B2B4-4EB974FC3084}">
      <x14:pivotCacheDefinition pivotCacheId="18254903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x v="0"/>
    <x v="0"/>
    <n v="1088000"/>
    <n v="0"/>
    <n v="1088000"/>
    <n v="0"/>
    <n v="1088000"/>
    <n v="0"/>
    <n v="1088000"/>
    <n v="0"/>
    <n v="1088000"/>
    <n v="0"/>
    <n v="0"/>
    <n v="0"/>
    <s v="Congelado"/>
    <s v="Papá"/>
    <n v="1088000"/>
  </r>
  <r>
    <x v="1"/>
    <x v="0"/>
    <x v="1"/>
    <n v="300000"/>
    <n v="0"/>
    <n v="300000"/>
    <n v="60000"/>
    <n v="240000"/>
    <n v="0"/>
    <n v="240000"/>
    <n v="0"/>
    <n v="240000"/>
    <n v="0"/>
    <n v="0"/>
    <n v="0"/>
    <s v="Congelado"/>
    <s v="Vigente"/>
    <n v="240000"/>
  </r>
  <r>
    <x v="2"/>
    <x v="0"/>
    <x v="1"/>
    <n v="350000"/>
    <n v="0"/>
    <n v="350000"/>
    <n v="0"/>
    <n v="350000"/>
    <n v="0"/>
    <n v="350000"/>
    <n v="0"/>
    <n v="350000"/>
    <n v="0"/>
    <n v="0"/>
    <n v="0"/>
    <s v="Congelado"/>
    <s v="Papá"/>
    <n v="350000"/>
  </r>
  <r>
    <x v="3"/>
    <x v="1"/>
    <x v="1"/>
    <n v="1350000"/>
    <n v="0"/>
    <n v="1350000"/>
    <n v="0"/>
    <n v="1350000"/>
    <n v="0"/>
    <n v="1350000"/>
    <n v="0"/>
    <n v="1350000"/>
    <n v="0"/>
    <n v="0"/>
    <n v="0"/>
    <s v="Congelado"/>
    <s v="Vigente"/>
    <n v="675000"/>
  </r>
  <r>
    <x v="4"/>
    <x v="2"/>
    <x v="1"/>
    <n v="1599599"/>
    <n v="0"/>
    <n v="1599599"/>
    <n v="0"/>
    <n v="1599599"/>
    <n v="0"/>
    <n v="1599599"/>
    <n v="0"/>
    <n v="1599599"/>
    <n v="0"/>
    <n v="0"/>
    <n v="0"/>
    <s v="Congelado"/>
    <s v="Vigente"/>
    <n v="799799.5"/>
  </r>
  <r>
    <x v="5"/>
    <x v="3"/>
    <x v="1"/>
    <n v="800000"/>
    <n v="0"/>
    <n v="0"/>
    <n v="0"/>
    <n v="0"/>
    <n v="0"/>
    <n v="0"/>
    <n v="0"/>
    <n v="0"/>
    <n v="0"/>
    <n v="0"/>
    <n v="0"/>
    <s v="Pagado"/>
    <s v="Pagado"/>
    <n v="0"/>
  </r>
  <r>
    <x v="6"/>
    <x v="1"/>
    <x v="0"/>
    <n v="480000"/>
    <n v="100000"/>
    <n v="380000"/>
    <n v="0"/>
    <n v="380000"/>
    <n v="0"/>
    <n v="380000"/>
    <n v="0"/>
    <n v="380000"/>
    <n v="0"/>
    <n v="0"/>
    <n v="0"/>
    <s v="Congelado"/>
    <s v="Vigente"/>
    <n v="380000"/>
  </r>
  <r>
    <x v="7"/>
    <x v="4"/>
    <x v="0"/>
    <n v="750000"/>
    <n v="0"/>
    <n v="750000"/>
    <n v="0"/>
    <n v="750000"/>
    <n v="0"/>
    <n v="750000"/>
    <n v="0"/>
    <n v="750000"/>
    <n v="300000"/>
    <m/>
    <n v="750000"/>
    <s v="Pagar Urgente"/>
    <s v="Vigente"/>
    <n v="750000"/>
  </r>
  <r>
    <x v="7"/>
    <x v="5"/>
    <x v="0"/>
    <n v="400000"/>
    <n v="0"/>
    <n v="400000"/>
    <n v="0"/>
    <n v="400000"/>
    <n v="0"/>
    <n v="400000"/>
    <n v="0"/>
    <n v="400000"/>
    <n v="0"/>
    <n v="0"/>
    <n v="0"/>
    <s v="Congelado"/>
    <s v="Papá"/>
    <n v="400000"/>
  </r>
  <r>
    <x v="7"/>
    <x v="6"/>
    <x v="0"/>
    <n v="370000"/>
    <n v="0"/>
    <n v="370000"/>
    <n v="0"/>
    <n v="370000"/>
    <n v="0"/>
    <n v="370000"/>
    <n v="0"/>
    <n v="370000"/>
    <n v="0"/>
    <n v="0"/>
    <n v="0"/>
    <s v="Congelado"/>
    <s v="Papá"/>
    <n v="370000"/>
  </r>
  <r>
    <x v="8"/>
    <x v="7"/>
    <x v="0"/>
    <n v="0"/>
    <n v="0"/>
    <n v="0"/>
    <n v="0"/>
    <n v="240000"/>
    <n v="0"/>
    <n v="0"/>
    <n v="0"/>
    <n v="750000"/>
    <n v="750000"/>
    <n v="0"/>
    <n v="750000"/>
    <s v="Pagar Urgente"/>
    <s v="Vigente"/>
    <n v="750000"/>
  </r>
  <r>
    <x v="9"/>
    <x v="8"/>
    <x v="0"/>
    <n v="180000"/>
    <n v="0"/>
    <n v="180000"/>
    <n v="0"/>
    <n v="180000"/>
    <n v="0"/>
    <n v="120000"/>
    <n v="120000"/>
    <n v="0"/>
    <n v="0"/>
    <n v="0"/>
    <n v="0"/>
    <s v="Pagado"/>
    <s v="Papá"/>
    <n v="0"/>
  </r>
  <r>
    <x v="10"/>
    <x v="9"/>
    <x v="1"/>
    <n v="3000000"/>
    <n v="0"/>
    <n v="3000000"/>
    <n v="150000"/>
    <n v="3000000"/>
    <n v="150000"/>
    <n v="3000000"/>
    <n v="150000"/>
    <n v="3000000"/>
    <n v="150000"/>
    <n v="150000"/>
    <n v="0"/>
    <s v="Financiero"/>
    <s v="Vigente"/>
    <n v="1500000"/>
  </r>
  <r>
    <x v="11"/>
    <x v="9"/>
    <x v="0"/>
    <n v="500000"/>
    <n v="150000"/>
    <n v="350000"/>
    <n v="0"/>
    <n v="260000"/>
    <n v="0"/>
    <n v="150000"/>
    <n v="150000"/>
    <n v="0"/>
    <n v="0"/>
    <n v="0"/>
    <n v="0"/>
    <s v="Pagado"/>
    <s v="Papá"/>
    <n v="0"/>
  </r>
  <r>
    <x v="12"/>
    <x v="10"/>
    <x v="0"/>
    <n v="300000"/>
    <n v="150000"/>
    <n v="150000"/>
    <n v="150000"/>
    <n v="0"/>
    <n v="0"/>
    <n v="100000"/>
    <n v="100000"/>
    <n v="0"/>
    <n v="0"/>
    <n v="0"/>
    <n v="0"/>
    <s v="Pagado"/>
    <s v="Vigente"/>
    <n v="0"/>
  </r>
  <r>
    <x v="13"/>
    <x v="11"/>
    <x v="0"/>
    <n v="429710"/>
    <n v="-631210"/>
    <n v="1060920"/>
    <n v="-463290"/>
    <n v="1524210"/>
    <n v="37000"/>
    <n v="1524210"/>
    <n v="30000"/>
    <n v="734830"/>
    <n v="150000"/>
    <m/>
    <n v="150000"/>
    <s v="Pagar Urgente"/>
    <s v="Vigente"/>
    <n v="734830"/>
  </r>
  <r>
    <x v="14"/>
    <x v="12"/>
    <x v="0"/>
    <n v="0"/>
    <n v="0"/>
    <n v="0"/>
    <n v="0"/>
    <n v="0"/>
    <n v="0"/>
    <n v="400000"/>
    <n v="400000"/>
    <n v="450000"/>
    <n v="450000"/>
    <n v="0"/>
    <n v="450000"/>
    <s v="Pagar Urgente"/>
    <s v="Vigente"/>
    <n v="450000"/>
  </r>
  <r>
    <x v="15"/>
    <x v="13"/>
    <x v="0"/>
    <n v="0"/>
    <m/>
    <n v="0"/>
    <m/>
    <n v="0"/>
    <m/>
    <n v="100000"/>
    <n v="100000"/>
    <n v="0"/>
    <n v="0"/>
    <n v="0"/>
    <n v="0"/>
    <s v="Pagado"/>
    <s v="Pagado"/>
    <n v="0"/>
  </r>
  <r>
    <x v="16"/>
    <x v="14"/>
    <x v="0"/>
    <n v="0"/>
    <m/>
    <n v="0"/>
    <m/>
    <n v="0"/>
    <m/>
    <n v="0"/>
    <n v="20000"/>
    <n v="0"/>
    <n v="0"/>
    <n v="0"/>
    <n v="0"/>
    <s v="Pagado"/>
    <s v="Pagado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">
  <r>
    <x v="0"/>
    <x v="0"/>
    <x v="0"/>
    <s v="D) Domingo"/>
    <x v="0"/>
    <x v="0"/>
    <n v="0"/>
    <n v="0"/>
    <n v="0"/>
    <n v="0"/>
    <n v="44345.93548387097"/>
    <n v="32258.064516129034"/>
    <n v="7249.1612903225805"/>
    <n v="4838.7096774193551"/>
    <n v="0"/>
    <n v="0"/>
    <n v="0"/>
    <n v="0"/>
    <n v="0"/>
    <n v="-44345.93548387097"/>
    <n v="110864.83870967742"/>
    <n v="0"/>
    <n v="44345.93548387097"/>
    <n v="0"/>
  </r>
  <r>
    <x v="1"/>
    <x v="0"/>
    <x v="1"/>
    <s v="A) Día hábil"/>
    <x v="1"/>
    <x v="0"/>
    <n v="0"/>
    <n v="0"/>
    <n v="0"/>
    <n v="0"/>
    <n v="44345.93548387097"/>
    <n v="32258.064516129034"/>
    <n v="7249.1612903225805"/>
    <n v="4838.7096774193551"/>
    <n v="0"/>
    <n v="0"/>
    <n v="0"/>
    <n v="0"/>
    <n v="0"/>
    <n v="-44345.93548387097"/>
    <n v="110864.83870967742"/>
    <n v="0"/>
    <n v="44345.93548387097"/>
    <n v="0"/>
  </r>
  <r>
    <x v="2"/>
    <x v="0"/>
    <x v="1"/>
    <s v="A) Día hábil"/>
    <x v="2"/>
    <x v="0"/>
    <n v="0"/>
    <n v="0"/>
    <n v="0"/>
    <n v="0"/>
    <n v="44345.93548387097"/>
    <n v="32258.064516129034"/>
    <n v="7249.1612903225805"/>
    <n v="4838.7096774193551"/>
    <n v="0"/>
    <n v="0"/>
    <n v="0"/>
    <n v="0"/>
    <n v="0"/>
    <n v="-44345.93548387097"/>
    <n v="110864.83870967742"/>
    <n v="0"/>
    <n v="44345.93548387097"/>
    <n v="0"/>
  </r>
  <r>
    <x v="3"/>
    <x v="0"/>
    <x v="1"/>
    <s v="A) Día hábil"/>
    <x v="3"/>
    <x v="0"/>
    <n v="0"/>
    <n v="0"/>
    <n v="0"/>
    <n v="0"/>
    <n v="44345.93548387097"/>
    <n v="32258.064516129034"/>
    <n v="7249.1612903225805"/>
    <n v="4838.7096774193551"/>
    <n v="0"/>
    <n v="0"/>
    <n v="0"/>
    <n v="0"/>
    <n v="0"/>
    <n v="-44345.93548387097"/>
    <n v="110864.83870967742"/>
    <n v="0"/>
    <n v="44345.93548387097"/>
    <n v="0"/>
  </r>
  <r>
    <x v="4"/>
    <x v="0"/>
    <x v="1"/>
    <s v="A) Día hábil"/>
    <x v="4"/>
    <x v="0"/>
    <n v="0"/>
    <n v="0"/>
    <n v="0"/>
    <n v="0"/>
    <n v="44345.93548387097"/>
    <n v="32258.064516129034"/>
    <n v="7249.1612903225805"/>
    <n v="4838.7096774193551"/>
    <n v="0"/>
    <n v="0"/>
    <n v="0"/>
    <n v="0"/>
    <n v="0"/>
    <n v="-44345.93548387097"/>
    <n v="110864.83870967742"/>
    <n v="0"/>
    <n v="44345.93548387097"/>
    <n v="0"/>
  </r>
  <r>
    <x v="5"/>
    <x v="0"/>
    <x v="1"/>
    <s v="C) Viernes"/>
    <x v="5"/>
    <x v="0"/>
    <n v="0"/>
    <n v="0"/>
    <n v="0"/>
    <n v="0"/>
    <n v="44345.93548387097"/>
    <n v="32258.064516129034"/>
    <n v="7249.1612903225805"/>
    <n v="4838.7096774193551"/>
    <n v="0"/>
    <n v="0"/>
    <n v="0"/>
    <n v="0"/>
    <n v="0"/>
    <n v="-44345.93548387097"/>
    <n v="110864.83870967742"/>
    <n v="0"/>
    <n v="44345.93548387097"/>
    <n v="0"/>
  </r>
  <r>
    <x v="6"/>
    <x v="0"/>
    <x v="1"/>
    <s v="C) Sábado"/>
    <x v="6"/>
    <x v="0"/>
    <n v="80000"/>
    <n v="200000"/>
    <n v="200000"/>
    <n v="0"/>
    <n v="109345.93548387097"/>
    <n v="32258.064516129034"/>
    <n v="7249.1612903225805"/>
    <n v="4838.7096774193551"/>
    <n v="0"/>
    <n v="65000"/>
    <n v="35000"/>
    <n v="0"/>
    <n v="30000"/>
    <n v="-29345.93548387097"/>
    <n v="273364.83870967739"/>
    <n v="0"/>
    <n v="109345.93548387097"/>
    <n v="0"/>
  </r>
  <r>
    <x v="7"/>
    <x v="0"/>
    <x v="1"/>
    <s v="D) Domingo"/>
    <x v="0"/>
    <x v="0"/>
    <n v="320000"/>
    <n v="800000"/>
    <n v="800000"/>
    <n v="0"/>
    <n v="109345.93548387097"/>
    <n v="32258.064516129034"/>
    <n v="7249.1612903225805"/>
    <n v="4838.7096774193551"/>
    <n v="0"/>
    <n v="65000"/>
    <n v="35000"/>
    <n v="0"/>
    <n v="30000"/>
    <n v="210654.06451612903"/>
    <n v="273364.83870967739"/>
    <n v="0"/>
    <n v="109345.93548387097"/>
    <n v="0"/>
  </r>
  <r>
    <x v="8"/>
    <x v="0"/>
    <x v="2"/>
    <s v="A) Día hábil"/>
    <x v="1"/>
    <x v="0"/>
    <n v="80000"/>
    <n v="200000"/>
    <n v="200000"/>
    <n v="0"/>
    <n v="74345.93548387097"/>
    <n v="32258.064516129034"/>
    <n v="7249.1612903225805"/>
    <n v="4838.7096774193551"/>
    <n v="0"/>
    <n v="30000"/>
    <n v="0"/>
    <n v="0"/>
    <n v="30000"/>
    <n v="5654.0645161290304"/>
    <n v="185864.83870967742"/>
    <n v="0"/>
    <n v="74345.93548387097"/>
    <n v="0"/>
  </r>
  <r>
    <x v="9"/>
    <x v="0"/>
    <x v="2"/>
    <s v="A) Día hábil"/>
    <x v="2"/>
    <x v="0"/>
    <n v="96000"/>
    <n v="240000"/>
    <n v="240000"/>
    <n v="0"/>
    <n v="74345.93548387097"/>
    <n v="32258.064516129034"/>
    <n v="7249.1612903225805"/>
    <n v="4838.7096774193551"/>
    <n v="0"/>
    <n v="30000"/>
    <n v="0"/>
    <n v="0"/>
    <n v="30000"/>
    <n v="21654.06451612903"/>
    <n v="185864.83870967742"/>
    <n v="0"/>
    <n v="74345.93548387097"/>
    <n v="0"/>
  </r>
  <r>
    <x v="10"/>
    <x v="0"/>
    <x v="2"/>
    <s v="A) Día hábil"/>
    <x v="3"/>
    <x v="0"/>
    <n v="112000"/>
    <n v="280000"/>
    <n v="280000"/>
    <n v="0"/>
    <n v="74345.93548387097"/>
    <n v="32258.064516129034"/>
    <n v="7249.1612903225805"/>
    <n v="4838.7096774193551"/>
    <n v="0"/>
    <n v="30000"/>
    <n v="0"/>
    <n v="0"/>
    <n v="30000"/>
    <n v="37654.06451612903"/>
    <n v="185864.83870967742"/>
    <n v="0"/>
    <n v="74345.93548387097"/>
    <n v="0"/>
  </r>
  <r>
    <x v="11"/>
    <x v="0"/>
    <x v="2"/>
    <s v="A) Día hábil"/>
    <x v="4"/>
    <x v="0"/>
    <n v="36000"/>
    <n v="90000"/>
    <n v="90000"/>
    <n v="0"/>
    <n v="74345.93548387097"/>
    <n v="32258.064516129034"/>
    <n v="7249.1612903225805"/>
    <n v="4838.7096774193551"/>
    <n v="0"/>
    <n v="30000"/>
    <n v="0"/>
    <n v="0"/>
    <n v="30000"/>
    <n v="-38345.93548387097"/>
    <n v="185864.83870967742"/>
    <n v="0"/>
    <n v="74345.93548387097"/>
    <n v="0"/>
  </r>
  <r>
    <x v="12"/>
    <x v="0"/>
    <x v="2"/>
    <s v="C) Viernes"/>
    <x v="5"/>
    <x v="0"/>
    <n v="132000"/>
    <n v="330000"/>
    <n v="330000"/>
    <n v="0"/>
    <n v="106345.93548387097"/>
    <n v="32258.064516129034"/>
    <n v="7249.1612903225805"/>
    <n v="4838.7096774193551"/>
    <n v="0"/>
    <n v="62000"/>
    <n v="32000"/>
    <n v="0"/>
    <n v="30000"/>
    <n v="25654.06451612903"/>
    <n v="265864.83870967739"/>
    <n v="0"/>
    <n v="106345.93548387097"/>
    <n v="0"/>
  </r>
  <r>
    <x v="13"/>
    <x v="0"/>
    <x v="2"/>
    <s v="C) Sábado"/>
    <x v="6"/>
    <x v="0"/>
    <n v="360000"/>
    <n v="900000"/>
    <n v="900000"/>
    <n v="0"/>
    <n v="109345.93548387097"/>
    <n v="32258.064516129034"/>
    <n v="7249.1612903225805"/>
    <n v="4838.7096774193551"/>
    <n v="0"/>
    <n v="65000"/>
    <n v="35000"/>
    <n v="0"/>
    <n v="30000"/>
    <n v="250654.06451612903"/>
    <n v="273364.83870967739"/>
    <n v="0"/>
    <n v="109345.93548387097"/>
    <n v="0"/>
  </r>
  <r>
    <x v="14"/>
    <x v="0"/>
    <x v="2"/>
    <s v="D) Domingo"/>
    <x v="0"/>
    <x v="0"/>
    <n v="240000"/>
    <n v="600000"/>
    <n v="600000"/>
    <n v="0"/>
    <n v="109345.93548387097"/>
    <n v="32258.064516129034"/>
    <n v="7249.1612903225805"/>
    <n v="4838.7096774193551"/>
    <n v="0"/>
    <n v="65000"/>
    <n v="35000"/>
    <n v="0"/>
    <n v="30000"/>
    <n v="130654.06451612903"/>
    <n v="273364.83870967739"/>
    <n v="0"/>
    <n v="109345.93548387097"/>
    <n v="0"/>
  </r>
  <r>
    <x v="15"/>
    <x v="0"/>
    <x v="3"/>
    <s v="A) Día hábil"/>
    <x v="1"/>
    <x v="0"/>
    <n v="36000"/>
    <n v="90000"/>
    <n v="90000"/>
    <n v="0"/>
    <n v="74345.93548387097"/>
    <n v="32258.064516129034"/>
    <n v="7249.1612903225805"/>
    <n v="4838.7096774193551"/>
    <n v="0"/>
    <n v="30000"/>
    <n v="0"/>
    <n v="0"/>
    <n v="30000"/>
    <n v="-38345.93548387097"/>
    <n v="185864.83870967742"/>
    <n v="0"/>
    <n v="74345.93548387097"/>
    <n v="0"/>
  </r>
  <r>
    <x v="16"/>
    <x v="0"/>
    <x v="3"/>
    <s v="A) Día hábil"/>
    <x v="2"/>
    <x v="0"/>
    <n v="36000"/>
    <n v="90000"/>
    <n v="90000"/>
    <n v="0"/>
    <n v="74345.93548387097"/>
    <n v="32258.064516129034"/>
    <n v="7249.1612903225805"/>
    <n v="4838.7096774193551"/>
    <n v="0"/>
    <n v="30000"/>
    <n v="0"/>
    <n v="0"/>
    <n v="30000"/>
    <n v="-38345.93548387097"/>
    <n v="185864.83870967742"/>
    <n v="0"/>
    <n v="74345.93548387097"/>
    <n v="0"/>
  </r>
  <r>
    <x v="17"/>
    <x v="0"/>
    <x v="3"/>
    <s v="A) Día hábil"/>
    <x v="3"/>
    <x v="0"/>
    <n v="60000"/>
    <n v="150000"/>
    <n v="150000"/>
    <n v="0"/>
    <n v="74345.93548387097"/>
    <n v="32258.064516129034"/>
    <n v="7249.1612903225805"/>
    <n v="4838.7096774193551"/>
    <n v="0"/>
    <n v="30000"/>
    <n v="0"/>
    <n v="0"/>
    <n v="30000"/>
    <n v="-14345.93548387097"/>
    <n v="185864.83870967742"/>
    <n v="0"/>
    <n v="74345.93548387097"/>
    <n v="0"/>
  </r>
  <r>
    <x v="18"/>
    <x v="0"/>
    <x v="3"/>
    <s v="A) Día hábil"/>
    <x v="4"/>
    <x v="0"/>
    <n v="96000"/>
    <n v="240000"/>
    <n v="240000"/>
    <n v="0"/>
    <n v="74345.93548387097"/>
    <n v="32258.064516129034"/>
    <n v="7249.1612903225805"/>
    <n v="4838.7096774193551"/>
    <n v="0"/>
    <n v="30000"/>
    <n v="0"/>
    <n v="0"/>
    <n v="30000"/>
    <n v="21654.06451612903"/>
    <n v="185864.83870967742"/>
    <n v="0"/>
    <n v="74345.93548387097"/>
    <n v="0"/>
  </r>
  <r>
    <x v="19"/>
    <x v="0"/>
    <x v="3"/>
    <s v="C) Viernes"/>
    <x v="5"/>
    <x v="0"/>
    <n v="84000"/>
    <n v="210000"/>
    <n v="210000"/>
    <n v="0"/>
    <n v="106345.93548387097"/>
    <n v="32258.064516129034"/>
    <n v="7249.1612903225805"/>
    <n v="4838.7096774193551"/>
    <n v="0"/>
    <n v="62000"/>
    <n v="32000"/>
    <n v="0"/>
    <n v="30000"/>
    <n v="-22345.93548387097"/>
    <n v="265864.83870967739"/>
    <n v="0"/>
    <n v="106345.93548387097"/>
    <n v="0"/>
  </r>
  <r>
    <x v="20"/>
    <x v="0"/>
    <x v="3"/>
    <s v="C) Sábado"/>
    <x v="6"/>
    <x v="0"/>
    <n v="52000"/>
    <n v="130000"/>
    <n v="130000"/>
    <n v="0"/>
    <n v="109345.93548387097"/>
    <n v="32258.064516129034"/>
    <n v="7249.1612903225805"/>
    <n v="4838.7096774193551"/>
    <n v="0"/>
    <n v="65000"/>
    <n v="35000"/>
    <n v="0"/>
    <n v="30000"/>
    <n v="-57345.93548387097"/>
    <n v="273364.83870967739"/>
    <n v="0"/>
    <n v="109345.93548387097"/>
    <n v="0"/>
  </r>
  <r>
    <x v="21"/>
    <x v="0"/>
    <x v="3"/>
    <s v="D) Domingo"/>
    <x v="0"/>
    <x v="0"/>
    <n v="80000"/>
    <n v="200000"/>
    <n v="200000"/>
    <n v="0"/>
    <n v="109345.93548387097"/>
    <n v="32258.064516129034"/>
    <n v="7249.1612903225805"/>
    <n v="4838.7096774193551"/>
    <n v="0"/>
    <n v="65000"/>
    <n v="35000"/>
    <n v="0"/>
    <n v="30000"/>
    <n v="-29345.93548387097"/>
    <n v="273364.83870967739"/>
    <n v="0"/>
    <n v="109345.93548387097"/>
    <n v="0"/>
  </r>
  <r>
    <x v="22"/>
    <x v="1"/>
    <x v="4"/>
    <s v="E) Festivo"/>
    <x v="1"/>
    <x v="0"/>
    <n v="35000"/>
    <n v="100000"/>
    <n v="100000"/>
    <n v="0"/>
    <n v="109345.93548387097"/>
    <n v="32258.064516129034"/>
    <n v="7249.1612903225805"/>
    <n v="4838.7096774193551"/>
    <n v="0"/>
    <n v="65000"/>
    <n v="35000"/>
    <n v="0"/>
    <n v="30000"/>
    <n v="-74345.93548387097"/>
    <n v="312416.95852534566"/>
    <n v="0"/>
    <n v="109345.93548387097"/>
    <n v="0"/>
  </r>
  <r>
    <x v="23"/>
    <x v="1"/>
    <x v="4"/>
    <s v="A) Día hábil"/>
    <x v="2"/>
    <x v="0"/>
    <n v="45500"/>
    <n v="130000"/>
    <n v="130000"/>
    <n v="0"/>
    <n v="74345.93548387097"/>
    <n v="32258.064516129034"/>
    <n v="7249.1612903225805"/>
    <n v="4838.7096774193551"/>
    <n v="0"/>
    <n v="30000"/>
    <n v="0"/>
    <n v="0"/>
    <n v="30000"/>
    <n v="-28845.93548387097"/>
    <n v="212416.95852534563"/>
    <n v="0"/>
    <n v="74345.93548387097"/>
    <n v="0"/>
  </r>
  <r>
    <x v="24"/>
    <x v="1"/>
    <x v="4"/>
    <s v="A) Día hábil"/>
    <x v="3"/>
    <x v="0"/>
    <n v="62999.999999999993"/>
    <n v="180000"/>
    <n v="180000"/>
    <n v="0"/>
    <n v="74345.93548387097"/>
    <n v="32258.064516129034"/>
    <n v="7249.1612903225805"/>
    <n v="4838.7096774193551"/>
    <n v="0"/>
    <n v="30000"/>
    <n v="0"/>
    <n v="0"/>
    <n v="30000"/>
    <n v="-11345.935483870977"/>
    <n v="212416.95852534563"/>
    <n v="0"/>
    <n v="74345.93548387097"/>
    <n v="0"/>
  </r>
  <r>
    <x v="25"/>
    <x v="1"/>
    <x v="4"/>
    <s v="A) Día hábil"/>
    <x v="4"/>
    <x v="0"/>
    <n v="28000"/>
    <n v="80000"/>
    <n v="80000"/>
    <n v="0"/>
    <n v="74345.93548387097"/>
    <n v="32258.064516129034"/>
    <n v="7249.1612903225805"/>
    <n v="4838.7096774193551"/>
    <n v="0"/>
    <n v="30000"/>
    <n v="0"/>
    <n v="0"/>
    <n v="30000"/>
    <n v="-46345.93548387097"/>
    <n v="212416.95852534563"/>
    <n v="0"/>
    <n v="74345.93548387097"/>
    <n v="0"/>
  </r>
  <r>
    <x v="26"/>
    <x v="1"/>
    <x v="4"/>
    <s v="C) Viernes"/>
    <x v="5"/>
    <x v="0"/>
    <n v="35000"/>
    <n v="100000"/>
    <n v="100000"/>
    <n v="0"/>
    <n v="106345.93548387097"/>
    <n v="32258.064516129034"/>
    <n v="7249.1612903225805"/>
    <n v="4838.7096774193551"/>
    <n v="0"/>
    <n v="62000"/>
    <n v="32000"/>
    <n v="0"/>
    <n v="30000"/>
    <n v="-71345.93548387097"/>
    <n v="303845.52995391708"/>
    <n v="0"/>
    <n v="106345.93548387097"/>
    <n v="0"/>
  </r>
  <r>
    <x v="27"/>
    <x v="1"/>
    <x v="4"/>
    <s v="C) Sábado"/>
    <x v="6"/>
    <x v="0"/>
    <n v="42000"/>
    <n v="120000"/>
    <n v="120000"/>
    <n v="0"/>
    <n v="109345.93548387097"/>
    <n v="32258.064516129034"/>
    <n v="7249.1612903225805"/>
    <n v="4838.7096774193551"/>
    <n v="0"/>
    <n v="65000"/>
    <n v="35000"/>
    <n v="0"/>
    <n v="30000"/>
    <n v="-67345.93548387097"/>
    <n v="312416.95852534566"/>
    <n v="0"/>
    <n v="109345.93548387097"/>
    <n v="0"/>
  </r>
  <r>
    <x v="28"/>
    <x v="1"/>
    <x v="4"/>
    <s v="D) Domingo"/>
    <x v="0"/>
    <x v="0"/>
    <n v="52500"/>
    <n v="150000"/>
    <n v="150000"/>
    <n v="0"/>
    <n v="109345.93548387097"/>
    <n v="32258.064516129034"/>
    <n v="7249.1612903225805"/>
    <n v="4838.7096774193551"/>
    <n v="0"/>
    <n v="65000"/>
    <n v="35000"/>
    <n v="0"/>
    <n v="30000"/>
    <n v="-56845.93548387097"/>
    <n v="312416.95852534566"/>
    <n v="0"/>
    <n v="109345.93548387097"/>
    <n v="0"/>
  </r>
  <r>
    <x v="29"/>
    <x v="1"/>
    <x v="5"/>
    <s v="A) Día hábil"/>
    <x v="1"/>
    <x v="0"/>
    <n v="10500"/>
    <n v="30000"/>
    <n v="30000"/>
    <n v="0"/>
    <n v="74345.93548387097"/>
    <n v="32258.064516129034"/>
    <n v="7249.1612903225805"/>
    <n v="4838.7096774193551"/>
    <n v="0"/>
    <n v="30000"/>
    <n v="0"/>
    <n v="0"/>
    <n v="30000"/>
    <n v="-63845.93548387097"/>
    <n v="212416.95852534563"/>
    <n v="0"/>
    <n v="74345.93548387097"/>
    <n v="0"/>
  </r>
  <r>
    <x v="30"/>
    <x v="1"/>
    <x v="5"/>
    <s v="A) Día hábil"/>
    <x v="2"/>
    <x v="0"/>
    <n v="17500"/>
    <n v="50000"/>
    <n v="50000"/>
    <n v="0"/>
    <n v="74345.93548387097"/>
    <n v="32258.064516129034"/>
    <n v="7249.1612903225805"/>
    <n v="4838.7096774193551"/>
    <n v="0"/>
    <n v="30000"/>
    <n v="0"/>
    <n v="0"/>
    <n v="30000"/>
    <n v="-56845.93548387097"/>
    <n v="212416.95852534563"/>
    <n v="0"/>
    <n v="74345.93548387097"/>
    <n v="0"/>
  </r>
  <r>
    <x v="31"/>
    <x v="1"/>
    <x v="5"/>
    <s v="A) Día hábil"/>
    <x v="3"/>
    <x v="1"/>
    <n v="21000"/>
    <n v="60000"/>
    <n v="60000"/>
    <n v="0"/>
    <n v="55091"/>
    <n v="16666.666666666668"/>
    <n v="3424.3333333333335"/>
    <n v="5000"/>
    <n v="0"/>
    <n v="30000"/>
    <n v="0"/>
    <n v="0"/>
    <n v="30000"/>
    <n v="-34091"/>
    <n v="157402.85714285716"/>
    <n v="0"/>
    <n v="55091"/>
    <n v="0"/>
  </r>
  <r>
    <x v="32"/>
    <x v="1"/>
    <x v="5"/>
    <s v="A) Día hábil"/>
    <x v="4"/>
    <x v="1"/>
    <n v="42000"/>
    <n v="120000"/>
    <n v="120000"/>
    <n v="0"/>
    <n v="55091"/>
    <n v="16666.666666666668"/>
    <n v="3424.3333333333335"/>
    <n v="5000"/>
    <n v="0"/>
    <n v="30000"/>
    <n v="0"/>
    <n v="0"/>
    <n v="30000"/>
    <n v="-13091"/>
    <n v="157402.85714285716"/>
    <n v="0"/>
    <n v="55091"/>
    <n v="0"/>
  </r>
  <r>
    <x v="33"/>
    <x v="1"/>
    <x v="5"/>
    <s v="C) Viernes"/>
    <x v="5"/>
    <x v="1"/>
    <n v="70000"/>
    <n v="200000"/>
    <n v="200000"/>
    <n v="0"/>
    <n v="55091"/>
    <n v="16666.666666666668"/>
    <n v="3424.3333333333335"/>
    <n v="5000"/>
    <n v="0"/>
    <n v="30000"/>
    <n v="0"/>
    <n v="0"/>
    <n v="30000"/>
    <n v="14909"/>
    <n v="157402.85714285716"/>
    <n v="0"/>
    <n v="55091"/>
    <n v="0"/>
  </r>
  <r>
    <x v="34"/>
    <x v="1"/>
    <x v="5"/>
    <s v="C) Sábado"/>
    <x v="6"/>
    <x v="1"/>
    <n v="77000"/>
    <n v="220000"/>
    <n v="220000"/>
    <n v="0"/>
    <n v="55091"/>
    <n v="16666.666666666668"/>
    <n v="3424.3333333333335"/>
    <n v="5000"/>
    <n v="0"/>
    <n v="30000"/>
    <n v="0"/>
    <n v="0"/>
    <n v="30000"/>
    <n v="21909"/>
    <n v="157402.85714285716"/>
    <n v="0"/>
    <n v="55091"/>
    <n v="0"/>
  </r>
  <r>
    <x v="35"/>
    <x v="1"/>
    <x v="5"/>
    <s v="D) Domingo"/>
    <x v="0"/>
    <x v="1"/>
    <n v="133000"/>
    <n v="380000"/>
    <n v="380000"/>
    <n v="0"/>
    <n v="55091"/>
    <n v="16666.666666666668"/>
    <n v="3424.3333333333335"/>
    <n v="5000"/>
    <n v="0"/>
    <n v="30000"/>
    <n v="0"/>
    <n v="0"/>
    <n v="30000"/>
    <n v="77909"/>
    <n v="157402.85714285716"/>
    <n v="0"/>
    <n v="55091"/>
    <n v="0"/>
  </r>
  <r>
    <x v="36"/>
    <x v="1"/>
    <x v="6"/>
    <s v="A) Día hábil"/>
    <x v="1"/>
    <x v="1"/>
    <n v="28000"/>
    <n v="80000"/>
    <n v="80000"/>
    <n v="0"/>
    <n v="25091"/>
    <n v="16666.666666666668"/>
    <n v="3424.3333333333335"/>
    <n v="5000"/>
    <n v="0"/>
    <n v="0"/>
    <n v="0"/>
    <n v="0"/>
    <n v="0"/>
    <n v="2909"/>
    <n v="71688.571428571435"/>
    <n v="0"/>
    <n v="25091"/>
    <n v="0"/>
  </r>
  <r>
    <x v="37"/>
    <x v="1"/>
    <x v="6"/>
    <s v="A) Día hábil"/>
    <x v="2"/>
    <x v="1"/>
    <n v="49000"/>
    <n v="140000"/>
    <n v="140000"/>
    <n v="0"/>
    <n v="25091"/>
    <n v="16666.666666666668"/>
    <n v="3424.3333333333335"/>
    <n v="5000"/>
    <n v="0"/>
    <n v="0"/>
    <n v="0"/>
    <n v="0"/>
    <n v="0"/>
    <n v="23909"/>
    <n v="71688.571428571435"/>
    <n v="0"/>
    <n v="25091"/>
    <n v="0"/>
  </r>
  <r>
    <x v="38"/>
    <x v="1"/>
    <x v="6"/>
    <s v="A) Día hábil"/>
    <x v="3"/>
    <x v="1"/>
    <n v="17500"/>
    <n v="50000"/>
    <n v="50000"/>
    <n v="0"/>
    <n v="25091"/>
    <n v="16666.666666666668"/>
    <n v="3424.3333333333335"/>
    <n v="5000"/>
    <n v="0"/>
    <n v="0"/>
    <n v="0"/>
    <n v="0"/>
    <n v="0"/>
    <n v="-7591"/>
    <n v="71688.571428571435"/>
    <n v="0"/>
    <n v="25091"/>
    <n v="0"/>
  </r>
  <r>
    <x v="39"/>
    <x v="1"/>
    <x v="6"/>
    <s v="E) Festivo"/>
    <x v="4"/>
    <x v="1"/>
    <n v="14000"/>
    <n v="40000"/>
    <n v="40000"/>
    <n v="0"/>
    <n v="25091"/>
    <n v="16666.666666666668"/>
    <n v="3424.3333333333335"/>
    <n v="5000"/>
    <n v="0"/>
    <n v="0"/>
    <n v="0"/>
    <n v="0"/>
    <n v="0"/>
    <n v="-11091"/>
    <n v="71688.571428571435"/>
    <n v="0"/>
    <n v="25091"/>
    <n v="0"/>
  </r>
  <r>
    <x v="40"/>
    <x v="1"/>
    <x v="6"/>
    <s v="E) Festivo"/>
    <x v="5"/>
    <x v="1"/>
    <n v="52500"/>
    <n v="150000"/>
    <n v="150000"/>
    <n v="0"/>
    <n v="25091"/>
    <n v="16666.666666666668"/>
    <n v="3424.3333333333335"/>
    <n v="5000"/>
    <n v="0"/>
    <n v="0"/>
    <n v="0"/>
    <n v="0"/>
    <n v="0"/>
    <n v="27409"/>
    <n v="71688.571428571435"/>
    <n v="0"/>
    <n v="25091"/>
    <n v="0"/>
  </r>
  <r>
    <x v="41"/>
    <x v="1"/>
    <x v="6"/>
    <s v="C) Sábado"/>
    <x v="6"/>
    <x v="1"/>
    <n v="56000"/>
    <n v="160000"/>
    <n v="160000"/>
    <n v="0"/>
    <n v="25091"/>
    <n v="16666.666666666668"/>
    <n v="3424.3333333333335"/>
    <n v="5000"/>
    <n v="0"/>
    <n v="0"/>
    <n v="0"/>
    <n v="0"/>
    <n v="0"/>
    <n v="30909"/>
    <n v="71688.571428571435"/>
    <n v="0"/>
    <n v="25091"/>
    <n v="0"/>
  </r>
  <r>
    <x v="42"/>
    <x v="1"/>
    <x v="6"/>
    <s v="D) Domingo"/>
    <x v="0"/>
    <x v="1"/>
    <n v="56000"/>
    <n v="160000"/>
    <n v="160000"/>
    <n v="0"/>
    <n v="25091"/>
    <n v="16666.666666666668"/>
    <n v="3424.3333333333335"/>
    <n v="5000"/>
    <n v="0"/>
    <n v="0"/>
    <n v="0"/>
    <n v="0"/>
    <n v="0"/>
    <n v="30909"/>
    <n v="71688.571428571435"/>
    <n v="0"/>
    <n v="25091"/>
    <n v="0"/>
  </r>
  <r>
    <x v="43"/>
    <x v="1"/>
    <x v="7"/>
    <s v="A) Día hábil"/>
    <x v="1"/>
    <x v="1"/>
    <n v="56000"/>
    <n v="160000"/>
    <n v="160000"/>
    <n v="0"/>
    <n v="35091"/>
    <n v="16666.666666666668"/>
    <n v="3424.3333333333335"/>
    <n v="5000"/>
    <n v="0"/>
    <n v="10000"/>
    <n v="0"/>
    <n v="0"/>
    <n v="10000"/>
    <n v="20909"/>
    <n v="100260"/>
    <n v="0"/>
    <n v="35091"/>
    <n v="0"/>
  </r>
  <r>
    <x v="44"/>
    <x v="1"/>
    <x v="7"/>
    <s v="A) Día hábil"/>
    <x v="2"/>
    <x v="1"/>
    <n v="56000"/>
    <n v="160000"/>
    <n v="160000"/>
    <n v="0"/>
    <n v="35091"/>
    <n v="16666.666666666668"/>
    <n v="3424.3333333333335"/>
    <n v="5000"/>
    <n v="0"/>
    <n v="10000"/>
    <n v="0"/>
    <n v="0"/>
    <n v="10000"/>
    <n v="20909"/>
    <n v="100260"/>
    <n v="0"/>
    <n v="35091"/>
    <n v="0"/>
  </r>
  <r>
    <x v="45"/>
    <x v="1"/>
    <x v="7"/>
    <s v="A) Día hábil"/>
    <x v="3"/>
    <x v="1"/>
    <n v="28000"/>
    <n v="80000"/>
    <n v="80000"/>
    <n v="0"/>
    <n v="35091"/>
    <n v="16666.666666666668"/>
    <n v="3424.3333333333335"/>
    <n v="5000"/>
    <n v="0"/>
    <n v="10000"/>
    <n v="0"/>
    <n v="0"/>
    <n v="10000"/>
    <n v="-7091"/>
    <n v="100260"/>
    <n v="0"/>
    <n v="35091"/>
    <n v="0"/>
  </r>
  <r>
    <x v="46"/>
    <x v="1"/>
    <x v="7"/>
    <s v="A) Día hábil"/>
    <x v="4"/>
    <x v="1"/>
    <n v="70000"/>
    <n v="200000"/>
    <n v="200000"/>
    <n v="0"/>
    <n v="35091"/>
    <n v="16666.666666666668"/>
    <n v="3424.3333333333335"/>
    <n v="5000"/>
    <n v="0"/>
    <n v="10000"/>
    <n v="0"/>
    <n v="0"/>
    <n v="10000"/>
    <n v="34909"/>
    <n v="100260"/>
    <n v="0"/>
    <n v="35091"/>
    <n v="0"/>
  </r>
  <r>
    <x v="47"/>
    <x v="1"/>
    <x v="7"/>
    <s v="C) Viernes"/>
    <x v="5"/>
    <x v="1"/>
    <n v="28000"/>
    <n v="80000"/>
    <n v="80000"/>
    <n v="0"/>
    <n v="35091"/>
    <n v="16666.666666666668"/>
    <n v="3424.3333333333335"/>
    <n v="5000"/>
    <n v="0"/>
    <n v="10000"/>
    <n v="0"/>
    <n v="0"/>
    <n v="10000"/>
    <n v="-7091"/>
    <n v="100260"/>
    <n v="0"/>
    <n v="35091"/>
    <n v="0"/>
  </r>
  <r>
    <x v="48"/>
    <x v="1"/>
    <x v="7"/>
    <s v="C) Sábado"/>
    <x v="6"/>
    <x v="1"/>
    <n v="105000"/>
    <n v="300000"/>
    <n v="300000"/>
    <n v="0"/>
    <n v="35091"/>
    <n v="16666.666666666668"/>
    <n v="3424.3333333333335"/>
    <n v="5000"/>
    <n v="0"/>
    <n v="10000"/>
    <n v="0"/>
    <n v="0"/>
    <n v="10000"/>
    <n v="69909"/>
    <n v="100260"/>
    <n v="0"/>
    <n v="35091"/>
    <n v="0"/>
  </r>
  <r>
    <x v="49"/>
    <x v="1"/>
    <x v="7"/>
    <s v="D) Domingo"/>
    <x v="0"/>
    <x v="1"/>
    <n v="112000"/>
    <n v="320000"/>
    <n v="320000"/>
    <n v="0"/>
    <n v="35091"/>
    <n v="16666.666666666668"/>
    <n v="3424.3333333333335"/>
    <n v="5000"/>
    <n v="0"/>
    <n v="10000"/>
    <n v="0"/>
    <n v="0"/>
    <n v="10000"/>
    <n v="76909"/>
    <n v="100260"/>
    <n v="0"/>
    <n v="35091"/>
    <n v="0"/>
  </r>
  <r>
    <x v="50"/>
    <x v="1"/>
    <x v="8"/>
    <s v="A) Día hábil"/>
    <x v="1"/>
    <x v="1"/>
    <n v="52500"/>
    <n v="150000"/>
    <n v="150000"/>
    <n v="0"/>
    <n v="35091"/>
    <n v="16666.666666666668"/>
    <n v="3424.3333333333335"/>
    <n v="5000"/>
    <n v="0"/>
    <n v="10000"/>
    <n v="0"/>
    <n v="0"/>
    <n v="10000"/>
    <n v="17409"/>
    <n v="100260"/>
    <n v="0"/>
    <n v="35091"/>
    <n v="0"/>
  </r>
  <r>
    <x v="51"/>
    <x v="1"/>
    <x v="8"/>
    <s v="A) Día hábil"/>
    <x v="2"/>
    <x v="1"/>
    <n v="35000"/>
    <n v="100000"/>
    <n v="100000"/>
    <n v="0"/>
    <n v="35091"/>
    <n v="16666.666666666668"/>
    <n v="3424.3333333333335"/>
    <n v="5000"/>
    <n v="0"/>
    <n v="10000"/>
    <n v="0"/>
    <n v="0"/>
    <n v="10000"/>
    <n v="-91"/>
    <n v="100260"/>
    <n v="0"/>
    <n v="35091"/>
    <n v="0"/>
  </r>
  <r>
    <x v="52"/>
    <x v="1"/>
    <x v="8"/>
    <s v="A) Día hábil"/>
    <x v="3"/>
    <x v="1"/>
    <n v="24500"/>
    <n v="70000"/>
    <n v="70000"/>
    <n v="0"/>
    <n v="35091"/>
    <n v="16666.666666666668"/>
    <n v="3424.3333333333335"/>
    <n v="5000"/>
    <n v="0"/>
    <n v="10000"/>
    <n v="0"/>
    <n v="0"/>
    <n v="10000"/>
    <n v="-10591"/>
    <n v="100260"/>
    <n v="0"/>
    <n v="35091"/>
    <n v="0"/>
  </r>
  <r>
    <x v="53"/>
    <x v="1"/>
    <x v="8"/>
    <s v="A) Día hábil"/>
    <x v="4"/>
    <x v="1"/>
    <n v="42000"/>
    <n v="120000"/>
    <n v="120000"/>
    <n v="0"/>
    <n v="35091"/>
    <n v="16666.666666666668"/>
    <n v="3424.3333333333335"/>
    <n v="5000"/>
    <n v="0"/>
    <n v="10000"/>
    <n v="0"/>
    <n v="0"/>
    <n v="10000"/>
    <n v="6909"/>
    <n v="100260"/>
    <n v="0"/>
    <n v="35091"/>
    <n v="0"/>
  </r>
  <r>
    <x v="54"/>
    <x v="1"/>
    <x v="8"/>
    <s v="C) Viernes"/>
    <x v="5"/>
    <x v="1"/>
    <n v="42000"/>
    <n v="120000"/>
    <n v="120000"/>
    <n v="0"/>
    <n v="35091"/>
    <n v="16666.666666666668"/>
    <n v="3424.3333333333335"/>
    <n v="5000"/>
    <n v="0"/>
    <n v="10000"/>
    <n v="0"/>
    <n v="0"/>
    <n v="10000"/>
    <n v="6909"/>
    <n v="100260"/>
    <n v="0"/>
    <n v="35091"/>
    <n v="0"/>
  </r>
  <r>
    <x v="55"/>
    <x v="1"/>
    <x v="8"/>
    <s v="C) Sábado"/>
    <x v="6"/>
    <x v="1"/>
    <n v="112000"/>
    <n v="320000"/>
    <n v="320000"/>
    <n v="0"/>
    <n v="35091"/>
    <n v="16666.666666666668"/>
    <n v="3424.3333333333335"/>
    <n v="5000"/>
    <n v="0"/>
    <n v="10000"/>
    <n v="0"/>
    <n v="0"/>
    <n v="10000"/>
    <n v="76909"/>
    <n v="100260"/>
    <n v="0"/>
    <n v="35091"/>
    <n v="0"/>
  </r>
  <r>
    <x v="56"/>
    <x v="1"/>
    <x v="8"/>
    <s v="D) Domingo"/>
    <x v="0"/>
    <x v="1"/>
    <n v="157500"/>
    <n v="450000"/>
    <n v="450000"/>
    <n v="0"/>
    <n v="35091"/>
    <n v="16666.666666666668"/>
    <n v="3424.3333333333335"/>
    <n v="5000"/>
    <n v="0"/>
    <n v="10000"/>
    <n v="0"/>
    <n v="0"/>
    <n v="10000"/>
    <n v="122409"/>
    <n v="100260"/>
    <n v="0"/>
    <n v="35091"/>
    <n v="0"/>
  </r>
  <r>
    <x v="57"/>
    <x v="1"/>
    <x v="9"/>
    <s v="A) Día hábil"/>
    <x v="1"/>
    <x v="1"/>
    <n v="56000"/>
    <n v="160000"/>
    <n v="160000"/>
    <n v="0"/>
    <n v="35091"/>
    <n v="16666.666666666668"/>
    <n v="3424.3333333333335"/>
    <n v="5000"/>
    <n v="0"/>
    <n v="10000"/>
    <n v="0"/>
    <n v="0"/>
    <n v="10000"/>
    <n v="20909"/>
    <n v="100260"/>
    <n v="0"/>
    <n v="35091"/>
    <n v="0"/>
  </r>
  <r>
    <x v="58"/>
    <x v="1"/>
    <x v="9"/>
    <s v="A) Día hábil"/>
    <x v="2"/>
    <x v="1"/>
    <n v="56000"/>
    <n v="160000"/>
    <n v="160000"/>
    <n v="0"/>
    <n v="35091"/>
    <n v="16666.666666666668"/>
    <n v="3424.3333333333335"/>
    <n v="5000"/>
    <n v="0"/>
    <n v="10000"/>
    <n v="0"/>
    <n v="0"/>
    <n v="10000"/>
    <n v="20909"/>
    <n v="100260"/>
    <n v="0"/>
    <n v="35091"/>
    <n v="0"/>
  </r>
  <r>
    <x v="59"/>
    <x v="1"/>
    <x v="9"/>
    <s v="A) Día hábil"/>
    <x v="3"/>
    <x v="1"/>
    <n v="125999.99999999999"/>
    <n v="360000"/>
    <n v="360000"/>
    <n v="0"/>
    <n v="35091"/>
    <n v="16666.666666666668"/>
    <n v="3424.3333333333335"/>
    <n v="5000"/>
    <n v="0"/>
    <n v="10000"/>
    <n v="0"/>
    <n v="0"/>
    <n v="10000"/>
    <n v="90908.999999999985"/>
    <n v="100260"/>
    <n v="0"/>
    <n v="35091"/>
    <n v="0"/>
  </r>
  <r>
    <x v="60"/>
    <x v="1"/>
    <x v="9"/>
    <s v="A) Día hábil"/>
    <x v="4"/>
    <x v="1"/>
    <n v="56000"/>
    <n v="160000"/>
    <n v="160000"/>
    <n v="0"/>
    <n v="35091"/>
    <n v="16666.666666666668"/>
    <n v="3424.3333333333335"/>
    <n v="5000"/>
    <n v="0"/>
    <n v="10000"/>
    <n v="0"/>
    <n v="0"/>
    <n v="10000"/>
    <n v="20909"/>
    <n v="100260"/>
    <n v="0"/>
    <n v="35091"/>
    <n v="0"/>
  </r>
  <r>
    <x v="61"/>
    <x v="1"/>
    <x v="9"/>
    <s v="E) Festivo"/>
    <x v="5"/>
    <x v="2"/>
    <n v="56000"/>
    <n v="160000"/>
    <n v="160000"/>
    <n v="0"/>
    <n v="36740.032258064515"/>
    <n v="16129.032258064517"/>
    <n v="7121.6129032258068"/>
    <n v="2258.0645161290322"/>
    <n v="1231.3225806451612"/>
    <n v="10000"/>
    <n v="0"/>
    <n v="0"/>
    <n v="10000"/>
    <n v="19259.967741935485"/>
    <n v="104971.5207373272"/>
    <n v="0"/>
    <n v="36740.032258064515"/>
    <n v="0"/>
  </r>
  <r>
    <x v="62"/>
    <x v="1"/>
    <x v="9"/>
    <s v="C) Sábado"/>
    <x v="6"/>
    <x v="2"/>
    <n v="161000"/>
    <n v="460000"/>
    <n v="460000"/>
    <n v="0"/>
    <n v="56740.032258064515"/>
    <n v="16129.032258064517"/>
    <n v="7121.6129032258068"/>
    <n v="2258.0645161290322"/>
    <n v="1231.3225806451612"/>
    <n v="30000"/>
    <n v="0"/>
    <n v="0"/>
    <n v="30000"/>
    <n v="104259.96774193548"/>
    <n v="162114.37788018433"/>
    <n v="0"/>
    <n v="56740.032258064515"/>
    <n v="0"/>
  </r>
  <r>
    <x v="63"/>
    <x v="1"/>
    <x v="9"/>
    <s v="D) Domingo"/>
    <x v="0"/>
    <x v="2"/>
    <n v="122499.99999999999"/>
    <n v="350000"/>
    <n v="350000"/>
    <n v="0"/>
    <n v="56740.032258064515"/>
    <n v="16129.032258064517"/>
    <n v="7121.6129032258068"/>
    <n v="2258.0645161290322"/>
    <n v="1231.3225806451612"/>
    <n v="30000"/>
    <n v="0"/>
    <n v="0"/>
    <n v="30000"/>
    <n v="65759.96774193547"/>
    <n v="162114.37788018433"/>
    <n v="0"/>
    <n v="56740.032258064515"/>
    <n v="0"/>
  </r>
  <r>
    <x v="64"/>
    <x v="1"/>
    <x v="10"/>
    <s v="A) Día hábil"/>
    <x v="1"/>
    <x v="2"/>
    <n v="56000"/>
    <n v="160000"/>
    <n v="160000"/>
    <n v="0"/>
    <n v="46740.032258064515"/>
    <n v="16129.032258064517"/>
    <n v="7121.6129032258068"/>
    <n v="2258.0645161290322"/>
    <n v="1231.3225806451612"/>
    <n v="20000"/>
    <n v="0"/>
    <n v="0"/>
    <n v="20000"/>
    <n v="9259.9677419354848"/>
    <n v="133542.94930875578"/>
    <n v="0"/>
    <n v="46740.032258064515"/>
    <n v="0"/>
  </r>
  <r>
    <x v="65"/>
    <x v="1"/>
    <x v="10"/>
    <s v="A) Día hábil"/>
    <x v="2"/>
    <x v="2"/>
    <n v="42000"/>
    <n v="120000"/>
    <n v="120000"/>
    <n v="0"/>
    <n v="46740.032258064515"/>
    <n v="16129.032258064517"/>
    <n v="7121.6129032258068"/>
    <n v="2258.0645161290322"/>
    <n v="1231.3225806451612"/>
    <n v="20000"/>
    <n v="0"/>
    <n v="0"/>
    <n v="20000"/>
    <n v="-4740.0322580645152"/>
    <n v="133542.94930875578"/>
    <n v="0"/>
    <n v="46740.032258064515"/>
    <n v="0"/>
  </r>
  <r>
    <x v="66"/>
    <x v="1"/>
    <x v="10"/>
    <s v="A) Día hábil"/>
    <x v="3"/>
    <x v="2"/>
    <n v="87500"/>
    <n v="250000"/>
    <n v="250000"/>
    <n v="0"/>
    <n v="46740.032258064515"/>
    <n v="16129.032258064517"/>
    <n v="7121.6129032258068"/>
    <n v="2258.0645161290322"/>
    <n v="1231.3225806451612"/>
    <n v="20000"/>
    <n v="0"/>
    <n v="0"/>
    <n v="20000"/>
    <n v="40759.967741935485"/>
    <n v="133542.94930875578"/>
    <n v="0"/>
    <n v="46740.032258064515"/>
    <n v="0"/>
  </r>
  <r>
    <x v="67"/>
    <x v="1"/>
    <x v="10"/>
    <s v="A) Día hábil"/>
    <x v="4"/>
    <x v="2"/>
    <n v="42000"/>
    <n v="120000"/>
    <n v="120000"/>
    <n v="0"/>
    <n v="46740.032258064515"/>
    <n v="16129.032258064517"/>
    <n v="7121.6129032258068"/>
    <n v="2258.0645161290322"/>
    <n v="1231.3225806451612"/>
    <n v="20000"/>
    <n v="0"/>
    <n v="0"/>
    <n v="20000"/>
    <n v="-4740.0322580645152"/>
    <n v="133542.94930875578"/>
    <n v="0"/>
    <n v="46740.032258064515"/>
    <n v="0"/>
  </r>
  <r>
    <x v="68"/>
    <x v="1"/>
    <x v="10"/>
    <s v="C) Viernes"/>
    <x v="5"/>
    <x v="2"/>
    <n v="52500"/>
    <n v="150000"/>
    <n v="150000"/>
    <n v="0"/>
    <n v="46740.032258064515"/>
    <n v="16129.032258064517"/>
    <n v="7121.6129032258068"/>
    <n v="2258.0645161290322"/>
    <n v="1231.3225806451612"/>
    <n v="20000"/>
    <n v="0"/>
    <n v="0"/>
    <n v="20000"/>
    <n v="5759.9677419354848"/>
    <n v="133542.94930875578"/>
    <n v="0"/>
    <n v="46740.032258064515"/>
    <n v="0"/>
  </r>
  <r>
    <x v="69"/>
    <x v="1"/>
    <x v="10"/>
    <s v="C) Sábado"/>
    <x v="6"/>
    <x v="2"/>
    <n v="28000"/>
    <n v="80000"/>
    <n v="80000"/>
    <n v="0"/>
    <n v="56740.032258064515"/>
    <n v="16129.032258064517"/>
    <n v="7121.6129032258068"/>
    <n v="2258.0645161290322"/>
    <n v="1231.3225806451612"/>
    <n v="30000"/>
    <n v="0"/>
    <n v="0"/>
    <n v="30000"/>
    <n v="-28740.032258064515"/>
    <n v="162114.37788018433"/>
    <n v="0"/>
    <n v="56740.032258064515"/>
    <n v="0"/>
  </r>
  <r>
    <x v="70"/>
    <x v="1"/>
    <x v="10"/>
    <s v="D) Domingo"/>
    <x v="0"/>
    <x v="2"/>
    <n v="385000"/>
    <n v="1100000"/>
    <n v="1100000"/>
    <n v="0"/>
    <n v="56740.032258064515"/>
    <n v="16129.032258064517"/>
    <n v="7121.6129032258068"/>
    <n v="2258.0645161290322"/>
    <n v="1231.3225806451612"/>
    <n v="30000"/>
    <n v="0"/>
    <n v="0"/>
    <n v="30000"/>
    <n v="328259.96774193551"/>
    <n v="162114.37788018433"/>
    <n v="0"/>
    <n v="56740.032258064515"/>
    <n v="0"/>
  </r>
  <r>
    <x v="71"/>
    <x v="1"/>
    <x v="11"/>
    <s v="A) Día hábil"/>
    <x v="1"/>
    <x v="2"/>
    <n v="28000"/>
    <n v="80000"/>
    <n v="80000"/>
    <n v="0"/>
    <n v="41740.032258064515"/>
    <n v="16129.032258064517"/>
    <n v="7121.6129032258068"/>
    <n v="2258.0645161290322"/>
    <n v="1231.3225806451612"/>
    <n v="15000"/>
    <n v="0"/>
    <n v="0"/>
    <n v="15000"/>
    <n v="-13740.032258064515"/>
    <n v="119257.23502304147"/>
    <n v="0"/>
    <n v="41740.032258064515"/>
    <n v="0"/>
  </r>
  <r>
    <x v="72"/>
    <x v="1"/>
    <x v="11"/>
    <s v="A) Día hábil"/>
    <x v="2"/>
    <x v="2"/>
    <n v="59499.999999999993"/>
    <n v="170000"/>
    <n v="170000"/>
    <n v="0"/>
    <n v="46740.032258064515"/>
    <n v="16129.032258064517"/>
    <n v="7121.6129032258068"/>
    <n v="2258.0645161290322"/>
    <n v="1231.3225806451612"/>
    <n v="20000"/>
    <n v="0"/>
    <n v="0"/>
    <n v="20000"/>
    <n v="12759.967741935478"/>
    <n v="133542.94930875578"/>
    <n v="0"/>
    <n v="46740.032258064515"/>
    <n v="0"/>
  </r>
  <r>
    <x v="73"/>
    <x v="1"/>
    <x v="11"/>
    <s v="A) Día hábil"/>
    <x v="3"/>
    <x v="2"/>
    <n v="84000"/>
    <n v="240000"/>
    <n v="240000"/>
    <n v="0"/>
    <n v="46740.032258064515"/>
    <n v="16129.032258064517"/>
    <n v="7121.6129032258068"/>
    <n v="2258.0645161290322"/>
    <n v="1231.3225806451612"/>
    <n v="20000"/>
    <n v="0"/>
    <n v="0"/>
    <n v="20000"/>
    <n v="37259.967741935485"/>
    <n v="133542.94930875578"/>
    <n v="0"/>
    <n v="46740.032258064515"/>
    <n v="0"/>
  </r>
  <r>
    <x v="74"/>
    <x v="1"/>
    <x v="11"/>
    <s v="A) Día hábil"/>
    <x v="4"/>
    <x v="2"/>
    <n v="52500"/>
    <n v="150000"/>
    <n v="150000"/>
    <n v="0"/>
    <n v="46740.032258064515"/>
    <n v="16129.032258064517"/>
    <n v="7121.6129032258068"/>
    <n v="2258.0645161290322"/>
    <n v="1231.3225806451612"/>
    <n v="20000"/>
    <n v="0"/>
    <n v="0"/>
    <n v="20000"/>
    <n v="5759.9677419354848"/>
    <n v="133542.94930875578"/>
    <n v="0"/>
    <n v="46740.032258064515"/>
    <n v="0"/>
  </r>
  <r>
    <x v="75"/>
    <x v="1"/>
    <x v="11"/>
    <s v="C) Viernes"/>
    <x v="5"/>
    <x v="2"/>
    <n v="136500"/>
    <n v="390000"/>
    <n v="390000"/>
    <n v="0"/>
    <n v="46740.032258064515"/>
    <n v="16129.032258064517"/>
    <n v="7121.6129032258068"/>
    <n v="2258.0645161290322"/>
    <n v="1231.3225806451612"/>
    <n v="20000"/>
    <n v="0"/>
    <n v="0"/>
    <n v="20000"/>
    <n v="89759.967741935485"/>
    <n v="133542.94930875578"/>
    <n v="0"/>
    <n v="46740.032258064515"/>
    <n v="0"/>
  </r>
  <r>
    <x v="76"/>
    <x v="1"/>
    <x v="11"/>
    <s v="C) Sábado"/>
    <x v="6"/>
    <x v="2"/>
    <n v="192500"/>
    <n v="550000"/>
    <n v="550000"/>
    <n v="0"/>
    <n v="56740.032258064515"/>
    <n v="16129.032258064517"/>
    <n v="7121.6129032258068"/>
    <n v="2258.0645161290322"/>
    <n v="1231.3225806451612"/>
    <n v="30000"/>
    <n v="0"/>
    <n v="0"/>
    <n v="30000"/>
    <n v="135759.96774193548"/>
    <n v="162114.37788018433"/>
    <n v="0"/>
    <n v="56740.032258064515"/>
    <n v="0"/>
  </r>
  <r>
    <x v="77"/>
    <x v="1"/>
    <x v="11"/>
    <s v="D) Domingo"/>
    <x v="0"/>
    <x v="2"/>
    <n v="150500"/>
    <n v="430000"/>
    <n v="430000"/>
    <n v="0"/>
    <n v="56740.032258064515"/>
    <n v="16129.032258064517"/>
    <n v="7121.6129032258068"/>
    <n v="2258.0645161290322"/>
    <n v="1231.3225806451612"/>
    <n v="30000"/>
    <n v="0"/>
    <n v="0"/>
    <n v="30000"/>
    <n v="93759.967741935485"/>
    <n v="162114.37788018433"/>
    <n v="0"/>
    <n v="56740.032258064515"/>
    <n v="0"/>
  </r>
  <r>
    <x v="78"/>
    <x v="1"/>
    <x v="12"/>
    <s v="A) Día hábil"/>
    <x v="1"/>
    <x v="2"/>
    <n v="31499.999999999996"/>
    <n v="90000"/>
    <n v="90000"/>
    <n v="0"/>
    <n v="46740.032258064515"/>
    <n v="16129.032258064517"/>
    <n v="7121.6129032258068"/>
    <n v="2258.0645161290322"/>
    <n v="1231.3225806451612"/>
    <n v="20000"/>
    <n v="0"/>
    <n v="0"/>
    <n v="20000"/>
    <n v="-15240.032258064519"/>
    <n v="133542.94930875578"/>
    <n v="0"/>
    <n v="46740.032258064515"/>
    <n v="0"/>
  </r>
  <r>
    <x v="79"/>
    <x v="1"/>
    <x v="12"/>
    <s v="A) Día hábil"/>
    <x v="2"/>
    <x v="2"/>
    <n v="38500"/>
    <n v="110000"/>
    <n v="110000"/>
    <n v="0"/>
    <n v="46740.032258064515"/>
    <n v="16129.032258064517"/>
    <n v="7121.6129032258068"/>
    <n v="2258.0645161290322"/>
    <n v="1231.3225806451612"/>
    <n v="20000"/>
    <n v="0"/>
    <n v="0"/>
    <n v="20000"/>
    <n v="-8240.0322580645152"/>
    <n v="133542.94930875578"/>
    <n v="0"/>
    <n v="46740.032258064515"/>
    <n v="0"/>
  </r>
  <r>
    <x v="80"/>
    <x v="1"/>
    <x v="12"/>
    <s v="A) Día hábil"/>
    <x v="3"/>
    <x v="2"/>
    <n v="59499.999999999993"/>
    <n v="170000"/>
    <n v="170000"/>
    <n v="0"/>
    <n v="46740.032258064515"/>
    <n v="16129.032258064517"/>
    <n v="7121.6129032258068"/>
    <n v="2258.0645161290322"/>
    <n v="1231.3225806451612"/>
    <n v="20000"/>
    <n v="0"/>
    <n v="0"/>
    <n v="20000"/>
    <n v="12759.967741935478"/>
    <n v="133542.94930875578"/>
    <n v="0"/>
    <n v="46740.032258064515"/>
    <n v="0"/>
  </r>
  <r>
    <x v="81"/>
    <x v="1"/>
    <x v="12"/>
    <s v="A) Día hábil"/>
    <x v="4"/>
    <x v="2"/>
    <n v="62999.999999999993"/>
    <n v="180000"/>
    <n v="180000"/>
    <n v="0"/>
    <n v="46740.032258064515"/>
    <n v="16129.032258064517"/>
    <n v="7121.6129032258068"/>
    <n v="2258.0645161290322"/>
    <n v="1231.3225806451612"/>
    <n v="20000"/>
    <n v="0"/>
    <n v="0"/>
    <n v="20000"/>
    <n v="16259.967741935478"/>
    <n v="133542.94930875578"/>
    <n v="0"/>
    <n v="46740.032258064515"/>
    <n v="0"/>
  </r>
  <r>
    <x v="82"/>
    <x v="1"/>
    <x v="12"/>
    <s v="C) Viernes"/>
    <x v="5"/>
    <x v="2"/>
    <n v="59499.999999999993"/>
    <n v="170000"/>
    <n v="170000"/>
    <n v="0"/>
    <n v="46740.032258064515"/>
    <n v="16129.032258064517"/>
    <n v="7121.6129032258068"/>
    <n v="2258.0645161290322"/>
    <n v="1231.3225806451612"/>
    <n v="20000"/>
    <n v="0"/>
    <n v="0"/>
    <n v="20000"/>
    <n v="12759.967741935478"/>
    <n v="133542.94930875578"/>
    <n v="0"/>
    <n v="46740.032258064515"/>
    <n v="0"/>
  </r>
  <r>
    <x v="83"/>
    <x v="1"/>
    <x v="12"/>
    <s v="C) Sábado"/>
    <x v="6"/>
    <x v="2"/>
    <n v="125999.99999999999"/>
    <n v="360000"/>
    <n v="360000"/>
    <n v="0"/>
    <n v="46740.032258064515"/>
    <n v="16129.032258064517"/>
    <n v="7121.6129032258068"/>
    <n v="2258.0645161290322"/>
    <n v="1231.3225806451612"/>
    <n v="20000"/>
    <n v="0"/>
    <n v="0"/>
    <n v="20000"/>
    <n v="79259.96774193547"/>
    <n v="133542.94930875578"/>
    <n v="0"/>
    <n v="46740.032258064515"/>
    <n v="0"/>
  </r>
  <r>
    <x v="84"/>
    <x v="1"/>
    <x v="12"/>
    <s v="D) Domingo"/>
    <x v="0"/>
    <x v="2"/>
    <n v="52500"/>
    <n v="150000"/>
    <n v="150000"/>
    <n v="0"/>
    <n v="56740.032258064515"/>
    <n v="16129.032258064517"/>
    <n v="7121.6129032258068"/>
    <n v="2258.0645161290322"/>
    <n v="1231.3225806451612"/>
    <n v="30000"/>
    <n v="0"/>
    <n v="0"/>
    <n v="30000"/>
    <n v="-4240.0322580645152"/>
    <n v="162114.37788018433"/>
    <n v="0"/>
    <n v="56740.032258064515"/>
    <n v="0"/>
  </r>
  <r>
    <x v="85"/>
    <x v="1"/>
    <x v="13"/>
    <s v="E) Festivo"/>
    <x v="1"/>
    <x v="2"/>
    <n v="62999.999999999993"/>
    <n v="180000"/>
    <n v="180000"/>
    <n v="0"/>
    <n v="56740.032258064515"/>
    <n v="16129.032258064517"/>
    <n v="7121.6129032258068"/>
    <n v="2258.0645161290322"/>
    <n v="1231.3225806451612"/>
    <n v="30000"/>
    <n v="0"/>
    <n v="0"/>
    <n v="30000"/>
    <n v="6259.9677419354775"/>
    <n v="162114.37788018433"/>
    <n v="0"/>
    <n v="56740.032258064515"/>
    <n v="0"/>
  </r>
  <r>
    <x v="86"/>
    <x v="1"/>
    <x v="13"/>
    <s v="A) Día hábil"/>
    <x v="2"/>
    <x v="2"/>
    <n v="42000"/>
    <n v="150000"/>
    <n v="120000"/>
    <n v="30000"/>
    <n v="46740.032258064515"/>
    <n v="16129.032258064517"/>
    <n v="7121.6129032258068"/>
    <n v="2258.0645161290322"/>
    <n v="1231.3225806451612"/>
    <n v="20000"/>
    <n v="0"/>
    <n v="0"/>
    <n v="20000"/>
    <n v="-4740.0322580645152"/>
    <n v="133542.94930875578"/>
    <n v="0"/>
    <n v="46740.032258064515"/>
    <n v="0"/>
  </r>
  <r>
    <x v="87"/>
    <x v="1"/>
    <x v="13"/>
    <s v="A) Día hábil"/>
    <x v="3"/>
    <x v="2"/>
    <n v="49000"/>
    <n v="140000"/>
    <n v="140000"/>
    <n v="0"/>
    <n v="46740.032258064515"/>
    <n v="16129.032258064517"/>
    <n v="7121.6129032258068"/>
    <n v="2258.0645161290322"/>
    <n v="1231.3225806451612"/>
    <n v="20000"/>
    <n v="0"/>
    <n v="0"/>
    <n v="20000"/>
    <n v="2259.9677419354848"/>
    <n v="133542.94930875578"/>
    <n v="0"/>
    <n v="46740.032258064515"/>
    <n v="0"/>
  </r>
  <r>
    <x v="88"/>
    <x v="1"/>
    <x v="13"/>
    <s v="A) Día hábil"/>
    <x v="4"/>
    <x v="2"/>
    <n v="62999.999999999993"/>
    <n v="180000"/>
    <n v="180000"/>
    <n v="0"/>
    <n v="46740.032258064515"/>
    <n v="16129.032258064517"/>
    <n v="7121.6129032258068"/>
    <n v="2258.0645161290322"/>
    <n v="1231.3225806451612"/>
    <n v="20000"/>
    <n v="0"/>
    <n v="0"/>
    <n v="20000"/>
    <n v="16259.967741935478"/>
    <n v="133542.94930875578"/>
    <n v="0"/>
    <n v="46740.032258064515"/>
    <n v="0"/>
  </r>
  <r>
    <x v="89"/>
    <x v="1"/>
    <x v="13"/>
    <s v="C) Viernes"/>
    <x v="5"/>
    <x v="2"/>
    <n v="105000"/>
    <n v="300000"/>
    <n v="300000"/>
    <n v="0"/>
    <n v="46867.580645161288"/>
    <n v="16129.032258064517"/>
    <n v="7249.1612903225805"/>
    <n v="2258.0645161290322"/>
    <n v="1231.3225806451612"/>
    <n v="20000"/>
    <n v="0"/>
    <n v="0"/>
    <n v="20000"/>
    <n v="58132.419354838712"/>
    <n v="133907.3732718894"/>
    <n v="0"/>
    <n v="46867.580645161288"/>
    <n v="0"/>
  </r>
  <r>
    <x v="90"/>
    <x v="1"/>
    <x v="13"/>
    <s v="C) Sábado"/>
    <x v="6"/>
    <x v="2"/>
    <n v="164500"/>
    <n v="470000"/>
    <n v="470000"/>
    <n v="0"/>
    <n v="57993.548387096773"/>
    <n v="16129.032258064517"/>
    <n v="7249.1612903225805"/>
    <n v="2258.0645161290322"/>
    <n v="1231.3225806451612"/>
    <n v="30000"/>
    <n v="0"/>
    <n v="19000"/>
    <n v="30000"/>
    <n v="116112.90322580645"/>
    <n v="133542.94930875578"/>
    <n v="0"/>
    <n v="0"/>
    <n v="0"/>
  </r>
  <r>
    <x v="91"/>
    <x v="1"/>
    <x v="13"/>
    <s v="D) Domingo"/>
    <x v="0"/>
    <x v="2"/>
    <n v="140000"/>
    <n v="400000"/>
    <n v="400000"/>
    <n v="0"/>
    <n v="57993.548387096773"/>
    <n v="16129.032258064517"/>
    <n v="7249.1612903225805"/>
    <n v="2258.0645161290322"/>
    <n v="1231.3225806451612"/>
    <n v="30000"/>
    <n v="0"/>
    <n v="21000"/>
    <n v="30000"/>
    <n v="91612.903225806454"/>
    <n v="133542.94930875578"/>
    <n v="0"/>
    <n v="0"/>
    <n v="0"/>
  </r>
  <r>
    <x v="92"/>
    <x v="1"/>
    <x v="14"/>
    <s v="A) Día hábil"/>
    <x v="1"/>
    <x v="3"/>
    <n v="131250"/>
    <n v="375000"/>
    <n v="375000"/>
    <n v="0"/>
    <n v="59321.266666666663"/>
    <n v="16666.666666666668"/>
    <n v="7821.2666666666664"/>
    <n v="2333.3333333333335"/>
    <n v="12500"/>
    <n v="20000"/>
    <n v="0"/>
    <n v="15000"/>
    <n v="20000"/>
    <n v="71928.733333333337"/>
    <n v="169489.33333333334"/>
    <n v="0"/>
    <n v="59321.266666666663"/>
    <n v="169489.33333333334"/>
  </r>
  <r>
    <x v="93"/>
    <x v="1"/>
    <x v="14"/>
    <s v="A) Día hábil"/>
    <x v="2"/>
    <x v="3"/>
    <n v="59499.999999999993"/>
    <n v="170000"/>
    <n v="170000"/>
    <n v="0"/>
    <n v="59321.266666666663"/>
    <n v="16666.666666666668"/>
    <n v="7821.2666666666664"/>
    <n v="2333.3333333333335"/>
    <n v="12500"/>
    <n v="20000"/>
    <n v="0"/>
    <n v="15000"/>
    <n v="20000"/>
    <n v="178.73333333332994"/>
    <n v="169489.33333333334"/>
    <n v="0"/>
    <n v="59321.266666666663"/>
    <n v="169489.33333333334"/>
  </r>
  <r>
    <x v="94"/>
    <x v="1"/>
    <x v="14"/>
    <s v="A) Día hábil"/>
    <x v="3"/>
    <x v="3"/>
    <n v="91000"/>
    <n v="260000"/>
    <n v="260000"/>
    <n v="0"/>
    <n v="59321.266666666663"/>
    <n v="16666.666666666668"/>
    <n v="7821.2666666666664"/>
    <n v="2333.3333333333335"/>
    <n v="12500"/>
    <n v="20000"/>
    <n v="0"/>
    <n v="15000"/>
    <n v="20000"/>
    <n v="31678.733333333337"/>
    <n v="169489.33333333334"/>
    <n v="0"/>
    <n v="59321.266666666663"/>
    <n v="169489.33333333334"/>
  </r>
  <r>
    <x v="95"/>
    <x v="1"/>
    <x v="14"/>
    <s v="A) Día hábil"/>
    <x v="4"/>
    <x v="3"/>
    <n v="80500"/>
    <n v="230000"/>
    <n v="230000"/>
    <n v="0"/>
    <n v="59321.266666666663"/>
    <n v="16666.666666666668"/>
    <n v="7821.2666666666664"/>
    <n v="2333.3333333333335"/>
    <n v="12500"/>
    <n v="20000"/>
    <n v="0"/>
    <n v="15000"/>
    <n v="20000"/>
    <n v="21178.733333333337"/>
    <n v="169489.33333333334"/>
    <n v="0"/>
    <n v="59321.266666666663"/>
    <n v="169489.33333333334"/>
  </r>
  <r>
    <x v="96"/>
    <x v="1"/>
    <x v="14"/>
    <s v="C) Viernes"/>
    <x v="5"/>
    <x v="3"/>
    <n v="122499.99999999999"/>
    <n v="350000"/>
    <n v="350000"/>
    <n v="0"/>
    <n v="59321.266666666663"/>
    <n v="16666.666666666668"/>
    <n v="7821.2666666666664"/>
    <n v="2333.3333333333335"/>
    <n v="12500"/>
    <n v="20000"/>
    <n v="0"/>
    <n v="15000"/>
    <n v="20000"/>
    <n v="63178.733333333323"/>
    <n v="169489.33333333334"/>
    <n v="0"/>
    <n v="59321.266666666663"/>
    <n v="169489.33333333334"/>
  </r>
  <r>
    <x v="97"/>
    <x v="1"/>
    <x v="14"/>
    <s v="C) Sábado"/>
    <x v="6"/>
    <x v="3"/>
    <n v="105000"/>
    <n v="300000"/>
    <n v="300000"/>
    <n v="0"/>
    <n v="69321.266666666663"/>
    <n v="16666.666666666668"/>
    <n v="7821.2666666666664"/>
    <n v="2333.3333333333335"/>
    <n v="12500"/>
    <n v="30000"/>
    <n v="0"/>
    <n v="17000"/>
    <n v="30000"/>
    <n v="35678.733333333337"/>
    <n v="198060.76190476189"/>
    <n v="0"/>
    <n v="69321.266666666663"/>
    <n v="198060.76190476189"/>
  </r>
  <r>
    <x v="98"/>
    <x v="1"/>
    <x v="14"/>
    <s v="D) Domingo"/>
    <x v="0"/>
    <x v="3"/>
    <n v="70000"/>
    <n v="200000"/>
    <n v="200000"/>
    <n v="0"/>
    <n v="59321.266666666663"/>
    <n v="16666.666666666668"/>
    <n v="7821.2666666666664"/>
    <n v="2333.3333333333335"/>
    <n v="12500"/>
    <n v="20000"/>
    <n v="0"/>
    <n v="17000"/>
    <n v="30000"/>
    <n v="10678.733333333337"/>
    <n v="169489.33333333334"/>
    <n v="0"/>
    <n v="59321.266666666663"/>
    <n v="169489.33333333334"/>
  </r>
  <r>
    <x v="99"/>
    <x v="1"/>
    <x v="15"/>
    <s v="A) Día hábil"/>
    <x v="1"/>
    <x v="3"/>
    <n v="70000"/>
    <n v="200000"/>
    <n v="200000"/>
    <n v="0"/>
    <n v="59321.266666666663"/>
    <n v="16666.666666666668"/>
    <n v="7821.2666666666664"/>
    <n v="2333.3333333333335"/>
    <n v="12500"/>
    <n v="20000"/>
    <n v="0"/>
    <n v="15000"/>
    <n v="20000"/>
    <n v="10678.733333333337"/>
    <n v="169489.33333333334"/>
    <n v="0"/>
    <n v="59321.266666666663"/>
    <n v="169489.33333333334"/>
  </r>
  <r>
    <x v="100"/>
    <x v="1"/>
    <x v="15"/>
    <s v="A) Día hábil"/>
    <x v="2"/>
    <x v="3"/>
    <n v="77000"/>
    <n v="220000"/>
    <n v="220000"/>
    <n v="0"/>
    <n v="59321.266666666663"/>
    <n v="16666.666666666668"/>
    <n v="7821.2666666666664"/>
    <n v="2333.3333333333335"/>
    <n v="12500"/>
    <n v="20000"/>
    <n v="0"/>
    <n v="15000"/>
    <n v="20000"/>
    <n v="17678.733333333337"/>
    <n v="169489.33333333334"/>
    <n v="0"/>
    <n v="59321.266666666663"/>
    <n v="169489.33333333334"/>
  </r>
  <r>
    <x v="101"/>
    <x v="1"/>
    <x v="15"/>
    <s v="A) Día hábil"/>
    <x v="3"/>
    <x v="3"/>
    <n v="77000"/>
    <n v="220000"/>
    <n v="220000"/>
    <n v="0"/>
    <n v="59321.266666666663"/>
    <n v="16666.666666666668"/>
    <n v="7821.2666666666664"/>
    <n v="2333.3333333333335"/>
    <n v="12500"/>
    <n v="20000"/>
    <n v="0"/>
    <n v="15000"/>
    <n v="20000"/>
    <n v="17678.733333333337"/>
    <n v="169489.33333333334"/>
    <n v="0"/>
    <n v="59321.266666666663"/>
    <n v="169489.33333333334"/>
  </r>
  <r>
    <x v="102"/>
    <x v="1"/>
    <x v="15"/>
    <s v="A) Día hábil"/>
    <x v="4"/>
    <x v="3"/>
    <n v="59499.999999999993"/>
    <n v="170000"/>
    <n v="170000"/>
    <n v="0"/>
    <n v="59321.266666666663"/>
    <n v="16666.666666666668"/>
    <n v="7821.2666666666664"/>
    <n v="2333.3333333333335"/>
    <n v="12500"/>
    <n v="20000"/>
    <n v="0"/>
    <n v="15000"/>
    <n v="20000"/>
    <n v="178.73333333332994"/>
    <n v="169489.33333333334"/>
    <n v="0"/>
    <n v="59321.266666666663"/>
    <n v="169489.33333333334"/>
  </r>
  <r>
    <x v="103"/>
    <x v="1"/>
    <x v="15"/>
    <s v="C) Viernes"/>
    <x v="5"/>
    <x v="3"/>
    <n v="94500"/>
    <n v="270000"/>
    <n v="270000"/>
    <n v="0"/>
    <n v="59321.266666666663"/>
    <n v="16666.666666666668"/>
    <n v="7821.2666666666664"/>
    <n v="2333.3333333333335"/>
    <n v="12500"/>
    <n v="20000"/>
    <n v="0"/>
    <n v="15000"/>
    <n v="20000"/>
    <n v="35178.733333333337"/>
    <n v="169489.33333333334"/>
    <n v="0"/>
    <n v="59321.266666666663"/>
    <n v="169489.33333333334"/>
  </r>
  <r>
    <x v="104"/>
    <x v="1"/>
    <x v="15"/>
    <s v="C) Sábado"/>
    <x v="6"/>
    <x v="3"/>
    <n v="129499.99999999999"/>
    <n v="370000"/>
    <n v="370000"/>
    <n v="0"/>
    <n v="69321.266666666663"/>
    <n v="16666.666666666668"/>
    <n v="7821.2666666666664"/>
    <n v="2333.3333333333335"/>
    <n v="12500"/>
    <n v="30000"/>
    <n v="0"/>
    <n v="17000"/>
    <n v="30000"/>
    <n v="60178.733333333323"/>
    <n v="198060.76190476189"/>
    <n v="0"/>
    <n v="69321.266666666663"/>
    <n v="198060.76190476189"/>
  </r>
  <r>
    <x v="105"/>
    <x v="1"/>
    <x v="15"/>
    <s v="D) Domingo"/>
    <x v="0"/>
    <x v="3"/>
    <n v="140000"/>
    <n v="400000"/>
    <n v="400000"/>
    <n v="0"/>
    <n v="69321.266666666663"/>
    <n v="16666.666666666668"/>
    <n v="7821.2666666666664"/>
    <n v="2333.3333333333335"/>
    <n v="12500"/>
    <n v="30000"/>
    <n v="0"/>
    <n v="17000"/>
    <n v="30000"/>
    <n v="70678.733333333337"/>
    <n v="198060.76190476189"/>
    <n v="0"/>
    <n v="69321.266666666663"/>
    <n v="198060.76190476189"/>
  </r>
  <r>
    <x v="106"/>
    <x v="1"/>
    <x v="16"/>
    <s v="E) Festivo"/>
    <x v="1"/>
    <x v="3"/>
    <n v="115499.99999999999"/>
    <n v="330000"/>
    <n v="330000"/>
    <n v="0"/>
    <n v="59321.266666666663"/>
    <n v="16666.666666666668"/>
    <n v="7821.2666666666664"/>
    <n v="2333.3333333333335"/>
    <n v="12500"/>
    <n v="20000"/>
    <n v="0"/>
    <n v="15000"/>
    <n v="20000"/>
    <n v="56178.733333333323"/>
    <n v="169489.33333333334"/>
    <n v="0"/>
    <n v="59321.266666666663"/>
    <n v="169489.33333333334"/>
  </r>
  <r>
    <x v="107"/>
    <x v="1"/>
    <x v="16"/>
    <s v="A) Día hábil"/>
    <x v="2"/>
    <x v="3"/>
    <n v="140000"/>
    <n v="400000"/>
    <n v="400000"/>
    <n v="0"/>
    <n v="59321.266666666663"/>
    <n v="16666.666666666668"/>
    <n v="7821.2666666666664"/>
    <n v="2333.3333333333335"/>
    <n v="12500"/>
    <n v="20000"/>
    <n v="0"/>
    <n v="15000"/>
    <n v="20000"/>
    <n v="80678.733333333337"/>
    <n v="169489.33333333334"/>
    <n v="0"/>
    <n v="59321.266666666663"/>
    <n v="169489.33333333334"/>
  </r>
  <r>
    <x v="108"/>
    <x v="1"/>
    <x v="16"/>
    <s v="A) Día hábil"/>
    <x v="3"/>
    <x v="3"/>
    <n v="112000"/>
    <n v="320000"/>
    <n v="320000"/>
    <n v="0"/>
    <n v="59321.266666666663"/>
    <n v="16666.666666666668"/>
    <n v="7821.2666666666664"/>
    <n v="2333.3333333333335"/>
    <n v="12500"/>
    <n v="20000"/>
    <n v="0"/>
    <n v="15000"/>
    <n v="20000"/>
    <n v="52678.733333333337"/>
    <n v="169489.33333333334"/>
    <n v="0"/>
    <n v="59321.266666666663"/>
    <n v="169489.33333333334"/>
  </r>
  <r>
    <x v="109"/>
    <x v="1"/>
    <x v="16"/>
    <s v="A) Día hábil"/>
    <x v="4"/>
    <x v="3"/>
    <n v="115499.99999999999"/>
    <n v="330000"/>
    <n v="330000"/>
    <n v="0"/>
    <n v="59321.266666666663"/>
    <n v="16666.666666666668"/>
    <n v="7821.2666666666664"/>
    <n v="2333.3333333333335"/>
    <n v="12500"/>
    <n v="20000"/>
    <n v="0"/>
    <n v="15000"/>
    <n v="20000"/>
    <n v="56178.733333333323"/>
    <n v="169489.33333333334"/>
    <n v="0"/>
    <n v="59321.266666666663"/>
    <n v="169489.33333333334"/>
  </r>
  <r>
    <x v="110"/>
    <x v="1"/>
    <x v="16"/>
    <s v="C) Viernes"/>
    <x v="5"/>
    <x v="3"/>
    <n v="91000"/>
    <n v="285000"/>
    <n v="260000"/>
    <n v="25000"/>
    <n v="59321.266666666663"/>
    <n v="16666.666666666668"/>
    <n v="7821.2666666666664"/>
    <n v="2333.3333333333335"/>
    <n v="12500"/>
    <n v="20000"/>
    <n v="0"/>
    <n v="15000"/>
    <n v="20000"/>
    <n v="31678.733333333337"/>
    <n v="169489.33333333334"/>
    <n v="0"/>
    <n v="59321.266666666663"/>
    <n v="169489.33333333334"/>
  </r>
  <r>
    <x v="111"/>
    <x v="1"/>
    <x v="16"/>
    <s v="C) Sábado"/>
    <x v="6"/>
    <x v="3"/>
    <n v="122499.99999999999"/>
    <n v="350000"/>
    <n v="350000"/>
    <n v="0"/>
    <n v="69321.266666666663"/>
    <n v="16666.666666666668"/>
    <n v="7821.2666666666664"/>
    <n v="2333.3333333333335"/>
    <n v="12500"/>
    <n v="30000"/>
    <n v="0"/>
    <n v="17000"/>
    <n v="30000"/>
    <n v="53178.733333333323"/>
    <n v="198060.76190476189"/>
    <n v="0"/>
    <n v="69321.266666666663"/>
    <n v="198060.76190476189"/>
  </r>
  <r>
    <x v="112"/>
    <x v="1"/>
    <x v="16"/>
    <s v="D) Domingo"/>
    <x v="0"/>
    <x v="3"/>
    <n v="133000"/>
    <n v="380000"/>
    <n v="380000"/>
    <n v="0"/>
    <n v="69321.266666666663"/>
    <n v="16666.666666666668"/>
    <n v="7821.2666666666664"/>
    <n v="2333.3333333333335"/>
    <n v="12500"/>
    <n v="30000"/>
    <n v="0"/>
    <n v="17000"/>
    <n v="30000"/>
    <n v="63678.733333333337"/>
    <n v="198060.76190476189"/>
    <n v="0"/>
    <n v="69321.266666666663"/>
    <n v="198060.76190476189"/>
  </r>
  <r>
    <x v="113"/>
    <x v="1"/>
    <x v="17"/>
    <s v="E) Festivo"/>
    <x v="1"/>
    <x v="3"/>
    <n v="133000"/>
    <n v="380000"/>
    <n v="380000"/>
    <n v="0"/>
    <n v="59321.266666666663"/>
    <n v="16666.666666666668"/>
    <n v="7821.2666666666664"/>
    <n v="2333.3333333333335"/>
    <n v="12500"/>
    <n v="20000"/>
    <n v="0"/>
    <n v="15000"/>
    <n v="20000"/>
    <n v="73678.733333333337"/>
    <n v="169489.33333333334"/>
    <n v="0"/>
    <n v="59321.266666666663"/>
    <n v="169489.33333333334"/>
  </r>
  <r>
    <x v="114"/>
    <x v="1"/>
    <x v="17"/>
    <s v="A) Día hábil"/>
    <x v="2"/>
    <x v="3"/>
    <n v="87500"/>
    <n v="250000"/>
    <n v="250000"/>
    <n v="0"/>
    <n v="59321.266666666663"/>
    <n v="16666.666666666668"/>
    <n v="7821.2666666666664"/>
    <n v="2333.3333333333335"/>
    <n v="12500"/>
    <n v="20000"/>
    <n v="0"/>
    <n v="15000"/>
    <n v="20000"/>
    <n v="28178.733333333337"/>
    <n v="169489.33333333334"/>
    <n v="0"/>
    <n v="59321.266666666663"/>
    <n v="169489.33333333334"/>
  </r>
  <r>
    <x v="115"/>
    <x v="1"/>
    <x v="17"/>
    <s v="A) Día hábil"/>
    <x v="3"/>
    <x v="3"/>
    <n v="105000"/>
    <n v="300000"/>
    <n v="300000"/>
    <n v="0"/>
    <n v="59321.266666666663"/>
    <n v="16666.666666666668"/>
    <n v="7821.2666666666664"/>
    <n v="2333.3333333333335"/>
    <n v="12500"/>
    <n v="20000"/>
    <n v="0"/>
    <n v="15000"/>
    <n v="20000"/>
    <n v="45678.733333333337"/>
    <n v="169489.33333333334"/>
    <n v="0"/>
    <n v="59321.266666666663"/>
    <n v="169489.33333333334"/>
  </r>
  <r>
    <x v="116"/>
    <x v="1"/>
    <x v="17"/>
    <s v="A) Día hábil"/>
    <x v="4"/>
    <x v="3"/>
    <n v="70000"/>
    <n v="200000"/>
    <n v="200000"/>
    <n v="0"/>
    <n v="59321.266666666663"/>
    <n v="16666.666666666668"/>
    <n v="7821.2666666666664"/>
    <n v="2333.3333333333335"/>
    <n v="12500"/>
    <n v="20000"/>
    <n v="0"/>
    <n v="15000"/>
    <n v="20000"/>
    <n v="10678.733333333337"/>
    <n v="169489.33333333334"/>
    <n v="0"/>
    <n v="59321.266666666663"/>
    <n v="169489.33333333334"/>
  </r>
  <r>
    <x v="117"/>
    <x v="1"/>
    <x v="17"/>
    <s v="C) Viernes"/>
    <x v="5"/>
    <x v="3"/>
    <n v="157500"/>
    <n v="450000"/>
    <n v="450000"/>
    <n v="0"/>
    <n v="59321.266666666663"/>
    <n v="16666.666666666668"/>
    <n v="7821.2666666666664"/>
    <n v="2333.3333333333335"/>
    <n v="12500"/>
    <n v="20000"/>
    <n v="0"/>
    <n v="15000"/>
    <n v="20000"/>
    <n v="98178.733333333337"/>
    <n v="169489.33333333334"/>
    <n v="0"/>
    <n v="59321.266666666663"/>
    <n v="169489.33333333334"/>
  </r>
  <r>
    <x v="118"/>
    <x v="1"/>
    <x v="17"/>
    <s v="C) Sábado"/>
    <x v="6"/>
    <x v="3"/>
    <n v="62999.999999999993"/>
    <n v="180000"/>
    <n v="180000"/>
    <n v="0"/>
    <n v="69321.266666666663"/>
    <n v="16666.666666666668"/>
    <n v="7821.2666666666664"/>
    <n v="2333.3333333333335"/>
    <n v="12500"/>
    <n v="30000"/>
    <n v="0"/>
    <n v="17000"/>
    <n v="30000"/>
    <n v="-6321.2666666666701"/>
    <n v="198060.76190476189"/>
    <n v="0"/>
    <n v="69321.266666666663"/>
    <n v="198060.76190476189"/>
  </r>
  <r>
    <x v="119"/>
    <x v="1"/>
    <x v="17"/>
    <s v="D) Domingo"/>
    <x v="0"/>
    <x v="3"/>
    <n v="105000"/>
    <n v="300000"/>
    <n v="300000"/>
    <n v="0"/>
    <n v="69321.266666666663"/>
    <n v="16666.666666666668"/>
    <n v="7821.2666666666664"/>
    <n v="2333.3333333333335"/>
    <n v="12500"/>
    <n v="30000"/>
    <n v="0"/>
    <n v="17000"/>
    <n v="30000"/>
    <n v="35678.733333333337"/>
    <n v="198060.76190476189"/>
    <n v="0"/>
    <n v="69321.266666666663"/>
    <n v="198060.76190476189"/>
  </r>
  <r>
    <x v="120"/>
    <x v="1"/>
    <x v="18"/>
    <s v="E) Festivo"/>
    <x v="1"/>
    <x v="3"/>
    <n v="70000"/>
    <n v="200000"/>
    <n v="200000"/>
    <n v="0"/>
    <n v="59321.266666666663"/>
    <n v="16666.666666666668"/>
    <n v="7821.2666666666664"/>
    <n v="2333.3333333333335"/>
    <n v="12500"/>
    <n v="20000"/>
    <n v="0"/>
    <n v="15000"/>
    <n v="20000"/>
    <n v="10678.733333333337"/>
    <n v="169489.33333333334"/>
    <n v="0"/>
    <n v="59321.266666666663"/>
    <n v="169489.33333333334"/>
  </r>
  <r>
    <x v="121"/>
    <x v="1"/>
    <x v="18"/>
    <s v="A) Día hábil"/>
    <x v="2"/>
    <x v="3"/>
    <n v="105000"/>
    <n v="300000"/>
    <n v="300000"/>
    <n v="0"/>
    <n v="59321.266666666663"/>
    <n v="16666.666666666668"/>
    <n v="7821.2666666666664"/>
    <n v="2333.3333333333335"/>
    <n v="12500"/>
    <n v="20000"/>
    <n v="0"/>
    <n v="15000"/>
    <n v="20000"/>
    <n v="45678.733333333337"/>
    <n v="169489.33333333334"/>
    <n v="0"/>
    <n v="59321.266666666663"/>
    <n v="169489.33333333334"/>
  </r>
  <r>
    <x v="122"/>
    <x v="1"/>
    <x v="18"/>
    <s v="A) Día hábil"/>
    <x v="3"/>
    <x v="4"/>
    <n v="133000"/>
    <n v="380000"/>
    <n v="380000"/>
    <n v="0"/>
    <n v="35313.677419354834"/>
    <n v="24193.548387096773"/>
    <n v="7249.1612903225805"/>
    <n v="3870.9677419354839"/>
    <n v="0"/>
    <n v="0"/>
    <n v="0"/>
    <n v="0"/>
    <n v="0"/>
    <n v="97686.322580645166"/>
    <n v="88284.193548387077"/>
    <n v="13387.096774193549"/>
    <n v="48700.774193548379"/>
    <n v="121751.93548387094"/>
  </r>
  <r>
    <x v="123"/>
    <x v="1"/>
    <x v="18"/>
    <s v="A) Día hábil"/>
    <x v="4"/>
    <x v="4"/>
    <n v="142485"/>
    <n v="407100"/>
    <n v="407100"/>
    <n v="0"/>
    <n v="35313.677419354834"/>
    <n v="24193.548387096773"/>
    <n v="7249.1612903225805"/>
    <n v="3870.9677419354839"/>
    <n v="0"/>
    <n v="0"/>
    <n v="0"/>
    <n v="0"/>
    <n v="0"/>
    <n v="107171.32258064517"/>
    <n v="88284.193548387077"/>
    <n v="13387.096774193549"/>
    <n v="48700.774193548379"/>
    <n v="121751.93548387094"/>
  </r>
  <r>
    <x v="124"/>
    <x v="1"/>
    <x v="18"/>
    <s v="C) Viernes"/>
    <x v="5"/>
    <x v="4"/>
    <n v="133000"/>
    <n v="380000"/>
    <n v="380000"/>
    <n v="0"/>
    <n v="35313.677419354834"/>
    <n v="24193.548387096773"/>
    <n v="7249.1612903225805"/>
    <n v="3870.9677419354839"/>
    <n v="0"/>
    <n v="0"/>
    <n v="0"/>
    <n v="0"/>
    <n v="0"/>
    <n v="97686.322580645166"/>
    <n v="88284.193548387077"/>
    <n v="13387.096774193549"/>
    <n v="48700.774193548379"/>
    <n v="121751.93548387094"/>
  </r>
  <r>
    <x v="125"/>
    <x v="1"/>
    <x v="18"/>
    <s v="C) Sábado"/>
    <x v="6"/>
    <x v="4"/>
    <n v="171500"/>
    <n v="490000"/>
    <n v="490000"/>
    <n v="0"/>
    <n v="35313.677419354834"/>
    <n v="24193.548387096773"/>
    <n v="7249.1612903225805"/>
    <n v="3870.9677419354839"/>
    <n v="0"/>
    <n v="0"/>
    <n v="0"/>
    <n v="0"/>
    <n v="0"/>
    <n v="136186.32258064515"/>
    <n v="88284.193548387077"/>
    <n v="13387.096774193549"/>
    <n v="48700.774193548379"/>
    <n v="121751.93548387094"/>
  </r>
  <r>
    <x v="126"/>
    <x v="1"/>
    <x v="18"/>
    <s v="D) Domingo"/>
    <x v="0"/>
    <x v="4"/>
    <n v="157500"/>
    <n v="450000"/>
    <n v="450000"/>
    <n v="0"/>
    <n v="35313.677419354834"/>
    <n v="24193.548387096773"/>
    <n v="7249.1612903225805"/>
    <n v="3870.9677419354839"/>
    <n v="0"/>
    <n v="0"/>
    <n v="0"/>
    <n v="0"/>
    <n v="0"/>
    <n v="122186.32258064517"/>
    <n v="88284.193548387077"/>
    <n v="13387.096774193549"/>
    <n v="48700.774193548379"/>
    <n v="121751.93548387094"/>
  </r>
  <r>
    <x v="127"/>
    <x v="1"/>
    <x v="19"/>
    <s v="A) Día hábil"/>
    <x v="1"/>
    <x v="4"/>
    <n v="75250"/>
    <n v="215000"/>
    <n v="215000"/>
    <n v="0"/>
    <n v="35313.677419354834"/>
    <n v="24193.548387096773"/>
    <n v="7249.1612903225805"/>
    <n v="3870.9677419354839"/>
    <n v="0"/>
    <n v="0"/>
    <n v="0"/>
    <n v="0"/>
    <n v="0"/>
    <n v="39936.322580645166"/>
    <n v="88284.193548387077"/>
    <n v="13387.096774193549"/>
    <n v="48700.774193548379"/>
    <n v="121751.93548387094"/>
  </r>
  <r>
    <x v="128"/>
    <x v="1"/>
    <x v="19"/>
    <s v="A) Día hábil"/>
    <x v="2"/>
    <x v="4"/>
    <n v="87500"/>
    <n v="250000"/>
    <n v="250000"/>
    <n v="0"/>
    <n v="35313.677419354834"/>
    <n v="24193.548387096773"/>
    <n v="7249.1612903225805"/>
    <n v="3870.9677419354839"/>
    <n v="0"/>
    <n v="0"/>
    <n v="0"/>
    <n v="0"/>
    <n v="0"/>
    <n v="52186.322580645166"/>
    <n v="88284.193548387077"/>
    <n v="13387.096774193549"/>
    <n v="48700.774193548379"/>
    <n v="121751.93548387094"/>
  </r>
  <r>
    <x v="129"/>
    <x v="1"/>
    <x v="19"/>
    <s v="A) Día hábil"/>
    <x v="3"/>
    <x v="4"/>
    <n v="52500"/>
    <n v="150000"/>
    <n v="150000"/>
    <n v="0"/>
    <n v="35313.677419354834"/>
    <n v="24193.548387096773"/>
    <n v="7249.1612903225805"/>
    <n v="3870.9677419354839"/>
    <n v="0"/>
    <n v="0"/>
    <n v="0"/>
    <n v="0"/>
    <n v="0"/>
    <n v="17186.322580645166"/>
    <n v="88284.193548387077"/>
    <n v="13387.096774193549"/>
    <n v="48700.774193548379"/>
    <n v="121751.93548387094"/>
  </r>
  <r>
    <x v="130"/>
    <x v="1"/>
    <x v="19"/>
    <s v="A) Día hábil"/>
    <x v="4"/>
    <x v="4"/>
    <n v="56000"/>
    <n v="160000"/>
    <n v="160000"/>
    <n v="0"/>
    <n v="35313.677419354834"/>
    <n v="24193.548387096773"/>
    <n v="7249.1612903225805"/>
    <n v="3870.9677419354839"/>
    <n v="0"/>
    <n v="0"/>
    <n v="0"/>
    <n v="0"/>
    <n v="0"/>
    <n v="20686.322580645166"/>
    <n v="88284.193548387077"/>
    <n v="13387.096774193549"/>
    <n v="48700.774193548379"/>
    <n v="121751.93548387094"/>
  </r>
  <r>
    <x v="131"/>
    <x v="1"/>
    <x v="19"/>
    <s v="C) Viernes"/>
    <x v="5"/>
    <x v="4"/>
    <n v="74400"/>
    <n v="240000"/>
    <n v="240000"/>
    <n v="0"/>
    <n v="55313.677419354834"/>
    <n v="24193.548387096773"/>
    <n v="7249.1612903225805"/>
    <n v="3870.9677419354839"/>
    <n v="0"/>
    <n v="20000"/>
    <n v="0"/>
    <n v="0"/>
    <n v="0"/>
    <n v="19086.322580645166"/>
    <n v="138284.19354838706"/>
    <n v="13387.096774193549"/>
    <n v="68700.774193548379"/>
    <n v="171751.93548387094"/>
  </r>
  <r>
    <x v="132"/>
    <x v="1"/>
    <x v="19"/>
    <s v="C) Sábado"/>
    <x v="6"/>
    <x v="4"/>
    <n v="111600"/>
    <n v="360000"/>
    <n v="360000"/>
    <n v="0"/>
    <n v="75313.677419354834"/>
    <n v="24193.548387096773"/>
    <n v="7249.1612903225805"/>
    <n v="3870.9677419354839"/>
    <n v="0"/>
    <n v="40000"/>
    <n v="0"/>
    <n v="0"/>
    <n v="0"/>
    <n v="36286.322580645166"/>
    <n v="188284.19354838706"/>
    <n v="13387.096774193549"/>
    <n v="88700.774193548379"/>
    <n v="221751.93548387094"/>
  </r>
  <r>
    <x v="133"/>
    <x v="1"/>
    <x v="19"/>
    <s v="D) Domingo"/>
    <x v="0"/>
    <x v="4"/>
    <n v="217000"/>
    <n v="700000"/>
    <n v="700000"/>
    <n v="0"/>
    <n v="85313.677419354834"/>
    <n v="24193.548387096773"/>
    <n v="7249.1612903225805"/>
    <n v="3870.9677419354839"/>
    <n v="0"/>
    <n v="50000"/>
    <n v="0"/>
    <n v="0"/>
    <n v="0"/>
    <n v="131686.32258064515"/>
    <n v="213284.19354838706"/>
    <n v="13387.096774193549"/>
    <n v="98700.774193548379"/>
    <n v="246751.93548387094"/>
  </r>
  <r>
    <x v="134"/>
    <x v="1"/>
    <x v="20"/>
    <s v="A) Día hábil"/>
    <x v="1"/>
    <x v="4"/>
    <n v="50220"/>
    <n v="162000"/>
    <n v="162000"/>
    <n v="0"/>
    <n v="70313.677419354834"/>
    <n v="24193.548387096773"/>
    <n v="7249.1612903225805"/>
    <n v="3870.9677419354839"/>
    <n v="0"/>
    <n v="35000"/>
    <n v="0"/>
    <n v="0"/>
    <n v="0"/>
    <n v="-20093.677419354834"/>
    <n v="175784.19354838706"/>
    <n v="13387.096774193549"/>
    <n v="83700.774193548379"/>
    <n v="209251.93548387094"/>
  </r>
  <r>
    <x v="135"/>
    <x v="1"/>
    <x v="20"/>
    <s v="A) Día hábil"/>
    <x v="2"/>
    <x v="4"/>
    <n v="87110"/>
    <n v="281000"/>
    <n v="281000"/>
    <n v="0"/>
    <n v="55313.677419354834"/>
    <n v="24193.548387096773"/>
    <n v="7249.1612903225805"/>
    <n v="3870.9677419354839"/>
    <n v="0"/>
    <n v="20000"/>
    <n v="0"/>
    <n v="0"/>
    <n v="0"/>
    <n v="31796.322580645166"/>
    <n v="138284.19354838706"/>
    <n v="13387.096774193549"/>
    <n v="68700.774193548379"/>
    <n v="171751.93548387094"/>
  </r>
  <r>
    <x v="136"/>
    <x v="1"/>
    <x v="20"/>
    <s v="A) Día hábil"/>
    <x v="3"/>
    <x v="4"/>
    <n v="15500"/>
    <n v="50000"/>
    <n v="50000"/>
    <n v="0"/>
    <n v="51313.677419354834"/>
    <n v="24193.548387096773"/>
    <n v="7249.1612903225805"/>
    <n v="3870.9677419354839"/>
    <n v="0"/>
    <n v="16000"/>
    <n v="0"/>
    <n v="0"/>
    <n v="0"/>
    <n v="-35813.677419354834"/>
    <n v="128284.19354838708"/>
    <n v="13387.096774193549"/>
    <n v="64700.774193548379"/>
    <n v="161751.93548387094"/>
  </r>
  <r>
    <x v="137"/>
    <x v="1"/>
    <x v="20"/>
    <s v="A) Día hábil"/>
    <x v="4"/>
    <x v="4"/>
    <n v="135160"/>
    <n v="436000"/>
    <n v="436000"/>
    <n v="0"/>
    <n v="60313.677419354834"/>
    <n v="24193.548387096773"/>
    <n v="7249.1612903225805"/>
    <n v="3870.9677419354839"/>
    <n v="0"/>
    <n v="25000"/>
    <n v="0"/>
    <n v="0"/>
    <n v="0"/>
    <n v="74846.322580645166"/>
    <n v="150784.19354838706"/>
    <n v="13387.096774193549"/>
    <n v="73700.774193548379"/>
    <n v="184251.93548387094"/>
  </r>
  <r>
    <x v="138"/>
    <x v="1"/>
    <x v="20"/>
    <s v="C) Viernes"/>
    <x v="5"/>
    <x v="4"/>
    <n v="128650"/>
    <n v="415000"/>
    <n v="415000"/>
    <n v="0"/>
    <n v="45313.677419354834"/>
    <n v="24193.548387096773"/>
    <n v="7249.1612903225805"/>
    <n v="3870.9677419354839"/>
    <n v="0"/>
    <n v="10000"/>
    <n v="0"/>
    <n v="0"/>
    <n v="0"/>
    <n v="83336.322580645166"/>
    <n v="113284.19354838708"/>
    <n v="13387.096774193549"/>
    <n v="58700.774193548379"/>
    <n v="146751.93548387094"/>
  </r>
  <r>
    <x v="139"/>
    <x v="1"/>
    <x v="20"/>
    <s v="C) Sábado"/>
    <x v="6"/>
    <x v="4"/>
    <n v="85250"/>
    <n v="275000"/>
    <n v="275000"/>
    <n v="0"/>
    <n v="80313.677419354834"/>
    <n v="24193.548387096773"/>
    <n v="7249.1612903225805"/>
    <n v="3870.9677419354839"/>
    <n v="0"/>
    <n v="45000"/>
    <n v="0"/>
    <n v="0"/>
    <n v="0"/>
    <n v="4936.3225806451665"/>
    <n v="200784.19354838706"/>
    <n v="13387.096774193549"/>
    <n v="93700.774193548379"/>
    <n v="234251.93548387094"/>
  </r>
  <r>
    <x v="140"/>
    <x v="1"/>
    <x v="20"/>
    <s v="D) Domingo"/>
    <x v="0"/>
    <x v="4"/>
    <n v="99200"/>
    <n v="320000"/>
    <n v="320000"/>
    <n v="0"/>
    <n v="65313.677419354834"/>
    <n v="24193.548387096773"/>
    <n v="7249.1612903225805"/>
    <n v="3870.9677419354839"/>
    <n v="0"/>
    <n v="30000"/>
    <n v="0"/>
    <n v="0"/>
    <n v="0"/>
    <n v="33886.322580645166"/>
    <n v="163284.19354838706"/>
    <n v="13387.096774193549"/>
    <n v="78700.774193548379"/>
    <n v="196751.93548387094"/>
  </r>
  <r>
    <x v="141"/>
    <x v="1"/>
    <x v="21"/>
    <s v="E) Festivo"/>
    <x v="1"/>
    <x v="4"/>
    <n v="71300"/>
    <n v="230000"/>
    <n v="230000"/>
    <n v="0"/>
    <n v="55313.677419354834"/>
    <n v="24193.548387096773"/>
    <n v="7249.1612903225805"/>
    <n v="3870.9677419354839"/>
    <n v="0"/>
    <n v="20000"/>
    <n v="0"/>
    <n v="0"/>
    <n v="0"/>
    <n v="15986.322580645166"/>
    <n v="138284.19354838706"/>
    <n v="13387.096774193549"/>
    <n v="68700.774193548379"/>
    <n v="171751.93548387094"/>
  </r>
  <r>
    <x v="142"/>
    <x v="1"/>
    <x v="21"/>
    <s v="A) Día hábil"/>
    <x v="2"/>
    <x v="4"/>
    <n v="67580"/>
    <n v="218000"/>
    <n v="218000"/>
    <n v="0"/>
    <n v="55313.677419354834"/>
    <n v="24193.548387096773"/>
    <n v="7249.1612903225805"/>
    <n v="3870.9677419354839"/>
    <n v="0"/>
    <n v="20000"/>
    <n v="0"/>
    <n v="0"/>
    <n v="0"/>
    <n v="12266.322580645166"/>
    <n v="138284.19354838706"/>
    <n v="13387.096774193549"/>
    <n v="68700.774193548379"/>
    <n v="171751.93548387094"/>
  </r>
  <r>
    <x v="143"/>
    <x v="1"/>
    <x v="21"/>
    <s v="A) Día hábil"/>
    <x v="3"/>
    <x v="4"/>
    <n v="30380"/>
    <n v="98000"/>
    <n v="98000"/>
    <n v="0"/>
    <n v="60313.677419354834"/>
    <n v="24193.548387096773"/>
    <n v="7249.1612903225805"/>
    <n v="3870.9677419354839"/>
    <n v="0"/>
    <n v="25000"/>
    <n v="0"/>
    <n v="0"/>
    <n v="0"/>
    <n v="-29933.677419354834"/>
    <n v="150784.19354838706"/>
    <n v="13387.096774193549"/>
    <n v="73700.774193548379"/>
    <n v="184251.93548387094"/>
  </r>
  <r>
    <x v="144"/>
    <x v="1"/>
    <x v="21"/>
    <s v="A) Día hábil"/>
    <x v="4"/>
    <x v="4"/>
    <n v="107570"/>
    <n v="347000"/>
    <n v="347000"/>
    <n v="0"/>
    <n v="60313.677419354834"/>
    <n v="24193.548387096773"/>
    <n v="7249.1612903225805"/>
    <n v="3870.9677419354839"/>
    <n v="0"/>
    <n v="25000"/>
    <n v="0"/>
    <n v="0"/>
    <n v="0"/>
    <n v="47256.322580645166"/>
    <n v="150784.19354838706"/>
    <n v="13387.096774193549"/>
    <n v="73700.774193548379"/>
    <n v="184251.93548387094"/>
  </r>
  <r>
    <x v="145"/>
    <x v="1"/>
    <x v="21"/>
    <s v="C) Viernes"/>
    <x v="5"/>
    <x v="4"/>
    <n v="125860"/>
    <n v="406000"/>
    <n v="406000"/>
    <n v="0"/>
    <n v="70313.677419354834"/>
    <n v="24193.548387096773"/>
    <n v="7249.1612903225805"/>
    <n v="3870.9677419354839"/>
    <n v="0"/>
    <n v="35000"/>
    <n v="0"/>
    <n v="0"/>
    <n v="0"/>
    <n v="55546.322580645166"/>
    <n v="175784.19354838706"/>
    <n v="13387.096774193549"/>
    <n v="83700.774193548379"/>
    <n v="209251.93548387094"/>
  </r>
  <r>
    <x v="146"/>
    <x v="1"/>
    <x v="21"/>
    <s v="C) Sábado"/>
    <x v="6"/>
    <x v="4"/>
    <n v="71300"/>
    <n v="230000"/>
    <n v="230000"/>
    <n v="0"/>
    <n v="35313.677419354834"/>
    <n v="24193.548387096773"/>
    <n v="7249.1612903225805"/>
    <n v="3870.9677419354839"/>
    <n v="0"/>
    <n v="0"/>
    <n v="0"/>
    <n v="0"/>
    <n v="0"/>
    <n v="35986.322580645166"/>
    <n v="88284.193548387077"/>
    <n v="13387.096774193549"/>
    <n v="48700.774193548379"/>
    <n v="121751.93548387094"/>
  </r>
  <r>
    <x v="147"/>
    <x v="1"/>
    <x v="21"/>
    <s v="D) Domingo"/>
    <x v="0"/>
    <x v="4"/>
    <n v="289230"/>
    <n v="933000"/>
    <n v="933000"/>
    <n v="0"/>
    <n v="85313.677419354834"/>
    <n v="24193.548387096773"/>
    <n v="7249.1612903225805"/>
    <n v="3870.9677419354839"/>
    <n v="0"/>
    <n v="50000"/>
    <n v="0"/>
    <n v="0"/>
    <n v="0"/>
    <n v="203916.32258064515"/>
    <n v="213284.19354838706"/>
    <n v="13387.096774193549"/>
    <n v="98700.774193548379"/>
    <n v="246751.93548387094"/>
  </r>
  <r>
    <x v="148"/>
    <x v="1"/>
    <x v="22"/>
    <s v="A) Día hábil"/>
    <x v="1"/>
    <x v="4"/>
    <n v="106640"/>
    <n v="344000"/>
    <n v="344000"/>
    <n v="0"/>
    <n v="85313.677419354834"/>
    <n v="24193.548387096773"/>
    <n v="7249.1612903225805"/>
    <n v="3870.9677419354839"/>
    <n v="0"/>
    <n v="50000"/>
    <n v="0"/>
    <n v="0"/>
    <n v="0"/>
    <n v="21326.322580645166"/>
    <n v="213284.19354838706"/>
    <n v="13387.096774193549"/>
    <n v="98700.774193548379"/>
    <n v="246751.93548387094"/>
  </r>
  <r>
    <x v="149"/>
    <x v="1"/>
    <x v="22"/>
    <s v="A) Día hábil"/>
    <x v="2"/>
    <x v="4"/>
    <n v="68200"/>
    <n v="220000"/>
    <n v="220000"/>
    <n v="0"/>
    <n v="80313.677419354834"/>
    <n v="24193.548387096773"/>
    <n v="7249.1612903225805"/>
    <n v="3870.9677419354839"/>
    <n v="0"/>
    <n v="45000"/>
    <n v="0"/>
    <n v="0"/>
    <n v="0"/>
    <n v="-12113.677419354834"/>
    <n v="200784.19354838706"/>
    <n v="13387.096774193549"/>
    <n v="93700.774193548379"/>
    <n v="234251.93548387094"/>
  </r>
  <r>
    <x v="150"/>
    <x v="1"/>
    <x v="22"/>
    <s v="A) Día hábil"/>
    <x v="3"/>
    <x v="4"/>
    <n v="54250"/>
    <n v="175000"/>
    <n v="175000"/>
    <n v="0"/>
    <n v="68313.677419354834"/>
    <n v="24193.548387096773"/>
    <n v="7249.1612903225805"/>
    <n v="3870.9677419354839"/>
    <n v="0"/>
    <n v="33000"/>
    <n v="0"/>
    <n v="0"/>
    <n v="0"/>
    <n v="-14063.677419354834"/>
    <n v="170784.19354838706"/>
    <n v="13387.096774193549"/>
    <n v="81700.774193548379"/>
    <n v="204251.93548387094"/>
  </r>
  <r>
    <x v="151"/>
    <x v="1"/>
    <x v="22"/>
    <s v="A) Día hábil"/>
    <x v="4"/>
    <x v="4"/>
    <n v="86800"/>
    <n v="280000"/>
    <n v="280000"/>
    <n v="0"/>
    <n v="47313.677419354834"/>
    <n v="24193.548387096773"/>
    <n v="7249.1612903225805"/>
    <n v="3870.9677419354839"/>
    <n v="0"/>
    <n v="12000"/>
    <n v="0"/>
    <n v="0"/>
    <n v="0"/>
    <n v="39486.322580645166"/>
    <n v="118284.19354838708"/>
    <n v="13387.096774193549"/>
    <n v="60700.774193548379"/>
    <n v="151751.93548387094"/>
  </r>
  <r>
    <x v="152"/>
    <x v="1"/>
    <x v="22"/>
    <s v="C) Viernes"/>
    <x v="5"/>
    <x v="4"/>
    <n v="84320"/>
    <n v="272000"/>
    <n v="272000"/>
    <n v="0"/>
    <n v="60313.677419354834"/>
    <n v="24193.548387096773"/>
    <n v="7249.1612903225805"/>
    <n v="3870.9677419354839"/>
    <n v="0"/>
    <n v="25000"/>
    <n v="0"/>
    <n v="0"/>
    <n v="0"/>
    <n v="24006.322580645166"/>
    <n v="150784.19354838706"/>
    <n v="13387.096774193549"/>
    <n v="73700.774193548379"/>
    <n v="184251.93548387094"/>
  </r>
  <r>
    <x v="153"/>
    <x v="1"/>
    <x v="22"/>
    <s v="C) Sábado"/>
    <x v="6"/>
    <x v="5"/>
    <n v="146300"/>
    <n v="418000"/>
    <n v="418000"/>
    <n v="0"/>
    <n v="70605.612903225803"/>
    <n v="24193.548387096773"/>
    <n v="7249.1612903225805"/>
    <n v="3870.9677419354839"/>
    <n v="10291.935483870968"/>
    <n v="25000"/>
    <n v="25000"/>
    <n v="25000"/>
    <n v="0"/>
    <n v="75694.387096774197"/>
    <n v="176514.03225806449"/>
    <n v="0"/>
    <n v="70605.612903225803"/>
    <n v="176514.03225806449"/>
  </r>
  <r>
    <x v="154"/>
    <x v="1"/>
    <x v="22"/>
    <s v="D) Domingo"/>
    <x v="0"/>
    <x v="5"/>
    <n v="238349.99999999997"/>
    <n v="681000"/>
    <n v="681000"/>
    <n v="0"/>
    <n v="71334.483870967742"/>
    <n v="24193.548387096773"/>
    <n v="7978.0322580645161"/>
    <n v="3870.9677419354839"/>
    <n v="10291.935483870968"/>
    <n v="25000"/>
    <n v="25000"/>
    <n v="25000"/>
    <n v="0"/>
    <n v="167015.51612903224"/>
    <n v="178336.20967741933"/>
    <n v="0"/>
    <n v="71334.483870967742"/>
    <n v="178336.20967741933"/>
  </r>
  <r>
    <x v="155"/>
    <x v="1"/>
    <x v="23"/>
    <s v="A) Día hábil"/>
    <x v="1"/>
    <x v="5"/>
    <n v="59499.999999999993"/>
    <n v="170000"/>
    <n v="170000"/>
    <n v="0"/>
    <n v="46334.483870967742"/>
    <n v="24193.548387096773"/>
    <n v="7978.0322580645161"/>
    <n v="3870.9677419354839"/>
    <n v="10291.935483870968"/>
    <n v="0"/>
    <m/>
    <n v="25000"/>
    <n v="0"/>
    <n v="13165.51612903225"/>
    <n v="115836.20967741935"/>
    <n v="0"/>
    <n v="46334.483870967742"/>
    <n v="115836.20967741935"/>
  </r>
  <r>
    <x v="156"/>
    <x v="1"/>
    <x v="23"/>
    <s v="A) Día hábil"/>
    <x v="2"/>
    <x v="5"/>
    <n v="91000"/>
    <n v="260000"/>
    <n v="260000"/>
    <n v="0"/>
    <n v="46334.483870967742"/>
    <n v="24193.548387096773"/>
    <n v="7978.0322580645161"/>
    <n v="3870.9677419354839"/>
    <n v="10291.935483870968"/>
    <n v="0"/>
    <m/>
    <n v="25000"/>
    <n v="0"/>
    <n v="44665.516129032258"/>
    <n v="115836.20967741935"/>
    <n v="0"/>
    <n v="46334.483870967742"/>
    <n v="115836.20967741935"/>
  </r>
  <r>
    <x v="157"/>
    <x v="1"/>
    <x v="23"/>
    <s v="A) Día hábil"/>
    <x v="3"/>
    <x v="5"/>
    <n v="87500"/>
    <n v="250000"/>
    <n v="250000"/>
    <n v="0"/>
    <n v="46334.483870967742"/>
    <n v="24193.548387096773"/>
    <n v="7978.0322580645161"/>
    <n v="3870.9677419354839"/>
    <n v="10291.935483870968"/>
    <n v="0"/>
    <m/>
    <n v="25000"/>
    <n v="0"/>
    <n v="41165.516129032258"/>
    <n v="115836.20967741935"/>
    <n v="0"/>
    <n v="46334.483870967742"/>
    <n v="115836.20967741935"/>
  </r>
  <r>
    <x v="158"/>
    <x v="1"/>
    <x v="23"/>
    <s v="A) Día hábil"/>
    <x v="4"/>
    <x v="5"/>
    <n v="117249.99999999999"/>
    <n v="335000"/>
    <n v="335000"/>
    <n v="0"/>
    <n v="46334.483870967742"/>
    <n v="24193.548387096773"/>
    <n v="7978.0322580645161"/>
    <n v="3870.9677419354839"/>
    <n v="10291.935483870968"/>
    <n v="0"/>
    <m/>
    <n v="25000"/>
    <n v="0"/>
    <n v="70915.516129032243"/>
    <n v="115836.20967741935"/>
    <n v="0"/>
    <n v="46334.483870967742"/>
    <n v="115836.20967741935"/>
  </r>
  <r>
    <x v="159"/>
    <x v="1"/>
    <x v="23"/>
    <s v="E) Festivo"/>
    <x v="5"/>
    <x v="5"/>
    <n v="142450"/>
    <n v="407000"/>
    <n v="407000"/>
    <n v="0"/>
    <n v="46334.483870967742"/>
    <n v="24193.548387096773"/>
    <n v="7978.0322580645161"/>
    <n v="3870.9677419354839"/>
    <n v="10291.935483870968"/>
    <n v="0"/>
    <m/>
    <n v="25000"/>
    <n v="0"/>
    <n v="96115.516129032258"/>
    <n v="115836.20967741935"/>
    <n v="0"/>
    <n v="46334.483870967742"/>
    <n v="115836.20967741935"/>
  </r>
  <r>
    <x v="160"/>
    <x v="1"/>
    <x v="23"/>
    <s v="C) Sábado"/>
    <x v="6"/>
    <x v="5"/>
    <n v="217700"/>
    <n v="622000"/>
    <n v="622000"/>
    <n v="0"/>
    <n v="71334.483870967742"/>
    <n v="24193.548387096773"/>
    <n v="7978.0322580645161"/>
    <n v="3870.9677419354839"/>
    <n v="10291.935483870968"/>
    <n v="25000"/>
    <n v="25000"/>
    <n v="25000"/>
    <n v="0"/>
    <n v="146365.51612903224"/>
    <n v="178336.20967741933"/>
    <n v="0"/>
    <n v="71334.483870967742"/>
    <n v="178336.20967741933"/>
  </r>
  <r>
    <x v="161"/>
    <x v="1"/>
    <x v="23"/>
    <s v="D) Domingo"/>
    <x v="0"/>
    <x v="5"/>
    <n v="130549.99999999999"/>
    <n v="373000"/>
    <n v="373000"/>
    <n v="0"/>
    <n v="71334.483870967742"/>
    <n v="24193.548387096773"/>
    <n v="7978.0322580645161"/>
    <n v="3870.9677419354839"/>
    <n v="10291.935483870968"/>
    <n v="25000"/>
    <n v="25000"/>
    <n v="25000"/>
    <n v="0"/>
    <n v="59215.516129032243"/>
    <n v="178336.20967741933"/>
    <n v="0"/>
    <n v="71334.483870967742"/>
    <n v="178336.20967741933"/>
  </r>
  <r>
    <x v="162"/>
    <x v="1"/>
    <x v="24"/>
    <s v="A) Día hábil"/>
    <x v="1"/>
    <x v="5"/>
    <n v="86800"/>
    <n v="248000"/>
    <n v="248000"/>
    <n v="0"/>
    <n v="46334.483870967742"/>
    <n v="24193.548387096773"/>
    <n v="7978.0322580645161"/>
    <n v="3870.9677419354839"/>
    <n v="10291.935483870968"/>
    <n v="0"/>
    <m/>
    <n v="25000"/>
    <n v="0"/>
    <n v="40465.516129032258"/>
    <n v="115836.20967741935"/>
    <n v="0"/>
    <n v="46334.483870967742"/>
    <n v="115836.20967741935"/>
  </r>
  <r>
    <x v="163"/>
    <x v="1"/>
    <x v="24"/>
    <s v="A) Día hábil"/>
    <x v="2"/>
    <x v="5"/>
    <n v="81433.333333333328"/>
    <n v="232666.66666666666"/>
    <n v="232666.66666666666"/>
    <n v="0"/>
    <n v="46334.483870967742"/>
    <n v="24193.548387096773"/>
    <n v="7978.0322580645161"/>
    <n v="3870.9677419354839"/>
    <n v="10291.935483870968"/>
    <n v="0"/>
    <m/>
    <n v="25000"/>
    <n v="0"/>
    <n v="35098.849462365586"/>
    <n v="115836.20967741935"/>
    <n v="0"/>
    <n v="46334.483870967742"/>
    <n v="115836.20967741935"/>
  </r>
  <r>
    <x v="164"/>
    <x v="1"/>
    <x v="24"/>
    <s v="A) Día hábil"/>
    <x v="3"/>
    <x v="5"/>
    <n v="61016.666666666664"/>
    <n v="174333.33333333334"/>
    <n v="174333.33333333334"/>
    <n v="0"/>
    <n v="46334.483870967742"/>
    <n v="24193.548387096773"/>
    <n v="7978.0322580645161"/>
    <n v="3870.9677419354839"/>
    <n v="10291.935483870968"/>
    <n v="0"/>
    <m/>
    <n v="25000"/>
    <n v="0"/>
    <n v="14682.182795698922"/>
    <n v="115836.20967741935"/>
    <n v="0"/>
    <n v="46334.483870967742"/>
    <n v="115836.20967741935"/>
  </r>
  <r>
    <x v="165"/>
    <x v="1"/>
    <x v="24"/>
    <s v="A) Día hábil"/>
    <x v="4"/>
    <x v="5"/>
    <n v="112233.33333333333"/>
    <n v="320666.66666666669"/>
    <n v="320666.66666666669"/>
    <n v="0"/>
    <n v="46334.483870967742"/>
    <n v="24193.548387096773"/>
    <n v="7978.0322580645161"/>
    <n v="3870.9677419354839"/>
    <n v="10291.935483870968"/>
    <n v="0"/>
    <m/>
    <n v="25000"/>
    <n v="0"/>
    <n v="65898.849462365586"/>
    <n v="115836.20967741935"/>
    <n v="0"/>
    <n v="46334.483870967742"/>
    <n v="115836.20967741935"/>
  </r>
  <r>
    <x v="166"/>
    <x v="1"/>
    <x v="24"/>
    <s v="C) Viernes"/>
    <x v="5"/>
    <x v="5"/>
    <n v="126583.33333333333"/>
    <n v="361666.66666666669"/>
    <n v="361666.66666666669"/>
    <n v="0"/>
    <n v="46334.483870967742"/>
    <n v="24193.548387096773"/>
    <n v="7978.0322580645161"/>
    <n v="3870.9677419354839"/>
    <n v="10291.935483870968"/>
    <n v="0"/>
    <m/>
    <n v="25000"/>
    <n v="0"/>
    <n v="80248.849462365586"/>
    <n v="115836.20967741935"/>
    <n v="0"/>
    <n v="46334.483870967742"/>
    <n v="115836.20967741935"/>
  </r>
  <r>
    <x v="167"/>
    <x v="1"/>
    <x v="24"/>
    <s v="C) Sábado"/>
    <x v="6"/>
    <x v="5"/>
    <n v="148166.66666666666"/>
    <n v="423333.33333333331"/>
    <n v="423333.33333333331"/>
    <n v="0"/>
    <n v="71334.483870967742"/>
    <n v="24193.548387096773"/>
    <n v="7978.0322580645161"/>
    <n v="3870.9677419354839"/>
    <n v="10291.935483870968"/>
    <n v="25000"/>
    <n v="25000"/>
    <n v="25000"/>
    <n v="0"/>
    <n v="76832.182795698915"/>
    <n v="178336.20967741933"/>
    <n v="0"/>
    <n v="71334.483870967742"/>
    <n v="178336.20967741933"/>
  </r>
  <r>
    <x v="168"/>
    <x v="1"/>
    <x v="24"/>
    <s v="D) Domingo"/>
    <x v="0"/>
    <x v="5"/>
    <n v="231816.66666666666"/>
    <n v="662333.33333333337"/>
    <n v="662333.33333333337"/>
    <n v="0"/>
    <n v="71334.483870967742"/>
    <n v="24193.548387096773"/>
    <n v="7978.0322580645161"/>
    <n v="3870.9677419354839"/>
    <n v="10291.935483870968"/>
    <n v="25000"/>
    <n v="25000"/>
    <n v="25000"/>
    <n v="0"/>
    <n v="160482.18279569893"/>
    <n v="178336.20967741933"/>
    <n v="0"/>
    <n v="71334.483870967742"/>
    <n v="178336.20967741933"/>
  </r>
  <r>
    <x v="169"/>
    <x v="1"/>
    <x v="25"/>
    <s v="E) Festivo"/>
    <x v="1"/>
    <x v="5"/>
    <n v="86800"/>
    <n v="248000"/>
    <n v="248000"/>
    <n v="0"/>
    <n v="46334.483870967742"/>
    <n v="24193.548387096773"/>
    <n v="7978.0322580645161"/>
    <n v="3870.9677419354839"/>
    <n v="10291.935483870968"/>
    <n v="0"/>
    <m/>
    <n v="25000"/>
    <n v="0"/>
    <n v="40465.516129032258"/>
    <n v="115836.20967741935"/>
    <n v="0"/>
    <n v="46334.483870967742"/>
    <n v="115836.20967741935"/>
  </r>
  <r>
    <x v="170"/>
    <x v="1"/>
    <x v="25"/>
    <s v="A) Día hábil"/>
    <x v="2"/>
    <x v="5"/>
    <n v="81433.333333333328"/>
    <n v="232666.66666666666"/>
    <n v="232666.66666666666"/>
    <n v="0"/>
    <n v="46334.483870967742"/>
    <n v="24193.548387096773"/>
    <n v="7978.0322580645161"/>
    <n v="3870.9677419354839"/>
    <n v="10291.935483870968"/>
    <n v="0"/>
    <m/>
    <n v="25000"/>
    <n v="0"/>
    <n v="35098.849462365586"/>
    <n v="115836.20967741935"/>
    <n v="0"/>
    <n v="46334.483870967742"/>
    <n v="115836.20967741935"/>
  </r>
  <r>
    <x v="171"/>
    <x v="1"/>
    <x v="25"/>
    <s v="A) Día hábil"/>
    <x v="3"/>
    <x v="5"/>
    <n v="61016.666666666664"/>
    <n v="174333.33333333334"/>
    <n v="174333.33333333334"/>
    <n v="0"/>
    <n v="46334.483870967742"/>
    <n v="24193.548387096773"/>
    <n v="7978.0322580645161"/>
    <n v="3870.9677419354839"/>
    <n v="10291.935483870968"/>
    <n v="0"/>
    <m/>
    <n v="25000"/>
    <n v="0"/>
    <n v="14682.182795698922"/>
    <n v="115836.20967741935"/>
    <n v="0"/>
    <n v="46334.483870967742"/>
    <n v="115836.20967741935"/>
  </r>
  <r>
    <x v="172"/>
    <x v="1"/>
    <x v="25"/>
    <s v="A) Día hábil"/>
    <x v="4"/>
    <x v="5"/>
    <n v="112233.33333333333"/>
    <n v="320666.66666666669"/>
    <n v="320666.66666666669"/>
    <n v="0"/>
    <n v="46334.483870967742"/>
    <n v="24193.548387096773"/>
    <n v="7978.0322580645161"/>
    <n v="3870.9677419354839"/>
    <n v="10291.935483870968"/>
    <n v="0"/>
    <m/>
    <n v="25000"/>
    <n v="0"/>
    <n v="65898.849462365586"/>
    <n v="115836.20967741935"/>
    <n v="0"/>
    <n v="46334.483870967742"/>
    <n v="115836.20967741935"/>
  </r>
  <r>
    <x v="173"/>
    <x v="1"/>
    <x v="25"/>
    <s v="C) Viernes"/>
    <x v="5"/>
    <x v="5"/>
    <n v="126583.33333333333"/>
    <n v="361666.66666666669"/>
    <n v="361666.66666666669"/>
    <n v="0"/>
    <n v="46334.483870967742"/>
    <n v="24193.548387096773"/>
    <n v="7978.0322580645161"/>
    <n v="3870.9677419354839"/>
    <n v="10291.935483870968"/>
    <n v="0"/>
    <m/>
    <n v="25000"/>
    <n v="0"/>
    <n v="80248.849462365586"/>
    <n v="115836.20967741935"/>
    <n v="0"/>
    <n v="46334.483870967742"/>
    <n v="115836.20967741935"/>
  </r>
  <r>
    <x v="174"/>
    <x v="1"/>
    <x v="25"/>
    <s v="C) Sábado"/>
    <x v="6"/>
    <x v="5"/>
    <n v="148166.66666666666"/>
    <n v="423333.33333333331"/>
    <n v="423333.33333333331"/>
    <n v="0"/>
    <n v="71334.483870967742"/>
    <n v="24193.548387096773"/>
    <n v="7978.0322580645161"/>
    <n v="3870.9677419354839"/>
    <n v="10291.935483870968"/>
    <n v="25000"/>
    <n v="25000"/>
    <n v="25000"/>
    <n v="0"/>
    <n v="76832.182795698915"/>
    <n v="178336.20967741933"/>
    <n v="0"/>
    <n v="71334.483870967742"/>
    <n v="178336.20967741933"/>
  </r>
  <r>
    <x v="175"/>
    <x v="1"/>
    <x v="25"/>
    <s v="D) Domingo"/>
    <x v="0"/>
    <x v="5"/>
    <n v="231816.66666666666"/>
    <n v="662333.33333333337"/>
    <n v="662333.33333333337"/>
    <n v="0"/>
    <n v="71334.483870967742"/>
    <n v="24193.548387096773"/>
    <n v="7978.0322580645161"/>
    <n v="3870.9677419354839"/>
    <n v="10291.935483870968"/>
    <n v="25000"/>
    <n v="25000"/>
    <n v="25000"/>
    <n v="0"/>
    <n v="160482.18279569893"/>
    <n v="178336.20967741933"/>
    <n v="0"/>
    <n v="71334.483870967742"/>
    <n v="178336.20967741933"/>
  </r>
  <r>
    <x v="176"/>
    <x v="1"/>
    <x v="26"/>
    <s v="A) Día hábil"/>
    <x v="1"/>
    <x v="5"/>
    <n v="86800"/>
    <n v="248000"/>
    <n v="248000"/>
    <n v="0"/>
    <n v="46334.483870967742"/>
    <n v="24193.548387096773"/>
    <n v="7978.0322580645161"/>
    <n v="3870.9677419354839"/>
    <n v="10291.935483870968"/>
    <n v="0"/>
    <m/>
    <n v="25000"/>
    <n v="0"/>
    <n v="40465.516129032258"/>
    <n v="115836.20967741935"/>
    <n v="0"/>
    <n v="46334.483870967742"/>
    <n v="115836.20967741935"/>
  </r>
  <r>
    <x v="177"/>
    <x v="1"/>
    <x v="26"/>
    <s v="A) Día hábil"/>
    <x v="2"/>
    <x v="5"/>
    <n v="81433.333333333328"/>
    <n v="232666.66666666666"/>
    <n v="232666.66666666666"/>
    <n v="0"/>
    <n v="46334.483870967742"/>
    <n v="24193.548387096773"/>
    <n v="7978.0322580645161"/>
    <n v="3870.9677419354839"/>
    <n v="10291.935483870968"/>
    <n v="0"/>
    <m/>
    <n v="25000"/>
    <n v="0"/>
    <n v="35098.849462365586"/>
    <n v="115836.20967741935"/>
    <n v="0"/>
    <n v="46334.483870967742"/>
    <n v="115836.20967741935"/>
  </r>
  <r>
    <x v="178"/>
    <x v="1"/>
    <x v="26"/>
    <s v="A) Día hábil"/>
    <x v="3"/>
    <x v="5"/>
    <n v="61016.666666666664"/>
    <n v="174333.33333333334"/>
    <n v="174333.33333333334"/>
    <n v="0"/>
    <n v="46334.483870967742"/>
    <n v="24193.548387096773"/>
    <n v="7978.0322580645161"/>
    <n v="3870.9677419354839"/>
    <n v="10291.935483870968"/>
    <n v="0"/>
    <m/>
    <n v="25000"/>
    <n v="0"/>
    <n v="14682.182795698922"/>
    <n v="115836.20967741935"/>
    <n v="0"/>
    <n v="46334.483870967742"/>
    <n v="115836.20967741935"/>
  </r>
  <r>
    <x v="179"/>
    <x v="1"/>
    <x v="26"/>
    <s v="A) Día hábil"/>
    <x v="4"/>
    <x v="5"/>
    <n v="112233.33333333333"/>
    <n v="320666.66666666669"/>
    <n v="320666.66666666669"/>
    <n v="0"/>
    <n v="46334.483870967742"/>
    <n v="24193.548387096773"/>
    <n v="7978.0322580645161"/>
    <n v="3870.9677419354839"/>
    <n v="10291.935483870968"/>
    <n v="0"/>
    <m/>
    <n v="25000"/>
    <n v="0"/>
    <n v="65898.849462365586"/>
    <n v="115836.20967741935"/>
    <n v="0"/>
    <n v="46334.483870967742"/>
    <n v="115836.20967741935"/>
  </r>
  <r>
    <x v="180"/>
    <x v="1"/>
    <x v="26"/>
    <s v="C) Viernes"/>
    <x v="5"/>
    <x v="5"/>
    <n v="126583.33333333333"/>
    <n v="361666.66666666669"/>
    <n v="361666.66666666669"/>
    <n v="0"/>
    <n v="46334.483870967742"/>
    <n v="24193.548387096773"/>
    <n v="7978.0322580645161"/>
    <n v="3870.9677419354839"/>
    <n v="10291.935483870968"/>
    <n v="0"/>
    <m/>
    <n v="25000"/>
    <n v="0"/>
    <n v="80248.849462365586"/>
    <n v="115836.20967741935"/>
    <n v="0"/>
    <n v="46334.483870967742"/>
    <n v="115836.20967741935"/>
  </r>
  <r>
    <x v="181"/>
    <x v="1"/>
    <x v="26"/>
    <s v="C) Sábado"/>
    <x v="6"/>
    <x v="5"/>
    <n v="148166.66666666666"/>
    <n v="423333.33333333331"/>
    <n v="423333.33333333331"/>
    <n v="0"/>
    <n v="71334.483870967742"/>
    <n v="24193.548387096773"/>
    <n v="7978.0322580645161"/>
    <n v="3870.9677419354839"/>
    <n v="10291.935483870968"/>
    <n v="25000"/>
    <n v="25000"/>
    <n v="25000"/>
    <n v="0"/>
    <n v="76832.182795698915"/>
    <n v="178336.20967741933"/>
    <n v="0"/>
    <n v="71334.483870967742"/>
    <n v="178336.20967741933"/>
  </r>
  <r>
    <x v="182"/>
    <x v="1"/>
    <x v="26"/>
    <s v="D) Domingo"/>
    <x v="0"/>
    <x v="5"/>
    <n v="231816.66666666666"/>
    <n v="662333.33333333337"/>
    <n v="662333.33333333337"/>
    <n v="0"/>
    <n v="71334.483870967742"/>
    <n v="24193.548387096773"/>
    <n v="7978.0322580645161"/>
    <n v="3870.9677419354839"/>
    <n v="10291.935483870968"/>
    <n v="25000"/>
    <n v="25000"/>
    <n v="25000"/>
    <n v="0"/>
    <n v="160482.18279569893"/>
    <n v="178336.20967741933"/>
    <n v="0"/>
    <n v="71334.483870967742"/>
    <n v="178336.20967741933"/>
  </r>
  <r>
    <x v="183"/>
    <x v="1"/>
    <x v="27"/>
    <s v="A) Día hábil"/>
    <x v="1"/>
    <x v="5"/>
    <n v="86800"/>
    <n v="248000"/>
    <n v="248000"/>
    <n v="0"/>
    <n v="46334.483870967742"/>
    <n v="24193.548387096773"/>
    <n v="7978.0322580645161"/>
    <n v="3870.9677419354839"/>
    <n v="10291.935483870968"/>
    <n v="0"/>
    <m/>
    <n v="25000"/>
    <n v="0"/>
    <n v="40465.516129032258"/>
    <n v="115836.20967741935"/>
    <n v="0"/>
    <n v="46334.483870967742"/>
    <n v="115836.20967741935"/>
  </r>
  <r>
    <x v="184"/>
    <x v="1"/>
    <x v="27"/>
    <s v="A) Día hábil"/>
    <x v="2"/>
    <x v="6"/>
    <n v="81433.333333333328"/>
    <n v="232666.66666666666"/>
    <n v="232666.66666666666"/>
    <n v="0"/>
    <n v="47830.096774193546"/>
    <n v="25000"/>
    <n v="8387.0967741935492"/>
    <n v="4000"/>
    <n v="10443"/>
    <n v="0"/>
    <m/>
    <n v="25000"/>
    <n v="0"/>
    <n v="33603.236559139783"/>
    <n v="119575.24193548386"/>
    <n v="0"/>
    <n v="47830.096774193546"/>
    <n v="119575.24193548386"/>
  </r>
  <r>
    <x v="185"/>
    <x v="1"/>
    <x v="27"/>
    <s v="A) Día hábil"/>
    <x v="3"/>
    <x v="6"/>
    <n v="61016.666666666664"/>
    <n v="174333.33333333334"/>
    <n v="174333.33333333334"/>
    <n v="0"/>
    <n v="47830.096774193546"/>
    <n v="25000"/>
    <n v="8387.0967741935492"/>
    <n v="4000"/>
    <n v="10443"/>
    <n v="0"/>
    <m/>
    <n v="25000"/>
    <n v="0"/>
    <n v="13186.569892473119"/>
    <n v="119575.24193548386"/>
    <n v="0"/>
    <n v="47830.096774193546"/>
    <n v="119575.24193548386"/>
  </r>
  <r>
    <x v="186"/>
    <x v="1"/>
    <x v="27"/>
    <s v="A) Día hábil"/>
    <x v="4"/>
    <x v="6"/>
    <n v="112233.33333333333"/>
    <n v="320666.66666666669"/>
    <n v="320666.66666666669"/>
    <n v="0"/>
    <n v="47830.096774193546"/>
    <n v="25000"/>
    <n v="8387.0967741935492"/>
    <n v="4000"/>
    <n v="10443"/>
    <n v="0"/>
    <m/>
    <n v="25000"/>
    <n v="0"/>
    <n v="64403.236559139783"/>
    <n v="119575.24193548386"/>
    <n v="0"/>
    <n v="47830.096774193546"/>
    <n v="119575.24193548386"/>
  </r>
  <r>
    <x v="187"/>
    <x v="1"/>
    <x v="27"/>
    <s v="C) Viernes"/>
    <x v="5"/>
    <x v="6"/>
    <n v="126583.33333333333"/>
    <n v="361666.66666666669"/>
    <n v="361666.66666666669"/>
    <n v="0"/>
    <n v="47830.096774193546"/>
    <n v="25000"/>
    <n v="8387.0967741935492"/>
    <n v="4000"/>
    <n v="10443"/>
    <n v="0"/>
    <m/>
    <n v="25000"/>
    <n v="0"/>
    <n v="78753.236559139783"/>
    <n v="119575.24193548386"/>
    <n v="0"/>
    <n v="47830.096774193546"/>
    <n v="119575.24193548386"/>
  </r>
  <r>
    <x v="188"/>
    <x v="1"/>
    <x v="27"/>
    <s v="C) Sábado"/>
    <x v="6"/>
    <x v="6"/>
    <n v="148166.66666666666"/>
    <n v="423333.33333333331"/>
    <n v="423333.33333333331"/>
    <n v="0"/>
    <n v="72830.096774193546"/>
    <n v="25000"/>
    <n v="8387.0967741935492"/>
    <n v="4000"/>
    <n v="10443"/>
    <n v="25000"/>
    <n v="25000"/>
    <n v="25000"/>
    <n v="0"/>
    <n v="75336.569892473111"/>
    <n v="182075.24193548385"/>
    <n v="0"/>
    <n v="72830.096774193546"/>
    <n v="182075.24193548385"/>
  </r>
  <r>
    <x v="189"/>
    <x v="1"/>
    <x v="27"/>
    <s v="D) Domingo"/>
    <x v="0"/>
    <x v="6"/>
    <n v="231816.66666666666"/>
    <n v="662333.33333333337"/>
    <n v="662333.33333333337"/>
    <n v="0"/>
    <n v="72830.096774193546"/>
    <n v="25000"/>
    <n v="8387.0967741935492"/>
    <n v="4000"/>
    <n v="10443"/>
    <n v="25000"/>
    <n v="25000"/>
    <n v="25000"/>
    <n v="0"/>
    <n v="158986.56989247311"/>
    <n v="182075.24193548385"/>
    <n v="0"/>
    <n v="72830.096774193546"/>
    <n v="182075.24193548385"/>
  </r>
  <r>
    <x v="190"/>
    <x v="1"/>
    <x v="28"/>
    <s v="A) Día hábil"/>
    <x v="1"/>
    <x v="6"/>
    <n v="86800"/>
    <n v="248000"/>
    <n v="248000"/>
    <n v="0"/>
    <n v="47830.096774193546"/>
    <n v="25000"/>
    <n v="8387.0967741935492"/>
    <n v="4000"/>
    <n v="10443"/>
    <n v="0"/>
    <m/>
    <n v="25000"/>
    <n v="0"/>
    <n v="38969.903225806454"/>
    <n v="119575.24193548386"/>
    <n v="0"/>
    <n v="47830.096774193546"/>
    <n v="119575.24193548386"/>
  </r>
  <r>
    <x v="191"/>
    <x v="1"/>
    <x v="28"/>
    <s v="A) Día hábil"/>
    <x v="2"/>
    <x v="6"/>
    <n v="81433.333333333328"/>
    <n v="232666.66666666666"/>
    <n v="232666.66666666666"/>
    <n v="0"/>
    <n v="47830.096774193546"/>
    <n v="25000"/>
    <n v="8387.0967741935492"/>
    <n v="4000"/>
    <n v="10443"/>
    <n v="0"/>
    <m/>
    <n v="25000"/>
    <n v="0"/>
    <n v="33603.236559139783"/>
    <n v="119575.24193548386"/>
    <n v="0"/>
    <n v="47830.096774193546"/>
    <n v="119575.24193548386"/>
  </r>
  <r>
    <x v="192"/>
    <x v="1"/>
    <x v="28"/>
    <s v="A) Día hábil"/>
    <x v="3"/>
    <x v="6"/>
    <n v="61016.666666666664"/>
    <n v="174333.33333333334"/>
    <n v="174333.33333333334"/>
    <n v="0"/>
    <n v="47830.096774193546"/>
    <n v="25000"/>
    <n v="8387.0967741935492"/>
    <n v="4000"/>
    <n v="10443"/>
    <n v="0"/>
    <m/>
    <n v="25000"/>
    <n v="0"/>
    <n v="13186.569892473119"/>
    <n v="119575.24193548386"/>
    <n v="0"/>
    <n v="47830.096774193546"/>
    <n v="119575.24193548386"/>
  </r>
  <r>
    <x v="193"/>
    <x v="1"/>
    <x v="28"/>
    <s v="A) Día hábil"/>
    <x v="4"/>
    <x v="6"/>
    <n v="112233.33333333333"/>
    <n v="320666.66666666669"/>
    <n v="320666.66666666669"/>
    <n v="0"/>
    <n v="47830.096774193546"/>
    <n v="25000"/>
    <n v="8387.0967741935492"/>
    <n v="4000"/>
    <n v="10443"/>
    <n v="0"/>
    <m/>
    <n v="25000"/>
    <n v="0"/>
    <n v="64403.236559139783"/>
    <n v="119575.24193548386"/>
    <n v="0"/>
    <n v="47830.096774193546"/>
    <n v="119575.24193548386"/>
  </r>
  <r>
    <x v="194"/>
    <x v="1"/>
    <x v="28"/>
    <s v="C) Viernes"/>
    <x v="5"/>
    <x v="6"/>
    <n v="126583.33333333333"/>
    <n v="361666.66666666669"/>
    <n v="361666.66666666669"/>
    <n v="0"/>
    <n v="47830.096774193546"/>
    <n v="25000"/>
    <n v="8387.0967741935492"/>
    <n v="4000"/>
    <n v="10443"/>
    <n v="0"/>
    <m/>
    <n v="25000"/>
    <n v="0"/>
    <n v="78753.236559139783"/>
    <n v="119575.24193548386"/>
    <n v="0"/>
    <n v="47830.096774193546"/>
    <n v="119575.24193548386"/>
  </r>
  <r>
    <x v="195"/>
    <x v="1"/>
    <x v="28"/>
    <s v="C) Sábado"/>
    <x v="6"/>
    <x v="6"/>
    <n v="148166.66666666666"/>
    <n v="423333.33333333331"/>
    <n v="423333.33333333331"/>
    <n v="0"/>
    <n v="72830.096774193546"/>
    <n v="25000"/>
    <n v="8387.0967741935492"/>
    <n v="4000"/>
    <n v="10443"/>
    <n v="25000"/>
    <n v="25000"/>
    <n v="25000"/>
    <n v="0"/>
    <n v="75336.569892473111"/>
    <n v="182075.24193548385"/>
    <n v="0"/>
    <n v="72830.096774193546"/>
    <n v="182075.24193548385"/>
  </r>
  <r>
    <x v="196"/>
    <x v="1"/>
    <x v="28"/>
    <s v="D) Domingo"/>
    <x v="0"/>
    <x v="6"/>
    <n v="231816.66666666666"/>
    <n v="662333.33333333337"/>
    <n v="662333.33333333337"/>
    <n v="0"/>
    <n v="72830.096774193546"/>
    <n v="25000"/>
    <n v="8387.0967741935492"/>
    <n v="4000"/>
    <n v="10443"/>
    <n v="25000"/>
    <n v="25000"/>
    <n v="25000"/>
    <n v="0"/>
    <n v="158986.56989247311"/>
    <n v="182075.24193548385"/>
    <n v="0"/>
    <n v="72830.096774193546"/>
    <n v="182075.24193548385"/>
  </r>
  <r>
    <x v="197"/>
    <x v="1"/>
    <x v="29"/>
    <s v="A) Día hábil"/>
    <x v="1"/>
    <x v="6"/>
    <n v="86800"/>
    <n v="248000"/>
    <n v="248000"/>
    <n v="0"/>
    <n v="47830.096774193546"/>
    <n v="25000"/>
    <n v="8387.0967741935492"/>
    <n v="4000"/>
    <n v="10443"/>
    <n v="0"/>
    <m/>
    <n v="25000"/>
    <n v="0"/>
    <n v="38969.903225806454"/>
    <n v="119575.24193548386"/>
    <n v="0"/>
    <n v="47830.096774193546"/>
    <n v="119575.24193548386"/>
  </r>
  <r>
    <x v="198"/>
    <x v="1"/>
    <x v="29"/>
    <s v="A) Día hábil"/>
    <x v="2"/>
    <x v="6"/>
    <n v="81433.333333333328"/>
    <n v="232666.66666666666"/>
    <n v="232666.66666666666"/>
    <n v="0"/>
    <n v="47830.096774193546"/>
    <n v="25000"/>
    <n v="8387.0967741935492"/>
    <n v="4000"/>
    <n v="10443"/>
    <n v="0"/>
    <m/>
    <n v="25000"/>
    <n v="0"/>
    <n v="33603.236559139783"/>
    <n v="119575.24193548386"/>
    <n v="0"/>
    <n v="47830.096774193546"/>
    <n v="119575.24193548386"/>
  </r>
  <r>
    <x v="199"/>
    <x v="1"/>
    <x v="29"/>
    <s v="A) Día hábil"/>
    <x v="3"/>
    <x v="6"/>
    <n v="61016.666666666664"/>
    <n v="174333.33333333334"/>
    <n v="174333.33333333334"/>
    <n v="0"/>
    <n v="47830.096774193546"/>
    <n v="25000"/>
    <n v="8387.0967741935492"/>
    <n v="4000"/>
    <n v="10443"/>
    <n v="0"/>
    <m/>
    <n v="25000"/>
    <n v="0"/>
    <n v="13186.569892473119"/>
    <n v="119575.24193548386"/>
    <n v="0"/>
    <n v="47830.096774193546"/>
    <n v="119575.24193548386"/>
  </r>
  <r>
    <x v="200"/>
    <x v="1"/>
    <x v="29"/>
    <s v="A) Día hábil"/>
    <x v="4"/>
    <x v="6"/>
    <n v="112233.33333333333"/>
    <n v="320666.66666666669"/>
    <n v="320666.66666666669"/>
    <n v="0"/>
    <n v="47830.096774193546"/>
    <n v="25000"/>
    <n v="8387.0967741935492"/>
    <n v="4000"/>
    <n v="10443"/>
    <n v="0"/>
    <m/>
    <n v="25000"/>
    <n v="0"/>
    <n v="64403.236559139783"/>
    <n v="119575.24193548386"/>
    <n v="0"/>
    <n v="47830.096774193546"/>
    <n v="119575.24193548386"/>
  </r>
  <r>
    <x v="201"/>
    <x v="1"/>
    <x v="29"/>
    <s v="C) Viernes"/>
    <x v="5"/>
    <x v="6"/>
    <n v="126583.33333333333"/>
    <n v="361666.66666666669"/>
    <n v="361666.66666666669"/>
    <n v="0"/>
    <n v="47830.096774193546"/>
    <n v="25000"/>
    <n v="8387.0967741935492"/>
    <n v="4000"/>
    <n v="10443"/>
    <n v="0"/>
    <m/>
    <n v="25000"/>
    <n v="0"/>
    <n v="78753.236559139783"/>
    <n v="119575.24193548386"/>
    <n v="0"/>
    <n v="47830.096774193546"/>
    <n v="119575.24193548386"/>
  </r>
  <r>
    <x v="202"/>
    <x v="1"/>
    <x v="29"/>
    <s v="C) Sábado"/>
    <x v="6"/>
    <x v="6"/>
    <n v="148166.66666666666"/>
    <n v="423333.33333333331"/>
    <n v="423333.33333333331"/>
    <n v="0"/>
    <n v="72830.096774193546"/>
    <n v="25000"/>
    <n v="8387.0967741935492"/>
    <n v="4000"/>
    <n v="10443"/>
    <n v="25000"/>
    <n v="25000"/>
    <n v="25000"/>
    <n v="0"/>
    <n v="75336.569892473111"/>
    <n v="182075.24193548385"/>
    <n v="0"/>
    <n v="72830.096774193546"/>
    <n v="182075.24193548385"/>
  </r>
  <r>
    <x v="203"/>
    <x v="1"/>
    <x v="29"/>
    <s v="D) Domingo"/>
    <x v="0"/>
    <x v="6"/>
    <n v="231816.66666666666"/>
    <n v="662333.33333333337"/>
    <n v="662333.33333333337"/>
    <n v="0"/>
    <n v="72830.096774193546"/>
    <n v="25000"/>
    <n v="8387.0967741935492"/>
    <n v="4000"/>
    <n v="10443"/>
    <n v="25000"/>
    <n v="25000"/>
    <n v="25000"/>
    <n v="0"/>
    <n v="158986.56989247311"/>
    <n v="182075.24193548385"/>
    <n v="0"/>
    <n v="72830.096774193546"/>
    <n v="182075.24193548385"/>
  </r>
  <r>
    <x v="204"/>
    <x v="1"/>
    <x v="30"/>
    <s v="A) Día hábil"/>
    <x v="1"/>
    <x v="6"/>
    <n v="86800"/>
    <n v="248000"/>
    <n v="248000"/>
    <n v="0"/>
    <n v="47830.096774193546"/>
    <n v="25000"/>
    <n v="8387.0967741935492"/>
    <n v="4000"/>
    <n v="10443"/>
    <n v="0"/>
    <m/>
    <n v="25000"/>
    <n v="0"/>
    <n v="38969.903225806454"/>
    <n v="119575.24193548386"/>
    <n v="0"/>
    <n v="47830.096774193546"/>
    <n v="119575.24193548386"/>
  </r>
  <r>
    <x v="205"/>
    <x v="1"/>
    <x v="30"/>
    <s v="A) Día hábil"/>
    <x v="2"/>
    <x v="6"/>
    <n v="81433.333333333328"/>
    <n v="232666.66666666666"/>
    <n v="232666.66666666666"/>
    <n v="0"/>
    <n v="47830.096774193546"/>
    <n v="25000"/>
    <n v="8387.0967741935492"/>
    <n v="4000"/>
    <n v="10443"/>
    <n v="0"/>
    <m/>
    <n v="25000"/>
    <n v="0"/>
    <n v="33603.236559139783"/>
    <n v="119575.24193548386"/>
    <n v="0"/>
    <n v="47830.096774193546"/>
    <n v="119575.24193548386"/>
  </r>
  <r>
    <x v="206"/>
    <x v="1"/>
    <x v="30"/>
    <s v="A) Día hábil"/>
    <x v="3"/>
    <x v="6"/>
    <n v="61016.666666666664"/>
    <n v="174333.33333333334"/>
    <n v="174333.33333333334"/>
    <n v="0"/>
    <n v="47830.096774193546"/>
    <n v="25000"/>
    <n v="8387.0967741935492"/>
    <n v="4000"/>
    <n v="10443"/>
    <n v="0"/>
    <m/>
    <n v="25000"/>
    <n v="0"/>
    <n v="13186.569892473119"/>
    <n v="119575.24193548386"/>
    <n v="0"/>
    <n v="47830.096774193546"/>
    <n v="119575.24193548386"/>
  </r>
  <r>
    <x v="207"/>
    <x v="1"/>
    <x v="30"/>
    <s v="A) Día hábil"/>
    <x v="4"/>
    <x v="6"/>
    <n v="112233.33333333333"/>
    <n v="320666.66666666669"/>
    <n v="320666.66666666669"/>
    <n v="0"/>
    <n v="47830.096774193546"/>
    <n v="25000"/>
    <n v="8387.0967741935492"/>
    <n v="4000"/>
    <n v="10443"/>
    <n v="0"/>
    <m/>
    <n v="25000"/>
    <n v="0"/>
    <n v="64403.236559139783"/>
    <n v="119575.24193548386"/>
    <n v="0"/>
    <n v="47830.096774193546"/>
    <n v="119575.24193548386"/>
  </r>
  <r>
    <x v="208"/>
    <x v="1"/>
    <x v="30"/>
    <s v="C) Viernes"/>
    <x v="5"/>
    <x v="6"/>
    <n v="126583.33333333333"/>
    <n v="361666.66666666669"/>
    <n v="361666.66666666669"/>
    <n v="0"/>
    <n v="47830.096774193546"/>
    <n v="25000"/>
    <n v="8387.0967741935492"/>
    <n v="4000"/>
    <n v="10443"/>
    <n v="0"/>
    <m/>
    <n v="25000"/>
    <n v="0"/>
    <n v="78753.236559139783"/>
    <n v="119575.24193548386"/>
    <n v="0"/>
    <n v="47830.096774193546"/>
    <n v="119575.24193548386"/>
  </r>
  <r>
    <x v="209"/>
    <x v="1"/>
    <x v="30"/>
    <s v="C) Sábado"/>
    <x v="6"/>
    <x v="6"/>
    <n v="148166.66666666666"/>
    <n v="423333.33333333331"/>
    <n v="423333.33333333331"/>
    <n v="0"/>
    <n v="72830.096774193546"/>
    <n v="25000"/>
    <n v="8387.0967741935492"/>
    <n v="4000"/>
    <n v="10443"/>
    <n v="25000"/>
    <n v="25000"/>
    <n v="25000"/>
    <n v="0"/>
    <n v="75336.569892473111"/>
    <n v="182075.24193548385"/>
    <n v="0"/>
    <n v="72830.096774193546"/>
    <n v="182075.24193548385"/>
  </r>
  <r>
    <x v="210"/>
    <x v="1"/>
    <x v="30"/>
    <s v="D) Domingo"/>
    <x v="0"/>
    <x v="6"/>
    <n v="231816.66666666666"/>
    <n v="662333.33333333337"/>
    <n v="662333.33333333337"/>
    <n v="0"/>
    <n v="72830.096774193546"/>
    <n v="25000"/>
    <n v="8387.0967741935492"/>
    <n v="4000"/>
    <n v="10443"/>
    <n v="25000"/>
    <n v="25000"/>
    <n v="25000"/>
    <n v="0"/>
    <n v="158986.56989247311"/>
    <n v="182075.24193548385"/>
    <n v="0"/>
    <n v="72830.096774193546"/>
    <n v="182075.24193548385"/>
  </r>
  <r>
    <x v="211"/>
    <x v="1"/>
    <x v="31"/>
    <s v="A) Día hábil"/>
    <x v="1"/>
    <x v="6"/>
    <n v="86800"/>
    <n v="248000"/>
    <n v="248000"/>
    <n v="0"/>
    <n v="47830.096774193546"/>
    <n v="25000"/>
    <n v="8387.0967741935492"/>
    <n v="4000"/>
    <n v="10443"/>
    <n v="0"/>
    <m/>
    <n v="25000"/>
    <n v="0"/>
    <n v="38969.903225806454"/>
    <n v="119575.24193548386"/>
    <n v="0"/>
    <n v="47830.096774193546"/>
    <n v="119575.24193548386"/>
  </r>
  <r>
    <x v="212"/>
    <x v="1"/>
    <x v="31"/>
    <s v="A) Día hábil"/>
    <x v="2"/>
    <x v="6"/>
    <n v="81433.333333333328"/>
    <n v="232666.66666666666"/>
    <n v="232666.66666666666"/>
    <n v="0"/>
    <n v="47830.096774193546"/>
    <n v="25000"/>
    <n v="8387.0967741935492"/>
    <n v="4000"/>
    <n v="10443"/>
    <n v="0"/>
    <m/>
    <n v="25000"/>
    <n v="0"/>
    <n v="33603.236559139783"/>
    <n v="119575.24193548386"/>
    <n v="0"/>
    <n v="47830.096774193546"/>
    <n v="119575.24193548386"/>
  </r>
  <r>
    <x v="213"/>
    <x v="1"/>
    <x v="31"/>
    <s v="A) Día hábil"/>
    <x v="3"/>
    <x v="6"/>
    <n v="61016.666666666664"/>
    <n v="174333.33333333334"/>
    <n v="174333.33333333334"/>
    <n v="0"/>
    <n v="47830.096774193546"/>
    <n v="25000"/>
    <n v="8387.0967741935492"/>
    <n v="4000"/>
    <n v="10443"/>
    <n v="0"/>
    <m/>
    <n v="25000"/>
    <n v="0"/>
    <n v="13186.569892473119"/>
    <n v="119575.24193548386"/>
    <n v="0"/>
    <n v="47830.096774193546"/>
    <n v="119575.241935483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Tabla dinámica1" cacheId="8" applyNumberFormats="0" applyBorderFormats="0" applyFontFormats="0" applyPatternFormats="0" applyAlignmentFormats="0" applyWidthHeightFormats="1" dataCaption="Valores" updatedVersion="6" minRefreshableVersion="3" useAutoFormatting="1" colGrandTotals="0" itemPrintTitles="1" createdVersion="5" indent="0" compact="0" compactData="0" multipleFieldFilters="0">
  <location ref="B4:E24" firstHeaderRow="1" firstDataRow="1" firstDataCol="3"/>
  <pivotFields count="18">
    <pivotField axis="axisRow" compact="0" outline="0" showAll="0" defaultSubtotal="0">
      <items count="22">
        <item x="0"/>
        <item x="5"/>
        <item x="3"/>
        <item x="1"/>
        <item x="4"/>
        <item x="2"/>
        <item x="10"/>
        <item x="8"/>
        <item x="11"/>
        <item m="1" x="19"/>
        <item m="1" x="18"/>
        <item m="1" x="17"/>
        <item x="6"/>
        <item x="7"/>
        <item m="1" x="21"/>
        <item x="13"/>
        <item m="1" x="20"/>
        <item x="9"/>
        <item x="12"/>
        <item x="14"/>
        <item x="15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1">
        <item x="9"/>
        <item x="7"/>
        <item x="0"/>
        <item x="1"/>
        <item x="4"/>
        <item m="1" x="17"/>
        <item x="3"/>
        <item x="2"/>
        <item x="10"/>
        <item m="1" x="19"/>
        <item x="5"/>
        <item m="1" x="16"/>
        <item m="1" x="20"/>
        <item m="1" x="18"/>
        <item m="1" x="15"/>
        <item x="6"/>
        <item x="8"/>
        <item x="11"/>
        <item x="12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m="1" x="3"/>
        <item m="1" x="4"/>
        <item m="1"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7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2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2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2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2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2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2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2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1"/>
    <field x="0"/>
  </rowFields>
  <rowItems count="20">
    <i>
      <x v="3"/>
      <x/>
      <x v="8"/>
    </i>
    <i r="1">
      <x v="1"/>
      <x v="7"/>
    </i>
    <i r="1">
      <x v="2"/>
      <x/>
    </i>
    <i r="1">
      <x v="3"/>
      <x v="12"/>
    </i>
    <i r="1">
      <x v="4"/>
      <x v="13"/>
    </i>
    <i r="1">
      <x v="8"/>
      <x v="18"/>
    </i>
    <i r="1">
      <x v="10"/>
      <x v="13"/>
    </i>
    <i r="1">
      <x v="15"/>
      <x v="13"/>
    </i>
    <i r="1">
      <x v="16"/>
      <x v="17"/>
    </i>
    <i r="1">
      <x v="17"/>
      <x v="15"/>
    </i>
    <i r="1">
      <x v="18"/>
      <x v="19"/>
    </i>
    <i r="1">
      <x v="19"/>
      <x v="20"/>
    </i>
    <i r="1">
      <x v="20"/>
      <x v="21"/>
    </i>
    <i>
      <x v="4"/>
      <x/>
      <x v="6"/>
    </i>
    <i r="1">
      <x v="2"/>
      <x v="3"/>
    </i>
    <i r="2">
      <x v="5"/>
    </i>
    <i r="1">
      <x v="3"/>
      <x v="2"/>
    </i>
    <i r="1">
      <x v="6"/>
      <x v="1"/>
    </i>
    <i r="1">
      <x v="7"/>
      <x v="4"/>
    </i>
    <i t="grand">
      <x/>
    </i>
  </rowItems>
  <colItems count="1">
    <i/>
  </colItems>
  <dataFields count="1">
    <dataField name="Valor" fld="5" baseField="0" baseItem="0" numFmtId="166"/>
  </dataFields>
  <formats count="16">
    <format dxfId="214">
      <pivotArea outline="0" fieldPosition="0">
        <references count="3">
          <reference field="0" count="0" selected="0"/>
          <reference field="1" count="0" selected="0"/>
          <reference field="2" count="0" selected="0"/>
        </references>
      </pivotArea>
    </format>
    <format dxfId="213">
      <pivotArea dataOnly="0" labelOnly="1" outline="0" fieldPosition="0">
        <references count="1">
          <reference field="2" count="1">
            <x v="1"/>
          </reference>
        </references>
      </pivotArea>
    </format>
    <format dxfId="212">
      <pivotArea dataOnly="0" labelOnly="1" outline="0" fieldPosition="0">
        <references count="1">
          <reference field="2" count="1">
            <x v="0"/>
          </reference>
        </references>
      </pivotArea>
    </format>
    <format dxfId="211">
      <pivotArea field="2" type="button" dataOnly="0" labelOnly="1" outline="0" axis="axisRow" fieldPosition="0"/>
    </format>
    <format dxfId="210">
      <pivotArea field="1" type="button" dataOnly="0" labelOnly="1" outline="0" axis="axisRow" fieldPosition="1"/>
    </format>
    <format dxfId="209">
      <pivotArea field="0" type="button" dataOnly="0" labelOnly="1" outline="0" axis="axisRow" fieldPosition="2"/>
    </format>
    <format dxfId="208">
      <pivotArea dataOnly="0" labelOnly="1" outline="0" axis="axisValues" fieldPosition="0"/>
    </format>
    <format dxfId="207">
      <pivotArea field="2" type="button" dataOnly="0" labelOnly="1" outline="0" axis="axisRow" fieldPosition="0"/>
    </format>
    <format dxfId="206">
      <pivotArea field="1" type="button" dataOnly="0" labelOnly="1" outline="0" axis="axisRow" fieldPosition="1"/>
    </format>
    <format dxfId="205">
      <pivotArea field="0" type="button" dataOnly="0" labelOnly="1" outline="0" axis="axisRow" fieldPosition="2"/>
    </format>
    <format dxfId="204">
      <pivotArea dataOnly="0" labelOnly="1" outline="0" axis="axisValues" fieldPosition="0"/>
    </format>
    <format dxfId="203">
      <pivotArea outline="0" collapsedLevelsAreSubtotals="1" fieldPosition="0"/>
    </format>
    <format dxfId="202">
      <pivotArea dataOnly="0" labelOnly="1" outline="0" axis="axisValues" fieldPosition="0"/>
    </format>
    <format dxfId="201">
      <pivotArea outline="0" fieldPosition="0">
        <references count="3">
          <reference field="0" count="1" selected="0">
            <x v="6"/>
          </reference>
          <reference field="1" count="1" selected="0">
            <x v="0"/>
          </reference>
          <reference field="2" count="1" selected="0">
            <x v="1"/>
          </reference>
        </references>
      </pivotArea>
    </format>
    <format dxfId="200">
      <pivotArea outline="0" fieldPosition="0">
        <references count="3">
          <reference field="0" count="2" selected="0">
            <x v="12"/>
            <x v="13"/>
          </reference>
          <reference field="1" count="3" selected="0">
            <x v="3"/>
            <x v="4"/>
            <x v="5"/>
          </reference>
          <reference field="2" count="1" selected="0">
            <x v="1"/>
          </reference>
        </references>
      </pivotArea>
    </format>
    <format dxfId="199">
      <pivotArea outline="0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4000000}" name="Tabla dinámica1" cacheId="9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5" indent="0" compact="0" compactData="0" multipleFieldFilters="0" chartFormat="53">
  <location ref="A4:E34" firstHeaderRow="0" firstDataRow="1" firstDataCol="3" rowPageCount="1" colPageCount="1"/>
  <pivotFields count="24">
    <pivotField axis="axisRow" compact="0" numFmtId="14" outline="0" showAll="0" defaultSubtotal="0">
      <items count="368"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0"/>
        <item x="367"/>
      </items>
    </pivotField>
    <pivotField axis="axisPage" compact="0" outline="0" showAll="0" defaultSubtotal="0">
      <items count="2">
        <item x="1"/>
        <item x="0"/>
      </items>
    </pivotField>
    <pivotField compact="0" outline="0" showAll="0"/>
    <pivotField compact="0" outline="0" showAll="0"/>
    <pivotField axis="axisRow" compact="0" outline="0" showAll="0" defaultSubtotal="0">
      <items count="14">
        <item m="1" x="7"/>
        <item m="1" x="9"/>
        <item m="1" x="8"/>
        <item m="1" x="12"/>
        <item m="1" x="11"/>
        <item m="1" x="13"/>
        <item m="1" x="10"/>
        <item x="0"/>
        <item x="1"/>
        <item x="2"/>
        <item x="3"/>
        <item x="4"/>
        <item x="5"/>
        <item x="6"/>
      </items>
    </pivotField>
    <pivotField axis="axisRow" compact="0" outline="0" showAll="0" sortType="ascending" defaultSubtotal="0">
      <items count="7">
        <item h="1" x="0"/>
        <item x="1"/>
        <item h="1" x="2"/>
        <item h="1" x="3"/>
        <item h="1" x="4"/>
        <item h="1" x="5"/>
        <item h="1" x="6"/>
      </items>
    </pivotField>
    <pivotField compact="0" numFmtId="166" outline="0" showAll="0"/>
    <pivotField dataField="1" compact="0" numFmtId="166" outline="0" showAll="0"/>
    <pivotField compact="0" outline="0" showAll="0"/>
    <pivotField compact="0" numFmtId="166" outline="0" showAll="0"/>
    <pivotField dataField="1" compact="0" numFmtId="166" outline="0" showAll="0" defaultSubtota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74" outline="0" showAll="0" defaultSubtota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</pivotFields>
  <rowFields count="3">
    <field x="5"/>
    <field x="0"/>
    <field x="4"/>
  </rowFields>
  <rowItems count="30">
    <i>
      <x v="1"/>
      <x v="64"/>
      <x v="12"/>
    </i>
    <i r="1">
      <x v="65"/>
      <x v="13"/>
    </i>
    <i r="1">
      <x v="66"/>
      <x v="7"/>
    </i>
    <i r="1">
      <x v="67"/>
      <x v="8"/>
    </i>
    <i r="1">
      <x v="68"/>
      <x v="9"/>
    </i>
    <i r="1">
      <x v="69"/>
      <x v="10"/>
    </i>
    <i r="1">
      <x v="70"/>
      <x v="11"/>
    </i>
    <i r="1">
      <x v="71"/>
      <x v="12"/>
    </i>
    <i r="1">
      <x v="72"/>
      <x v="13"/>
    </i>
    <i r="1">
      <x v="73"/>
      <x v="7"/>
    </i>
    <i r="1">
      <x v="74"/>
      <x v="8"/>
    </i>
    <i r="1">
      <x v="75"/>
      <x v="9"/>
    </i>
    <i r="1">
      <x v="76"/>
      <x v="10"/>
    </i>
    <i r="1">
      <x v="77"/>
      <x v="11"/>
    </i>
    <i r="1">
      <x v="78"/>
      <x v="12"/>
    </i>
    <i r="1">
      <x v="79"/>
      <x v="13"/>
    </i>
    <i r="1">
      <x v="80"/>
      <x v="7"/>
    </i>
    <i r="1">
      <x v="81"/>
      <x v="8"/>
    </i>
    <i r="1">
      <x v="82"/>
      <x v="9"/>
    </i>
    <i r="1">
      <x v="83"/>
      <x v="10"/>
    </i>
    <i r="1">
      <x v="84"/>
      <x v="11"/>
    </i>
    <i r="1">
      <x v="285"/>
      <x v="10"/>
    </i>
    <i r="1">
      <x v="286"/>
      <x v="11"/>
    </i>
    <i r="1">
      <x v="287"/>
      <x v="12"/>
    </i>
    <i r="1">
      <x v="288"/>
      <x v="13"/>
    </i>
    <i r="1">
      <x v="289"/>
      <x v="7"/>
    </i>
    <i r="1">
      <x v="290"/>
      <x v="8"/>
    </i>
    <i r="1">
      <x v="291"/>
      <x v="9"/>
    </i>
    <i r="1">
      <x v="292"/>
      <x v="10"/>
    </i>
    <i r="1">
      <x v="293"/>
      <x v="11"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 Venta" fld="7" baseField="0" baseItem="0" numFmtId="167"/>
    <dataField name=" Gastos" fld="10" baseField="0" baseItem="0"/>
  </dataFields>
  <formats count="1">
    <format dxfId="16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3000000}" name="Tabla dinámica4" cacheId="9" applyNumberFormats="0" applyBorderFormats="0" applyFontFormats="0" applyPatternFormats="0" applyAlignmentFormats="0" applyWidthHeightFormats="1" dataCaption="Figures" updatedVersion="6" minRefreshableVersion="3" useAutoFormatting="1" rowGrandTotals="0" itemPrintTitles="1" createdVersion="5" indent="0" compact="0" compactData="0" multipleFieldFilters="0" chartFormat="37">
  <location ref="W2:AB3" firstHeaderRow="0" firstDataRow="1" firstDataCol="1"/>
  <pivotFields count="24">
    <pivotField compact="0" numFmtId="14" outline="0" showAll="0" insertBlankRow="1" defaultSubtotal="0"/>
    <pivotField compact="0" outline="0" showAll="0" insertBlankRow="1" defaultSubtotal="0">
      <items count="2">
        <item x="1"/>
        <item x="0"/>
      </items>
    </pivotField>
    <pivotField compact="0" outline="0" showAll="0"/>
    <pivotField compact="0" outline="0" showAll="0"/>
    <pivotField compact="0" outline="0" showAll="0" insertBlankRow="1" defaultSubtotal="0"/>
    <pivotField name="Mes  de   análisis" axis="axisRow" compact="0" outline="0" showAll="0" insertBlankRow="1" defaultSubtotal="0">
      <items count="7">
        <item h="1" x="0"/>
        <item x="1"/>
        <item h="1" x="2"/>
        <item h="1" x="3"/>
        <item h="1" x="4"/>
        <item h="1" x="5"/>
        <item h="1" x="6"/>
      </items>
    </pivotField>
    <pivotField compact="0" numFmtId="166" outline="0" showAll="0"/>
    <pivotField dataField="1" compact="0" numFmtId="166" outline="0" showAll="0" insertBlankRow="1" defaultSubtotal="0"/>
    <pivotField compact="0" outline="0" showAll="0"/>
    <pivotField compact="0" numFmtId="166" outline="0" showAll="0"/>
    <pivotField dataField="1" compact="0" numFmtId="166" outline="0" showAll="0" defaultSubtota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dataField="1" compact="0" numFmtId="174" outline="0" showAll="0" defaultSubtota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</pivotFields>
  <rowFields count="1">
    <field x="5"/>
  </rowFields>
  <rowItems count="1">
    <i>
      <x v="1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Venta" fld="7" baseField="0" baseItem="0" numFmtId="167"/>
    <dataField name="Promedio Venta" fld="7" subtotal="average" baseField="3" baseItem="0"/>
    <dataField name=" Gastos" fld="10" baseField="0" baseItem="0"/>
    <dataField name=" Rent. trabajo" fld="19" baseField="0" baseItem="0" numFmtId="174"/>
    <dataField name="Prom.  Rent. Trabajo" fld="19" subtotal="average" baseField="3" baseItem="1"/>
  </dataFields>
  <formats count="10">
    <format dxfId="171">
      <pivotArea outline="0" collapsedLevelsAreSubtotals="1" fieldPosition="0"/>
    </format>
    <format dxfId="17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9">
      <pivotArea outline="0" collapsedLevelsAreSubtotals="1" fieldPosition="0"/>
    </format>
    <format dxfId="168">
      <pivotArea dataOnly="0" labelOnly="1" outline="0" fieldPosition="0">
        <references count="2">
          <reference field="4294967294" count="1">
            <x v="0"/>
          </reference>
          <reference field="5" count="1" selected="0">
            <x v="0"/>
          </reference>
        </references>
      </pivotArea>
    </format>
    <format dxfId="167">
      <pivotArea dataOnly="0" labelOnly="1" outline="0" fieldPosition="0">
        <references count="2">
          <reference field="4294967294" count="1">
            <x v="0"/>
          </reference>
          <reference field="5" count="1" selected="0">
            <x v="1"/>
          </reference>
        </references>
      </pivotArea>
    </format>
    <format dxfId="166">
      <pivotArea dataOnly="0" outline="0" fieldPosition="0">
        <references count="1">
          <reference field="4294967294" count="1">
            <x v="0"/>
          </reference>
        </references>
      </pivotArea>
    </format>
    <format dxfId="165">
      <pivotArea field="5" type="button" dataOnly="0" labelOnly="1" outline="0" axis="axisRow" fieldPosition="0"/>
    </format>
    <format dxfId="164">
      <pivotArea outline="0" fieldPosition="0">
        <references count="1">
          <reference field="4294967294" count="1">
            <x v="3"/>
          </reference>
        </references>
      </pivotArea>
    </format>
    <format dxfId="163">
      <pivotArea outline="0" fieldPosition="0">
        <references count="2">
          <reference field="4294967294" count="1" selected="0">
            <x v="4"/>
          </reference>
          <reference field="5" count="1" selected="0">
            <x v="0"/>
          </reference>
        </references>
      </pivotArea>
    </format>
    <format dxfId="162">
      <pivotArea outline="0" fieldPosition="0">
        <references count="2">
          <reference field="4294967294" count="1" selected="0">
            <x v="4"/>
          </reference>
          <reference field="5" count="1" selected="0">
            <x v="1"/>
          </reference>
        </references>
      </pivotArea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filters count="1">
    <filter fld="0" type="dateNewerThan" evalOrder="-1" id="1">
      <autoFilter ref="A1">
        <filterColumn colId="0">
          <customFilters>
            <customFilter operator="greaterThan" val="43909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2000000}" name="Rentabilidad" cacheId="9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5" indent="0" compact="0" compactData="0" multipleFieldFilters="0" chartFormat="78">
  <location ref="AQ4:AT34" firstHeaderRow="1" firstDataRow="1" firstDataCol="3" rowPageCount="1" colPageCount="1"/>
  <pivotFields count="24">
    <pivotField axis="axisRow" compact="0" numFmtId="14" outline="0" showAll="0" defaultSubtotal="0">
      <items count="368"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0"/>
        <item x="367"/>
      </items>
    </pivotField>
    <pivotField axis="axisPage" compact="0" outline="0" showAll="0" defaultSubtotal="0">
      <items count="2">
        <item x="1"/>
        <item x="0"/>
      </items>
    </pivotField>
    <pivotField compact="0" outline="0" showAll="0"/>
    <pivotField compact="0" outline="0" showAll="0"/>
    <pivotField axis="axisRow" compact="0" outline="0" showAll="0" defaultSubtotal="0">
      <items count="14">
        <item m="1" x="7"/>
        <item m="1" x="9"/>
        <item m="1" x="8"/>
        <item m="1" x="12"/>
        <item m="1" x="11"/>
        <item m="1" x="13"/>
        <item m="1" x="10"/>
        <item x="0"/>
        <item x="1"/>
        <item x="2"/>
        <item x="3"/>
        <item x="4"/>
        <item x="5"/>
        <item x="6"/>
      </items>
    </pivotField>
    <pivotField axis="axisRow" compact="0" outline="0" showAll="0" sortType="ascending" defaultSubtotal="0">
      <items count="7">
        <item h="1" x="0"/>
        <item x="1"/>
        <item h="1" x="2"/>
        <item h="1" x="3"/>
        <item h="1" x="4"/>
        <item h="1" x="5"/>
        <item h="1" x="6"/>
      </items>
    </pivotField>
    <pivotField compact="0" numFmtId="166" outline="0" showAll="0"/>
    <pivotField compact="0" numFmtId="166" outline="0" showAll="0"/>
    <pivotField compact="0" outline="0" showAll="0"/>
    <pivotField compact="0" numFmtId="166" outline="0" showAll="0"/>
    <pivotField dataField="1" compact="0" numFmtId="166" outline="0" showAll="0" defaultSubtota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74" outline="0" showAll="0" defaultSubtota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</pivotFields>
  <rowFields count="3">
    <field x="5"/>
    <field x="0"/>
    <field x="4"/>
  </rowFields>
  <rowItems count="30">
    <i>
      <x v="1"/>
      <x v="64"/>
      <x v="12"/>
    </i>
    <i r="1">
      <x v="65"/>
      <x v="13"/>
    </i>
    <i r="1">
      <x v="66"/>
      <x v="7"/>
    </i>
    <i r="1">
      <x v="67"/>
      <x v="8"/>
    </i>
    <i r="1">
      <x v="68"/>
      <x v="9"/>
    </i>
    <i r="1">
      <x v="69"/>
      <x v="10"/>
    </i>
    <i r="1">
      <x v="70"/>
      <x v="11"/>
    </i>
    <i r="1">
      <x v="71"/>
      <x v="12"/>
    </i>
    <i r="1">
      <x v="72"/>
      <x v="13"/>
    </i>
    <i r="1">
      <x v="73"/>
      <x v="7"/>
    </i>
    <i r="1">
      <x v="74"/>
      <x v="8"/>
    </i>
    <i r="1">
      <x v="75"/>
      <x v="9"/>
    </i>
    <i r="1">
      <x v="76"/>
      <x v="10"/>
    </i>
    <i r="1">
      <x v="77"/>
      <x v="11"/>
    </i>
    <i r="1">
      <x v="78"/>
      <x v="12"/>
    </i>
    <i r="1">
      <x v="79"/>
      <x v="13"/>
    </i>
    <i r="1">
      <x v="80"/>
      <x v="7"/>
    </i>
    <i r="1">
      <x v="81"/>
      <x v="8"/>
    </i>
    <i r="1">
      <x v="82"/>
      <x v="9"/>
    </i>
    <i r="1">
      <x v="83"/>
      <x v="10"/>
    </i>
    <i r="1">
      <x v="84"/>
      <x v="11"/>
    </i>
    <i r="1">
      <x v="285"/>
      <x v="10"/>
    </i>
    <i r="1">
      <x v="286"/>
      <x v="11"/>
    </i>
    <i r="1">
      <x v="287"/>
      <x v="12"/>
    </i>
    <i r="1">
      <x v="288"/>
      <x v="13"/>
    </i>
    <i r="1">
      <x v="289"/>
      <x v="7"/>
    </i>
    <i r="1">
      <x v="290"/>
      <x v="8"/>
    </i>
    <i r="1">
      <x v="291"/>
      <x v="9"/>
    </i>
    <i r="1">
      <x v="292"/>
      <x v="10"/>
    </i>
    <i r="1">
      <x v="293"/>
      <x v="11"/>
    </i>
  </rowItems>
  <colItems count="1">
    <i/>
  </colItems>
  <pageFields count="1">
    <pageField fld="1" hier="-1"/>
  </pageFields>
  <dataFields count="1">
    <dataField name=" Gastos" fld="10" baseField="0" baseItem="0"/>
  </dataFields>
  <formats count="1">
    <format dxfId="172">
      <pivotArea outline="0" collapsedLevelsAreSubtotals="1" fieldPosition="0"/>
    </format>
  </formats>
  <chartFormats count="1">
    <chartFormat chart="5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1000000}" name="Ventas" cacheId="9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5" indent="0" compact="0" compactData="0" multipleFieldFilters="0" chartFormat="64">
  <location ref="AJ4:AM34" firstHeaderRow="1" firstDataRow="1" firstDataCol="3"/>
  <pivotFields count="24">
    <pivotField axis="axisRow" compact="0" numFmtId="14" outline="0" showAll="0" defaultSubtotal="0">
      <items count="368"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0"/>
        <item x="367"/>
      </items>
    </pivotField>
    <pivotField compact="0" outline="0" showAll="0" defaultSubtotal="0">
      <items count="2">
        <item x="1"/>
        <item x="0"/>
      </items>
    </pivotField>
    <pivotField compact="0" outline="0" showAll="0"/>
    <pivotField compact="0" outline="0" showAll="0"/>
    <pivotField axis="axisRow" compact="0" outline="0" showAll="0" defaultSubtotal="0">
      <items count="14">
        <item m="1" x="7"/>
        <item m="1" x="9"/>
        <item m="1" x="8"/>
        <item m="1" x="12"/>
        <item m="1" x="11"/>
        <item m="1" x="13"/>
        <item m="1" x="10"/>
        <item x="0"/>
        <item x="1"/>
        <item x="2"/>
        <item x="3"/>
        <item x="4"/>
        <item x="5"/>
        <item x="6"/>
      </items>
    </pivotField>
    <pivotField axis="axisRow" compact="0" outline="0" showAll="0" sortType="ascending" defaultSubtotal="0">
      <items count="7">
        <item h="1" x="0"/>
        <item x="1"/>
        <item h="1" x="2"/>
        <item h="1" x="3"/>
        <item h="1" x="4"/>
        <item h="1" x="5"/>
        <item h="1" x="6"/>
      </items>
    </pivotField>
    <pivotField compact="0" numFmtId="166" outline="0" showAll="0"/>
    <pivotField dataField="1" compact="0" numFmtId="166" outline="0" showAll="0"/>
    <pivotField compact="0" outline="0" showAll="0"/>
    <pivotField compact="0" numFmtId="166" outline="0" showAll="0"/>
    <pivotField compact="0" numFmtId="166" outline="0" showAll="0" defaultSubtota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74" outline="0" showAll="0" defaultSubtota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</pivotFields>
  <rowFields count="3">
    <field x="5"/>
    <field x="0"/>
    <field x="4"/>
  </rowFields>
  <rowItems count="30">
    <i>
      <x v="1"/>
      <x v="64"/>
      <x v="12"/>
    </i>
    <i r="1">
      <x v="65"/>
      <x v="13"/>
    </i>
    <i r="1">
      <x v="66"/>
      <x v="7"/>
    </i>
    <i r="1">
      <x v="67"/>
      <x v="8"/>
    </i>
    <i r="1">
      <x v="68"/>
      <x v="9"/>
    </i>
    <i r="1">
      <x v="69"/>
      <x v="10"/>
    </i>
    <i r="1">
      <x v="70"/>
      <x v="11"/>
    </i>
    <i r="1">
      <x v="71"/>
      <x v="12"/>
    </i>
    <i r="1">
      <x v="72"/>
      <x v="13"/>
    </i>
    <i r="1">
      <x v="73"/>
      <x v="7"/>
    </i>
    <i r="1">
      <x v="74"/>
      <x v="8"/>
    </i>
    <i r="1">
      <x v="75"/>
      <x v="9"/>
    </i>
    <i r="1">
      <x v="76"/>
      <x v="10"/>
    </i>
    <i r="1">
      <x v="77"/>
      <x v="11"/>
    </i>
    <i r="1">
      <x v="78"/>
      <x v="12"/>
    </i>
    <i r="1">
      <x v="79"/>
      <x v="13"/>
    </i>
    <i r="1">
      <x v="80"/>
      <x v="7"/>
    </i>
    <i r="1">
      <x v="81"/>
      <x v="8"/>
    </i>
    <i r="1">
      <x v="82"/>
      <x v="9"/>
    </i>
    <i r="1">
      <x v="83"/>
      <x v="10"/>
    </i>
    <i r="1">
      <x v="84"/>
      <x v="11"/>
    </i>
    <i r="1">
      <x v="285"/>
      <x v="10"/>
    </i>
    <i r="1">
      <x v="286"/>
      <x v="11"/>
    </i>
    <i r="1">
      <x v="287"/>
      <x v="12"/>
    </i>
    <i r="1">
      <x v="288"/>
      <x v="13"/>
    </i>
    <i r="1">
      <x v="289"/>
      <x v="7"/>
    </i>
    <i r="1">
      <x v="290"/>
      <x v="8"/>
    </i>
    <i r="1">
      <x v="291"/>
      <x v="9"/>
    </i>
    <i r="1">
      <x v="292"/>
      <x v="10"/>
    </i>
    <i r="1">
      <x v="293"/>
      <x v="11"/>
    </i>
  </rowItems>
  <colItems count="1">
    <i/>
  </colItems>
  <dataFields count="1">
    <dataField name=" Venta" fld="7" baseField="0" baseItem="0" numFmtId="167"/>
  </dataFields>
  <formats count="1">
    <format dxfId="173">
      <pivotArea outline="0" collapsedLevelsAreSubtotals="1" fieldPosition="0"/>
    </format>
  </formats>
  <chartFormats count="2"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6000000}" name="TablaDinámica2" cacheId="9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outline="1" outlineData="1" multipleFieldFilters="0" rowHeaderCaption="Día" colHeaderCaption="Semana">
  <location ref="A3:AH12" firstHeaderRow="1" firstDataRow="2" firstDataCol="1"/>
  <pivotFields count="24">
    <pivotField showAll="0" defaultSubtotal="0"/>
    <pivotField showAll="0" defaultSubtotal="0"/>
    <pivotField axis="axisCol" showAll="0" defaultSubtota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showAll="0" defaultSubtotal="0"/>
    <pivotField axis="axisRow" showAll="0" defaultSubtotal="0">
      <items count="14">
        <item m="1" x="10"/>
        <item m="1" x="7"/>
        <item m="1" x="9"/>
        <item m="1" x="8"/>
        <item m="1" x="12"/>
        <item x="1"/>
        <item x="2"/>
        <item x="3"/>
        <item x="4"/>
        <item m="1" x="11"/>
        <item m="1" x="13"/>
        <item x="5"/>
        <item x="6"/>
        <item x="0"/>
      </items>
    </pivotField>
    <pivotField multipleItemSelectionAllowed="1" showAll="0" defaultSubtotal="0"/>
    <pivotField numFmtId="166" showAll="0" defaultSubtotal="0"/>
    <pivotField dataField="1" numFmtId="166" showAll="0" defaultSubtotal="0"/>
    <pivotField showAll="0" defaultSubtotal="0"/>
    <pivotField numFmtId="166" showAll="0" defaultSubtotal="0"/>
    <pivotField numFmtId="166" showAll="0" defaultSubtotal="0"/>
    <pivotField numFmtId="166" showAll="0" defaultSubtotal="0"/>
    <pivotField numFmtId="166" showAll="0" defaultSubtotal="0"/>
    <pivotField numFmtId="166" showAll="0" defaultSubtotal="0"/>
    <pivotField numFmtId="166" showAll="0" defaultSubtotal="0"/>
    <pivotField numFmtId="166" showAll="0" defaultSubtotal="0"/>
    <pivotField numFmtId="166" showAll="0" defaultSubtotal="0"/>
    <pivotField numFmtId="166" showAll="0" defaultSubtotal="0"/>
    <pivotField numFmtId="166" showAll="0" defaultSubtotal="0"/>
    <pivotField numFmtId="174" showAll="0" defaultSubtotal="0"/>
    <pivotField numFmtId="166" showAll="0" defaultSubtotal="0"/>
    <pivotField numFmtId="166" subtotalTop="0" showAll="0" defaultSubtotal="0"/>
    <pivotField numFmtId="166" subtotalTop="0" showAll="0" defaultSubtotal="0"/>
    <pivotField numFmtId="166" subtotalTop="0" showAll="0" defaultSubtotal="0"/>
  </pivotFields>
  <rowFields count="1">
    <field x="4"/>
  </rowFields>
  <rowItems count="8">
    <i>
      <x v="5"/>
    </i>
    <i>
      <x v="6"/>
    </i>
    <i>
      <x v="7"/>
    </i>
    <i>
      <x v="8"/>
    </i>
    <i>
      <x v="11"/>
    </i>
    <i>
      <x v="12"/>
    </i>
    <i>
      <x v="13"/>
    </i>
    <i t="grand">
      <x/>
    </i>
  </rowItems>
  <colFields count="1">
    <field x="2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1">
    <dataField name="Suma de Venta" fld="7" baseField="4" baseItem="7"/>
  </dataFields>
  <formats count="36">
    <format dxfId="94">
      <pivotArea outline="0" collapsedLevelsAreSubtotals="1" fieldPosition="0"/>
    </format>
    <format dxfId="93">
      <pivotArea field="4" type="button" dataOnly="0" labelOnly="1" outline="0" axis="axisRow" fieldPosition="0"/>
    </format>
    <format dxfId="92">
      <pivotArea dataOnly="0" labelOnly="1" fieldPosition="0">
        <references count="1">
          <reference field="2" count="0"/>
        </references>
      </pivotArea>
    </format>
    <format dxfId="91">
      <pivotArea dataOnly="0" labelOnly="1" grandCol="1" outline="0" fieldPosition="0"/>
    </format>
    <format dxfId="90">
      <pivotArea collapsedLevelsAreSubtotals="1" fieldPosition="0">
        <references count="2">
          <reference field="2" count="3" selected="0">
            <x v="5"/>
            <x v="6"/>
            <x v="7"/>
          </reference>
          <reference field="4" count="5">
            <x v="7"/>
            <x v="8"/>
            <x v="11"/>
            <x v="12"/>
            <x v="13"/>
          </reference>
        </references>
      </pivotArea>
    </format>
    <format dxfId="89">
      <pivotArea collapsedLevelsAreSubtotals="1" fieldPosition="0">
        <references count="2">
          <reference field="2" count="4" selected="0">
            <x v="6"/>
            <x v="7"/>
            <x v="8"/>
            <x v="9"/>
          </reference>
          <reference field="4" count="4">
            <x v="5"/>
            <x v="6"/>
            <x v="7"/>
            <x v="8"/>
          </reference>
        </references>
      </pivotArea>
    </format>
    <format dxfId="88">
      <pivotArea collapsedLevelsAreSubtotals="1" fieldPosition="0">
        <references count="2">
          <reference field="2" count="1" selected="0">
            <x v="8"/>
          </reference>
          <reference field="4" count="4">
            <x v="8"/>
            <x v="11"/>
            <x v="12"/>
            <x v="13"/>
          </reference>
        </references>
      </pivotArea>
    </format>
    <format dxfId="87">
      <pivotArea collapsedLevelsAreSubtotals="1" fieldPosition="0">
        <references count="2">
          <reference field="2" count="1" selected="0">
            <x v="14"/>
          </reference>
          <reference field="4" count="0"/>
        </references>
      </pivotArea>
    </format>
    <format dxfId="86">
      <pivotArea dataOnly="0" labelOnly="1" fieldPosition="0">
        <references count="1">
          <reference field="4" count="1">
            <x v="13"/>
          </reference>
        </references>
      </pivotArea>
    </format>
    <format dxfId="85">
      <pivotArea dataOnly="0" labelOnly="1" fieldPosition="0">
        <references count="1">
          <reference field="4" count="1">
            <x v="6"/>
          </reference>
        </references>
      </pivotArea>
    </format>
    <format dxfId="84">
      <pivotArea dataOnly="0" labelOnly="1" fieldPosition="0">
        <references count="1">
          <reference field="4" count="1">
            <x v="5"/>
          </reference>
        </references>
      </pivotArea>
    </format>
    <format dxfId="83">
      <pivotArea collapsedLevelsAreSubtotals="1" fieldPosition="0">
        <references count="2">
          <reference field="2" count="16" selected="0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  <reference field="4" count="3">
            <x v="11"/>
            <x v="12"/>
            <x v="13"/>
          </reference>
        </references>
      </pivotArea>
    </format>
    <format dxfId="82">
      <pivotArea field="4" grandCol="1" collapsedLevelsAreSubtotals="1" axis="axisRow" fieldPosition="0">
        <references count="1">
          <reference field="4" count="3">
            <x v="11"/>
            <x v="12"/>
            <x v="13"/>
          </reference>
        </references>
      </pivotArea>
    </format>
    <format dxfId="81">
      <pivotArea collapsedLevelsAreSubtotals="1" fieldPosition="0">
        <references count="2">
          <reference field="2" count="2" selected="0">
            <x v="1"/>
            <x v="2"/>
          </reference>
          <reference field="4" count="3">
            <x v="11"/>
            <x v="12"/>
            <x v="13"/>
          </reference>
        </references>
      </pivotArea>
    </format>
    <format dxfId="80">
      <pivotArea collapsedLevelsAreSubtotals="1" fieldPosition="0">
        <references count="1">
          <reference field="4" count="3">
            <x v="11"/>
            <x v="12"/>
            <x v="13"/>
          </reference>
        </references>
      </pivotArea>
    </format>
    <format dxfId="79">
      <pivotArea collapsedLevelsAreSubtotals="1" fieldPosition="0">
        <references count="2">
          <reference field="2" count="15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4" count="3">
            <x v="11"/>
            <x v="12"/>
            <x v="13"/>
          </reference>
        </references>
      </pivotArea>
    </format>
    <format dxfId="78">
      <pivotArea field="4" type="button" dataOnly="0" labelOnly="1" outline="0" axis="axisRow" fieldPosition="0"/>
    </format>
    <format dxfId="77">
      <pivotArea collapsedLevelsAreSubtotals="1" fieldPosition="0">
        <references count="2">
          <reference field="2" count="4" selected="0">
            <x v="15"/>
            <x v="16"/>
            <x v="17"/>
            <x v="18"/>
          </reference>
          <reference field="4" count="0"/>
        </references>
      </pivotArea>
    </format>
    <format dxfId="76">
      <pivotArea collapsedLevelsAreSubtotals="1" fieldPosition="0">
        <references count="2">
          <reference field="2" count="1" selected="0">
            <x v="18"/>
          </reference>
          <reference field="4" count="5">
            <x v="7"/>
            <x v="8"/>
            <x v="11"/>
            <x v="12"/>
            <x v="13"/>
          </reference>
        </references>
      </pivotArea>
    </format>
    <format dxfId="75">
      <pivotArea dataOnly="0" labelOnly="1" fieldPosition="0">
        <references count="1">
          <reference field="4" count="4">
            <x v="7"/>
            <x v="8"/>
            <x v="11"/>
            <x v="12"/>
          </reference>
        </references>
      </pivotArea>
    </format>
    <format dxfId="74">
      <pivotArea dataOnly="0" labelOnly="1" fieldPosition="0">
        <references count="1">
          <reference field="4" count="1">
            <x v="11"/>
          </reference>
        </references>
      </pivotArea>
    </format>
    <format dxfId="73">
      <pivotArea collapsedLevelsAreSubtotals="1" fieldPosition="0">
        <references count="2">
          <reference field="2" count="3" selected="0">
            <x v="15"/>
            <x v="16"/>
            <x v="17"/>
          </reference>
          <reference field="4" count="0"/>
        </references>
      </pivotArea>
    </format>
    <format dxfId="72">
      <pivotArea collapsedLevelsAreSubtotals="1" fieldPosition="0">
        <references count="2">
          <reference field="2" count="1" selected="0">
            <x v="18"/>
          </reference>
          <reference field="4" count="2">
            <x v="5"/>
            <x v="6"/>
          </reference>
        </references>
      </pivotArea>
    </format>
    <format dxfId="71">
      <pivotArea dataOnly="0" labelOnly="1" fieldPosition="0">
        <references count="1">
          <reference field="4" count="1">
            <x v="11"/>
          </reference>
        </references>
      </pivotArea>
    </format>
    <format dxfId="70">
      <pivotArea collapsedLevelsAreSubtotals="1" fieldPosition="0">
        <references count="2">
          <reference field="2" count="1" selected="0">
            <x v="14"/>
          </reference>
          <reference field="4" count="0"/>
        </references>
      </pivotArea>
    </format>
    <format dxfId="69">
      <pivotArea collapsedLevelsAreSubtotals="1" fieldPosition="0">
        <references count="2">
          <reference field="2" count="6" selected="0">
            <x v="21"/>
            <x v="22"/>
            <x v="23"/>
            <x v="24"/>
            <x v="25"/>
            <x v="26"/>
          </reference>
          <reference field="4" count="2">
            <x v="12"/>
            <x v="13"/>
          </reference>
        </references>
      </pivotArea>
    </format>
    <format dxfId="68">
      <pivotArea collapsedLevelsAreSubtotals="1" fieldPosition="0">
        <references count="2">
          <reference field="2" count="5" selected="0">
            <x v="22"/>
            <x v="23"/>
            <x v="24"/>
            <x v="25"/>
            <x v="26"/>
          </reference>
          <reference field="4" count="5">
            <x v="5"/>
            <x v="6"/>
            <x v="7"/>
            <x v="8"/>
            <x v="11"/>
          </reference>
        </references>
      </pivotArea>
    </format>
    <format dxfId="67">
      <pivotArea collapsedLevelsAreSubtotals="1" fieldPosition="0">
        <references count="2">
          <reference field="2" count="1" selected="0">
            <x v="27"/>
          </reference>
          <reference field="4" count="1">
            <x v="5"/>
          </reference>
        </references>
      </pivotArea>
    </format>
    <format dxfId="66">
      <pivotArea collapsedLevelsAreSubtotals="1" fieldPosition="0">
        <references count="2">
          <reference field="2" count="1" selected="0">
            <x v="21"/>
          </reference>
          <reference field="4" count="2">
            <x v="12"/>
            <x v="13"/>
          </reference>
        </references>
      </pivotArea>
    </format>
    <format dxfId="65">
      <pivotArea collapsedLevelsAreSubtotals="1" fieldPosition="0">
        <references count="2">
          <reference field="2" count="1" selected="0">
            <x v="22"/>
          </reference>
          <reference field="4" count="5">
            <x v="5"/>
            <x v="6"/>
            <x v="7"/>
            <x v="8"/>
            <x v="11"/>
          </reference>
        </references>
      </pivotArea>
    </format>
    <format dxfId="64">
      <pivotArea collapsedLevelsAreSubtotals="1" fieldPosition="0">
        <references count="2">
          <reference field="2" count="1" selected="0">
            <x v="23"/>
          </reference>
          <reference field="4" count="1">
            <x v="7"/>
          </reference>
        </references>
      </pivotArea>
    </format>
    <format dxfId="63">
      <pivotArea collapsedLevelsAreSubtotals="1" fieldPosition="0">
        <references count="2">
          <reference field="2" count="1" selected="0">
            <x v="23"/>
          </reference>
          <reference field="4" count="1">
            <x v="7"/>
          </reference>
        </references>
      </pivotArea>
    </format>
    <format dxfId="62">
      <pivotArea collapsedLevelsAreSubtotals="1" fieldPosition="0">
        <references count="2">
          <reference field="2" count="4" selected="0">
            <x v="23"/>
            <x v="24"/>
            <x v="25"/>
            <x v="26"/>
          </reference>
          <reference field="4" count="1">
            <x v="13"/>
          </reference>
        </references>
      </pivotArea>
    </format>
    <format dxfId="61">
      <pivotArea collapsedLevelsAreSubtotals="1" fieldPosition="0">
        <references count="2">
          <reference field="2" count="3" selected="0">
            <x v="24"/>
            <x v="25"/>
            <x v="26"/>
          </reference>
          <reference field="4" count="5">
            <x v="6"/>
            <x v="7"/>
            <x v="8"/>
            <x v="11"/>
            <x v="12"/>
          </reference>
        </references>
      </pivotArea>
    </format>
    <format dxfId="60">
      <pivotArea collapsedLevelsAreSubtotals="1" fieldPosition="0">
        <references count="2">
          <reference field="2" count="4" selected="0">
            <x v="24"/>
            <x v="25"/>
            <x v="26"/>
            <x v="27"/>
          </reference>
          <reference field="4" count="1">
            <x v="5"/>
          </reference>
        </references>
      </pivotArea>
    </format>
    <format dxfId="59">
      <pivotArea collapsedLevelsAreSubtotals="1" fieldPosition="0">
        <references count="2">
          <reference field="2" count="1" selected="0">
            <x v="23"/>
          </reference>
          <reference field="4" count="2">
            <x v="12"/>
            <x v="13"/>
          </reference>
        </references>
      </pivotArea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5000000}" name="TablaDinámica3" cacheId="9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outline="1" outlineData="1" multipleFieldFilters="0" rowHeaderCaption="Día" colHeaderCaption="Semana">
  <location ref="AO4:AP12" firstHeaderRow="1" firstDataRow="1" firstDataCol="1" rowPageCount="1" colPageCount="1"/>
  <pivotFields count="24"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4">
        <item m="1" x="10"/>
        <item m="1" x="7"/>
        <item m="1" x="9"/>
        <item m="1" x="8"/>
        <item m="1" x="12"/>
        <item x="1"/>
        <item x="2"/>
        <item x="3"/>
        <item x="4"/>
        <item m="1" x="11"/>
        <item m="1" x="13"/>
        <item x="5"/>
        <item x="6"/>
        <item x="0"/>
      </items>
    </pivotField>
    <pivotField axis="axisPage" multipleItemSelectionAllowed="1" showAll="0" defaultSubtotal="0">
      <items count="7">
        <item h="1" x="0"/>
        <item h="1" x="1"/>
        <item h="1" x="2"/>
        <item h="1" x="3"/>
        <item h="1" x="4"/>
        <item x="5"/>
        <item h="1" x="6"/>
      </items>
    </pivotField>
    <pivotField numFmtId="166" showAll="0" defaultSubtotal="0"/>
    <pivotField numFmtId="166" showAll="0" defaultSubtotal="0"/>
    <pivotField showAll="0" defaultSubtotal="0"/>
    <pivotField numFmtId="166" showAll="0" defaultSubtotal="0"/>
    <pivotField numFmtId="166" showAll="0" defaultSubtotal="0"/>
    <pivotField numFmtId="166" showAll="0" defaultSubtotal="0"/>
    <pivotField numFmtId="166" showAll="0" defaultSubtotal="0"/>
    <pivotField numFmtId="166" showAll="0" defaultSubtotal="0"/>
    <pivotField numFmtId="166" showAll="0" defaultSubtotal="0"/>
    <pivotField numFmtId="166" showAll="0" defaultSubtotal="0"/>
    <pivotField numFmtId="166" showAll="0" defaultSubtotal="0"/>
    <pivotField numFmtId="166" showAll="0" defaultSubtotal="0"/>
    <pivotField numFmtId="166" showAll="0" defaultSubtotal="0"/>
    <pivotField numFmtId="174" showAll="0" defaultSubtotal="0"/>
    <pivotField numFmtId="166" showAll="0" defaultSubtotal="0"/>
    <pivotField numFmtId="166" subtotalTop="0" showAll="0" defaultSubtotal="0"/>
    <pivotField numFmtId="166" subtotalTop="0" showAll="0" defaultSubtotal="0"/>
    <pivotField dataField="1" numFmtId="166" subtotalTop="0" showAll="0" defaultSubtotal="0"/>
  </pivotFields>
  <rowFields count="1">
    <field x="4"/>
  </rowFields>
  <rowItems count="8">
    <i>
      <x v="5"/>
    </i>
    <i>
      <x v="6"/>
    </i>
    <i>
      <x v="7"/>
    </i>
    <i>
      <x v="8"/>
    </i>
    <i>
      <x v="11"/>
    </i>
    <i>
      <x v="12"/>
    </i>
    <i>
      <x v="13"/>
    </i>
    <i t="grand">
      <x/>
    </i>
  </rowItems>
  <colItems count="1">
    <i/>
  </colItems>
  <pageFields count="1">
    <pageField fld="5" hier="-1"/>
  </pageFields>
  <dataFields count="1">
    <dataField name="Prom. Venta PE &amp; CP" fld="23" subtotal="average" baseField="4" baseItem="5"/>
  </dataFields>
  <formats count="12">
    <format dxfId="106">
      <pivotArea outline="0" collapsedLevelsAreSubtotals="1" fieldPosition="0"/>
    </format>
    <format dxfId="105">
      <pivotArea field="4" type="button" dataOnly="0" labelOnly="1" outline="0" axis="axisRow" fieldPosition="0"/>
    </format>
    <format dxfId="104">
      <pivotArea dataOnly="0" labelOnly="1" grandCol="1" outline="0" fieldPosition="0"/>
    </format>
    <format dxfId="103">
      <pivotArea dataOnly="0" labelOnly="1" fieldPosition="0">
        <references count="1">
          <reference field="4" count="1">
            <x v="13"/>
          </reference>
        </references>
      </pivotArea>
    </format>
    <format dxfId="102">
      <pivotArea dataOnly="0" labelOnly="1" fieldPosition="0">
        <references count="1">
          <reference field="4" count="1">
            <x v="6"/>
          </reference>
        </references>
      </pivotArea>
    </format>
    <format dxfId="101">
      <pivotArea dataOnly="0" labelOnly="1" fieldPosition="0">
        <references count="1">
          <reference field="4" count="1">
            <x v="5"/>
          </reference>
        </references>
      </pivotArea>
    </format>
    <format dxfId="100">
      <pivotArea field="4" collapsedLevelsAreSubtotals="1" axis="axisRow" fieldPosition="0">
        <references count="1">
          <reference field="4" count="3">
            <x v="11"/>
            <x v="12"/>
            <x v="13"/>
          </reference>
        </references>
      </pivotArea>
    </format>
    <format dxfId="99">
      <pivotArea collapsedLevelsAreSubtotals="1" fieldPosition="0">
        <references count="1">
          <reference field="4" count="3">
            <x v="11"/>
            <x v="12"/>
            <x v="13"/>
          </reference>
        </references>
      </pivotArea>
    </format>
    <format dxfId="98">
      <pivotArea field="4" type="button" dataOnly="0" labelOnly="1" outline="0" axis="axisRow" fieldPosition="0"/>
    </format>
    <format dxfId="97">
      <pivotArea dataOnly="0" labelOnly="1" fieldPosition="0">
        <references count="1">
          <reference field="4" count="4">
            <x v="7"/>
            <x v="8"/>
            <x v="11"/>
            <x v="12"/>
          </reference>
        </references>
      </pivotArea>
    </format>
    <format dxfId="96">
      <pivotArea dataOnly="0" labelOnly="1" fieldPosition="0">
        <references count="1">
          <reference field="4" count="1">
            <x v="11"/>
          </reference>
        </references>
      </pivotArea>
    </format>
    <format dxfId="95">
      <pivotArea dataOnly="0" labelOnly="1" fieldPosition="0">
        <references count="1">
          <reference field="4" count="1">
            <x v="11"/>
          </reference>
        </references>
      </pivotArea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día" xr10:uid="{00000000-0013-0000-FFFF-FFFF01000000}" sourceName="Tipo día">
  <pivotTables>
    <pivotTable tabId="33" name="Tabla dinámica4"/>
    <pivotTable tabId="33" name="Tabla dinámica1"/>
    <pivotTable tabId="33" name="Ventas"/>
    <pivotTable tabId="33" name="Rentabilidad"/>
  </pivotTables>
  <data>
    <tabular pivotCacheId="1825490339">
      <items count="2">
        <i x="1" s="1"/>
        <i x="0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00000000-0013-0000-FFFF-FFFF02000000}" sourceName="Mes">
  <pivotTables>
    <pivotTable tabId="33" name="Tabla dinámica4"/>
    <pivotTable tabId="33" name="Tabla dinámica1"/>
    <pivotTable tabId="33" name="Ventas"/>
    <pivotTable tabId="33" name="Rentabilidad"/>
  </pivotTables>
  <data>
    <tabular pivotCacheId="1825490339">
      <items count="7">
        <i x="0"/>
        <i x="1" s="1"/>
        <i x="2"/>
        <i x="3"/>
        <i x="4"/>
        <i x="5"/>
        <i x="6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día" xr10:uid="{00000000-0014-0000-FFFF-FFFF01000000}" cache="SegmentaciónDeDatos_Tipo_día" caption="            Tipo día" style="SlicerStyleLight3" rowHeight="241300"/>
  <slicer name="Mes" xr10:uid="{00000000-0014-0000-FFFF-FFFF02000000}" cache="SegmentaciónDeDatos_Mes" caption="                  Mes" style="SlicerStyleLight3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sales" displayName="sales" ref="B2:N122" totalsRowShown="0" headerRowDxfId="294">
  <autoFilter ref="B2:N122" xr:uid="{00000000-0009-0000-0100-000005000000}"/>
  <tableColumns count="13">
    <tableColumn id="1" xr3:uid="{00000000-0010-0000-0000-000001000000}" name="Fecha" dataDxfId="293">
      <calculatedColumnFormula>[2]sales_BI!J2</calculatedColumnFormula>
    </tableColumn>
    <tableColumn id="25" xr3:uid="{00000000-0010-0000-0000-000019000000}" name="Hora" dataDxfId="292">
      <calculatedColumnFormula>[2]sales_BI!$K$2</calculatedColumnFormula>
    </tableColumn>
    <tableColumn id="2" xr3:uid="{00000000-0010-0000-0000-000002000000}" name="Tipo día" dataDxfId="291" totalsRowDxfId="290"/>
    <tableColumn id="7" xr3:uid="{00000000-0010-0000-0000-000007000000}" name="nombre_producto" dataDxfId="289" totalsRowDxfId="288">
      <calculatedColumnFormula>[2]sales!C5</calculatedColumnFormula>
    </tableColumn>
    <tableColumn id="21" xr3:uid="{00000000-0010-0000-0000-000015000000}" name="No. Semana de operación" dataDxfId="287" totalsRowDxfId="286" dataCellStyle="Millares [0]">
      <calculatedColumnFormula>+VLOOKUP(sales[[#This Row],[Fecha]],maestro!A:C,3,0)</calculatedColumnFormula>
    </tableColumn>
    <tableColumn id="8" xr3:uid="{00000000-0010-0000-0000-000008000000}" name="Gastos" dataDxfId="285" totalsRowDxfId="284" dataCellStyle="Millares [0]"/>
    <tableColumn id="10" xr3:uid="{00000000-0010-0000-0000-00000A000000}" name="Tipo día2" dataDxfId="283" totalsRowDxfId="282">
      <calculatedColumnFormula>+VLOOKUP(sales[[#This Row],[Fecha]],maestro!A:D,4,0)</calculatedColumnFormula>
    </tableColumn>
    <tableColumn id="3" xr3:uid="{00000000-0010-0000-0000-000003000000}" name="Día" dataDxfId="281">
      <calculatedColumnFormula>+TEXT(B3,"ddd")</calculatedColumnFormula>
    </tableColumn>
    <tableColumn id="4" xr3:uid="{00000000-0010-0000-0000-000004000000}" name="Mes">
      <calculatedColumnFormula>+TEXT(B3,"mmmm")</calculatedColumnFormula>
    </tableColumn>
    <tableColumn id="5" xr3:uid="{00000000-0010-0000-0000-000005000000}" name="Margen de contribución" dataDxfId="280" totalsRowDxfId="279">
      <calculatedColumnFormula>+M3*0.35</calculatedColumnFormula>
    </tableColumn>
    <tableColumn id="6" xr3:uid="{00000000-0010-0000-0000-000006000000}" name="Venta" dataDxfId="278" totalsRowDxfId="277">
      <calculatedColumnFormula>[2]sales_BI!H2</calculatedColumnFormula>
    </tableColumn>
    <tableColumn id="9" xr3:uid="{00000000-0010-0000-0000-000009000000}" name="Caja" dataDxfId="276">
      <calculatedColumnFormula>[2]sales_BI!L2</calculatedColumnFormula>
    </tableColumn>
    <tableColumn id="11" xr3:uid="{00000000-0010-0000-0000-00000B000000}" name="Bancos" dataDxfId="275" totalsRowDxfId="27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sales2" displayName="sales2" ref="B2:N122" totalsRowShown="0" headerRowDxfId="273">
  <autoFilter ref="B2:N122" xr:uid="{00000000-0009-0000-0100-000001000000}"/>
  <tableColumns count="13">
    <tableColumn id="1" xr3:uid="{00000000-0010-0000-0100-000001000000}" name="Fecha" dataDxfId="272">
      <calculatedColumnFormula>[2]sales_BI!J2</calculatedColumnFormula>
    </tableColumn>
    <tableColumn id="2" xr3:uid="{00000000-0010-0000-0100-000002000000}" name="dia_sem" dataDxfId="271">
      <calculatedColumnFormula>+TEXT(sales2[[#This Row],[Fecha]],"ddd")</calculatedColumnFormula>
    </tableColumn>
    <tableColumn id="7" xr3:uid="{00000000-0010-0000-0100-000007000000}" name="Gastos" dataDxfId="270">
      <calculatedColumnFormula>+sales2[[#This Row],[Arriendo]]+sales2[[#This Row],[Gas]]+sales2[[#This Row],[Agua]]+sales2[[#This Row],[Electricidad]]+sales2[[#This Row],[Nomina]]</calculatedColumnFormula>
    </tableColumn>
    <tableColumn id="14" xr3:uid="{00000000-0010-0000-0100-00000E000000}" name="Arriendo" dataDxfId="269" totalsRowDxfId="268">
      <calculatedColumnFormula>+VLOOKUP(sales2[[#This Row],[Fecha]],Opex!C:J,8,1)</calculatedColumnFormula>
    </tableColumn>
    <tableColumn id="3" xr3:uid="{00000000-0010-0000-0100-000003000000}" name="Servicios" dataDxfId="267" totalsRowDxfId="266">
      <calculatedColumnFormula>+SUM(sales2[[#This Row],[Gas]:[Electricidad]])</calculatedColumnFormula>
    </tableColumn>
    <tableColumn id="16" xr3:uid="{00000000-0010-0000-0100-000010000000}" name="Gas" dataDxfId="265" totalsRowDxfId="264"/>
    <tableColumn id="13" xr3:uid="{00000000-0010-0000-0100-00000D000000}" name="Agua" dataDxfId="263" totalsRowDxfId="262"/>
    <tableColumn id="5" xr3:uid="{00000000-0010-0000-0100-000005000000}" name="Internet" dataDxfId="261" totalsRowDxfId="260"/>
    <tableColumn id="12" xr3:uid="{00000000-0010-0000-0100-00000C000000}" name="Electricidad" dataDxfId="259" totalsRowDxfId="258"/>
    <tableColumn id="17" xr3:uid="{00000000-0010-0000-0100-000011000000}" name="Nomina" dataDxfId="257" totalsRowDxfId="256"/>
    <tableColumn id="18" xr3:uid="{00000000-0010-0000-0100-000012000000}" name="Cajero" dataDxfId="255" totalsRowDxfId="254"/>
    <tableColumn id="15" xr3:uid="{00000000-0010-0000-0100-00000F000000}" name="Parrillero" dataDxfId="253" totalsRowDxfId="252"/>
    <tableColumn id="19" xr3:uid="{00000000-0010-0000-0100-000013000000}" name="Domiciliario" dataDxfId="251" totalsRowDxfId="25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Opex" displayName="Opex" ref="B1:X13" headerRowDxfId="249">
  <autoFilter ref="B1:X13" xr:uid="{00000000-0009-0000-0100-000006000000}"/>
  <sortState xmlns:xlrd2="http://schemas.microsoft.com/office/spreadsheetml/2017/richdata2" ref="C2:T9">
    <sortCondition ref="C1:C9"/>
  </sortState>
  <tableColumns count="23">
    <tableColumn id="18" xr3:uid="{00000000-0010-0000-0200-000012000000}" name="Tipo" dataDxfId="248"/>
    <tableColumn id="1" xr3:uid="{00000000-0010-0000-0200-000001000000}" name="Fecha" dataDxfId="247" totalsRowDxfId="246"/>
    <tableColumn id="23" xr3:uid="{00000000-0010-0000-0200-000017000000}" name="fecha_fin" dataDxfId="245" totalsRowDxfId="244"/>
    <tableColumn id="4" xr3:uid="{00000000-0010-0000-0200-000004000000}" name="Mes" dataDxfId="243">
      <calculatedColumnFormula>+TEXT(C2,"mmmm")</calculatedColumnFormula>
    </tableColumn>
    <tableColumn id="10" xr3:uid="{00000000-0010-0000-0200-00000A000000}" name="Cuentas x Pagar" dataDxfId="242"/>
    <tableColumn id="22" xr3:uid="{00000000-0010-0000-0200-000016000000}" name="Día C x P" dataDxfId="241">
      <calculatedColumnFormula>+Opex[[#This Row],[Cuentas x Pagar]]/31</calculatedColumnFormula>
    </tableColumn>
    <tableColumn id="5" xr3:uid="{00000000-0010-0000-0200-000005000000}" name="Arriendo" dataDxfId="240" totalsRowDxfId="239">
      <calculatedColumnFormula>+M2*0.3</calculatedColumnFormula>
    </tableColumn>
    <tableColumn id="14" xr3:uid="{00000000-0010-0000-0200-00000E000000}" name="No. Días Arriendo" dataDxfId="238" totalsRowDxfId="237">
      <calculatedColumnFormula>+Opex[[#This Row],[fecha_fin]]-Opex[[#This Row],[Fecha]]</calculatedColumnFormula>
    </tableColumn>
    <tableColumn id="16" xr3:uid="{00000000-0010-0000-0200-000010000000}" name="Día Arriendo" dataDxfId="236" totalsRowDxfId="235">
      <calculatedColumnFormula>IFERROR(Opex[[#This Row],[Arriendo]]/Opex[[#This Row],[No. Días Arriendo]],0)</calculatedColumnFormula>
    </tableColumn>
    <tableColumn id="6" xr3:uid="{00000000-0010-0000-0200-000006000000}" name="Gas" dataDxfId="234" totalsRowDxfId="233"/>
    <tableColumn id="12" xr3:uid="{00000000-0010-0000-0200-00000C000000}" name="No. Días Gas" dataDxfId="232" totalsRowDxfId="231">
      <calculatedColumnFormula>+I1</calculatedColumnFormula>
    </tableColumn>
    <tableColumn id="9" xr3:uid="{00000000-0010-0000-0200-000009000000}" name="Consumo (m3)" dataDxfId="230" totalsRowDxfId="229"/>
    <tableColumn id="17" xr3:uid="{00000000-0010-0000-0200-000011000000}" name="Costo prom. Gas" dataDxfId="228" totalsRowDxfId="227">
      <calculatedColumnFormula>IFERROR(Opex[[#This Row],[Gas]]/Opex[[#This Row],[Consumo (m3)]],0)</calculatedColumnFormula>
    </tableColumn>
    <tableColumn id="19" xr3:uid="{00000000-0010-0000-0200-000013000000}" name="Día Gas" dataDxfId="226">
      <calculatedColumnFormula>IFERROR(Opex[[#This Row],[Gas]]/Opex[[#This Row],[No. Días Arriendo]],0)</calculatedColumnFormula>
    </tableColumn>
    <tableColumn id="3" xr3:uid="{00000000-0010-0000-0200-000003000000}" name="Agua" dataDxfId="225"/>
    <tableColumn id="7" xr3:uid="{00000000-0010-0000-0200-000007000000}" name="Dìa Agua" dataDxfId="224">
      <calculatedColumnFormula>IFERROR(Opex[[#This Row],[Agua]]/Opex[[#This Row],[No. Días Arriendo]],0)</calculatedColumnFormula>
    </tableColumn>
    <tableColumn id="11" xr3:uid="{00000000-0010-0000-0200-00000B000000}" name="Energia" dataDxfId="223" totalsRowDxfId="222"/>
    <tableColumn id="2" xr3:uid="{00000000-0010-0000-0200-000002000000}" name="Financiació Energia" dataDxfId="221" totalsRowDxfId="220">
      <calculatedColumnFormula>'[4]Radicado Energia'!$C14</calculatedColumnFormula>
    </tableColumn>
    <tableColumn id="13" xr3:uid="{00000000-0010-0000-0200-00000D000000}" name="No. Días Energia" dataDxfId="219">
      <calculatedColumnFormula>+AA2</calculatedColumnFormula>
    </tableColumn>
    <tableColumn id="15" xr3:uid="{00000000-0010-0000-0200-00000F000000}" name="Consumo_x000a_(KhW" dataDxfId="218"/>
    <tableColumn id="20" xr3:uid="{00000000-0010-0000-0200-000014000000}" name="Costo prom. Energia" dataDxfId="217">
      <calculatedColumnFormula>IFERROR(Opex[[#This Row],[Energia]]/Opex[[#This Row],[Consumo
(KhW]],0)</calculatedColumnFormula>
    </tableColumn>
    <tableColumn id="8" xr3:uid="{00000000-0010-0000-0200-000008000000}" name="Fecha corte enega" dataDxfId="216">
      <calculatedColumnFormula>+Opex[[#This Row],[Arriendo]]-#REF!</calculatedColumnFormula>
    </tableColumn>
    <tableColumn id="21" xr3:uid="{00000000-0010-0000-0200-000015000000}" name="Día Energia" dataDxfId="215" dataCellStyle="Millares [0]">
      <calculatedColumnFormula>IFERROR(Opex[[#This Row],[Energia]]/Opex[[#This Row],[No. Días Arriendo]],0)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3000000}" name="Planta_y_Equipo" displayName="Planta_y_Equipo" ref="B34:D56" totalsRowCount="1" headerRowDxfId="198">
  <autoFilter ref="B34:D55" xr:uid="{00000000-0009-0000-0100-00000D000000}"/>
  <sortState xmlns:xlrd2="http://schemas.microsoft.com/office/spreadsheetml/2017/richdata2" ref="B19:D42">
    <sortCondition descending="1" ref="D18:D42"/>
  </sortState>
  <tableColumns count="3">
    <tableColumn id="1" xr3:uid="{00000000-0010-0000-0300-000001000000}" name="Inversion Proyecto" totalsRowLabel="Total"/>
    <tableColumn id="2" xr3:uid="{00000000-0010-0000-0300-000002000000}" name="Origen Equipo" dataDxfId="197" dataCellStyle="Millares"/>
    <tableColumn id="3" xr3:uid="{00000000-0010-0000-0300-000003000000}" name="Valor" totalsRowFunction="sum" dataDxfId="196" totalsRowDxfId="195" dataCellStyle="Millares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4000000}" name="Stock_Actual" displayName="Stock_Actual" ref="H34:I43" totalsRowCount="1" headerRowDxfId="194" dataDxfId="192" headerRowBorderDxfId="193" tableBorderDxfId="191" totalsRowBorderDxfId="190">
  <autoFilter ref="H34:I42" xr:uid="{00000000-0009-0000-0100-00000E000000}"/>
  <sortState xmlns:xlrd2="http://schemas.microsoft.com/office/spreadsheetml/2017/richdata2" ref="H25:I36">
    <sortCondition descending="1" ref="I19:I31"/>
  </sortState>
  <tableColumns count="2">
    <tableColumn id="1" xr3:uid="{00000000-0010-0000-0400-000001000000}" name="Materia Prima" totalsRowLabel="Total" dataDxfId="189" totalsRowDxfId="188"/>
    <tableColumn id="2" xr3:uid="{00000000-0010-0000-0400-000002000000}" name="Valor" totalsRowFunction="sum" dataDxfId="187" totalsRowDxfId="186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5000000}" name="Gastos_entrada" displayName="Gastos_entrada" ref="H4:I9" totalsRowCount="1" headerRowDxfId="185">
  <autoFilter ref="H4:I8" xr:uid="{00000000-0009-0000-0100-00000F000000}"/>
  <sortState xmlns:xlrd2="http://schemas.microsoft.com/office/spreadsheetml/2017/richdata2" ref="H5:I11">
    <sortCondition descending="1" ref="I2:I9"/>
  </sortState>
  <tableColumns count="2">
    <tableColumn id="1" xr3:uid="{00000000-0010-0000-0500-000001000000}" name="Tipo de gasto" totalsRowLabel="Total"/>
    <tableColumn id="2" xr3:uid="{00000000-0010-0000-0500-000002000000}" name="Valor" totalsRowFunction="sum" dataDxfId="184" totalsRowDxfId="183" dataCellStyle="Millares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Stock_Ideal" displayName="Stock_Ideal" ref="H46:I54" totalsRowCount="1" headerRowDxfId="182" dataDxfId="180" headerRowBorderDxfId="181" tableBorderDxfId="179" totalsRowBorderDxfId="178">
  <autoFilter ref="H46:I53" xr:uid="{00000000-0009-0000-0100-000004000000}"/>
  <sortState xmlns:xlrd2="http://schemas.microsoft.com/office/spreadsheetml/2017/richdata2" ref="H47:I53">
    <sortCondition descending="1" ref="I19:I31"/>
  </sortState>
  <tableColumns count="2">
    <tableColumn id="1" xr3:uid="{00000000-0010-0000-0600-000001000000}" name="Materia Prima" totalsRowLabel="Total" dataDxfId="177" totalsRowDxfId="176"/>
    <tableColumn id="2" xr3:uid="{00000000-0010-0000-0600-000002000000}" name="Valor" totalsRowFunction="sum" dataDxfId="175" totalsRowDxfId="174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7000000}" name="Pasivos" displayName="Pasivos" ref="A5:R25" totalsRowCount="1" headerRowDxfId="160" dataDxfId="158" totalsRowDxfId="156" headerRowBorderDxfId="159" tableBorderDxfId="157">
  <autoFilter ref="A5:R24" xr:uid="{00000000-0009-0000-0100-000002000000}"/>
  <tableColumns count="18">
    <tableColumn id="5" xr3:uid="{00000000-0010-0000-0700-000005000000}" name="Nombre proveedor" dataDxfId="155" totalsRowDxfId="154" dataCellStyle="Moneda"/>
    <tableColumn id="7" xr3:uid="{00000000-0010-0000-0700-000007000000}" name="Proveedor" totalsRowLabel="Total" dataDxfId="153" totalsRowDxfId="152" dataCellStyle="Moneda 3"/>
    <tableColumn id="4" xr3:uid="{00000000-0010-0000-0700-000004000000}" name="Tipo de obligación" dataDxfId="151" totalsRowDxfId="150" dataCellStyle="Moneda 3"/>
    <tableColumn id="8" xr3:uid="{00000000-0010-0000-0700-000008000000}" name="Marzo" totalsRowFunction="sum" dataDxfId="149" totalsRowDxfId="148" dataCellStyle="Moneda 3"/>
    <tableColumn id="3" xr3:uid="{00000000-0010-0000-0700-000003000000}" name="Valor pagado_x000a_Marzo" totalsRowFunction="custom" dataDxfId="147" totalsRowDxfId="146" dataCellStyle="Moneda">
      <totalsRowFormula>+SUM(Pasivos[Valor pagado
Marzo])</totalsRowFormula>
    </tableColumn>
    <tableColumn id="2" xr3:uid="{00000000-0010-0000-0700-000002000000}" name="Abril" totalsRowFunction="custom" dataDxfId="145" totalsRowDxfId="144" dataCellStyle="Moneda 3">
      <totalsRowFormula>+SUM(Pasivos[Abril])</totalsRowFormula>
    </tableColumn>
    <tableColumn id="1" xr3:uid="{00000000-0010-0000-0700-000001000000}" name="Valor pagado_x000a_Abril" totalsRowFunction="custom" dataDxfId="143" totalsRowDxfId="142" dataCellStyle="Moneda 3">
      <totalsRowFormula>+SUM(Pasivos[Valor pagado
Abril])</totalsRowFormula>
    </tableColumn>
    <tableColumn id="12" xr3:uid="{00000000-0010-0000-0700-00000C000000}" name="Mayo" totalsRowFunction="custom" dataDxfId="141" totalsRowDxfId="140" dataCellStyle="Moneda 3">
      <totalsRowFormula>+SUM(Pasivos[Mayo])</totalsRowFormula>
    </tableColumn>
    <tableColumn id="13" xr3:uid="{00000000-0010-0000-0700-00000D000000}" name="Valor pagado_x000a_Mayo" totalsRowFunction="custom" dataDxfId="139" totalsRowDxfId="138" dataCellStyle="Moneda 3">
      <totalsRowFormula>+SUM(Pasivos[Valor pagado
Mayo])</totalsRowFormula>
    </tableColumn>
    <tableColumn id="9" xr3:uid="{00000000-0010-0000-0700-000009000000}" name="Junio" totalsRowFunction="custom" dataDxfId="137" totalsRowDxfId="136" dataCellStyle="Moneda 3">
      <totalsRowFormula>+SUM(Pasivos[Junio])</totalsRowFormula>
    </tableColumn>
    <tableColumn id="14" xr3:uid="{00000000-0010-0000-0700-00000E000000}" name="Valor pagado_x000a_Junio" totalsRowFunction="custom" dataDxfId="135" totalsRowDxfId="134" dataCellStyle="Moneda 3">
      <calculatedColumnFormula>+Pasivos[[#This Row],[Junio]]</calculatedColumnFormula>
      <totalsRowFormula>+SUM(Pasivos[Valor pagado
Junio])</totalsRowFormula>
    </tableColumn>
    <tableColumn id="10" xr3:uid="{00000000-0010-0000-0700-00000A000000}" name="Julio" totalsRowFunction="custom" dataDxfId="133" totalsRowDxfId="132" dataCellStyle="Moneda 3">
      <totalsRowFormula>+SUM(Pasivos[Julio])</totalsRowFormula>
    </tableColumn>
    <tableColumn id="19" xr3:uid="{00000000-0010-0000-0700-000013000000}" name="Pagos Julio x programar" totalsRowFunction="custom" dataDxfId="131" totalsRowDxfId="130" dataCellStyle="Moneda 3">
      <totalsRowFormula>+SUM(Pasivos[Pagos Julio x programar])</totalsRowFormula>
    </tableColumn>
    <tableColumn id="18" xr3:uid="{00000000-0010-0000-0700-000012000000}" name="Valor pagado_x000a_Julio" totalsRowFunction="custom" dataDxfId="129" totalsRowDxfId="128" dataCellStyle="Moneda 3">
      <totalsRowFormula>+SUM(Pasivos[Valor pagado
Julio])</totalsRowFormula>
    </tableColumn>
    <tableColumn id="6" xr3:uid="{00000000-0010-0000-0700-000006000000}" name="Valor por Pagar" totalsRowFunction="custom" dataDxfId="127" totalsRowDxfId="126" dataCellStyle="Moneda 3">
      <totalsRowFormula>+SUM(Pasivos[Valor por Pagar])</totalsRowFormula>
    </tableColumn>
    <tableColumn id="16" xr3:uid="{00000000-0010-0000-0700-000010000000}" name="Estado Tesoreria" dataDxfId="125" totalsRowDxfId="124" dataCellStyle="Moneda 3"/>
    <tableColumn id="11" xr3:uid="{00000000-0010-0000-0700-00000B000000}" name="Origen" dataDxfId="123" totalsRowDxfId="122"/>
    <tableColumn id="15" xr3:uid="{00000000-0010-0000-0700-00000F000000}" name="Saldo nuevo admón" totalsRowFunction="custom" dataDxfId="121" totalsRowDxfId="120">
      <calculatedColumnFormula>+Pasivos[[#This Row],[Julio]]</calculatedColumnFormula>
      <totalsRowFormula>+SUM(Pasivos[Saldo nuevo admón])</totalsRowFormula>
    </tableColumn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Pasivos8" displayName="Pasivos8" ref="A5:D8" totalsRowCount="1" headerRowDxfId="119" dataDxfId="117" totalsRowDxfId="115" headerRowBorderDxfId="118" tableBorderDxfId="116">
  <autoFilter ref="A5:D7" xr:uid="{00000000-0009-0000-0100-000007000000}"/>
  <tableColumns count="4">
    <tableColumn id="7" xr3:uid="{00000000-0010-0000-0800-000007000000}" name="Proveedor" totalsRowLabel="Total" dataDxfId="114" totalsRowDxfId="113" dataCellStyle="Moneda"/>
    <tableColumn id="4" xr3:uid="{00000000-0010-0000-0800-000004000000}" name="Tipo de obligación" dataDxfId="112" totalsRowDxfId="111" dataCellStyle="Moneda 3"/>
    <tableColumn id="5" xr3:uid="{00000000-0010-0000-0800-000005000000}" name="Nombre proveedor" dataDxfId="110" totalsRowDxfId="109" dataCellStyle="Moneda"/>
    <tableColumn id="9" xr3:uid="{00000000-0010-0000-0800-000009000000}" name="Junio" totalsRowFunction="custom" dataDxfId="108" totalsRowDxfId="107" dataCellStyle="Moneda 3">
      <totalsRowFormula>+SUM(Pasivos8[Junio])</totalsRowFormula>
    </tableColumn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9000000}" name="Opex9" displayName="Opex9" ref="B1:U20" headerRowDxfId="58">
  <autoFilter ref="B1:U20" xr:uid="{00000000-0009-0000-0100-000008000000}"/>
  <sortState xmlns:xlrd2="http://schemas.microsoft.com/office/spreadsheetml/2017/richdata2" ref="B2:Q9">
    <sortCondition ref="B1:B9"/>
  </sortState>
  <tableColumns count="20">
    <tableColumn id="18" xr3:uid="{00000000-0010-0000-0900-000012000000}" name="Tipo" dataDxfId="57"/>
    <tableColumn id="1" xr3:uid="{00000000-0010-0000-0900-000001000000}" name="Fecha" dataDxfId="56" totalsRowDxfId="55"/>
    <tableColumn id="4" xr3:uid="{00000000-0010-0000-0900-000004000000}" name="Mes" dataDxfId="54">
      <calculatedColumnFormula>+TEXT(C2,"mmmm")</calculatedColumnFormula>
    </tableColumn>
    <tableColumn id="5" xr3:uid="{00000000-0010-0000-0900-000005000000}" name="Arriendo" dataDxfId="53" totalsRowDxfId="52">
      <calculatedColumnFormula>+J2*0.3</calculatedColumnFormula>
    </tableColumn>
    <tableColumn id="14" xr3:uid="{00000000-0010-0000-0900-00000E000000}" name="No. Días Arriendo" dataDxfId="51" totalsRowDxfId="50"/>
    <tableColumn id="16" xr3:uid="{00000000-0010-0000-0900-000010000000}" name="Día Arriendo" dataDxfId="49" totalsRowDxfId="48">
      <calculatedColumnFormula>IFERROR(Opex9[[#This Row],[Arriendo]]/Opex9[[#This Row],[No. Días Arriendo]],0)</calculatedColumnFormula>
    </tableColumn>
    <tableColumn id="6" xr3:uid="{00000000-0010-0000-0900-000006000000}" name="Gas" dataDxfId="47" totalsRowDxfId="46"/>
    <tableColumn id="12" xr3:uid="{00000000-0010-0000-0900-00000C000000}" name="No. Días Gas" dataDxfId="45" totalsRowDxfId="44">
      <calculatedColumnFormula>+F1</calculatedColumnFormula>
    </tableColumn>
    <tableColumn id="9" xr3:uid="{00000000-0010-0000-0900-000009000000}" name="Consumo (m3)" dataDxfId="43" totalsRowDxfId="42"/>
    <tableColumn id="17" xr3:uid="{00000000-0010-0000-0900-000011000000}" name="Costo prom. Gas" dataDxfId="41" totalsRowDxfId="40">
      <calculatedColumnFormula>IFERROR(Opex9[[#This Row],[Gas]]/Opex9[[#This Row],[Consumo (m3)]],0)</calculatedColumnFormula>
    </tableColumn>
    <tableColumn id="19" xr3:uid="{00000000-0010-0000-0900-000013000000}" name="Día Gas" dataDxfId="39">
      <calculatedColumnFormula>IFERROR(Opex9[[#This Row],[Gas]]/Opex9[[#This Row],[No. Días Arriendo]],0)</calculatedColumnFormula>
    </tableColumn>
    <tableColumn id="3" xr3:uid="{00000000-0010-0000-0900-000003000000}" name="Agua" dataDxfId="38"/>
    <tableColumn id="7" xr3:uid="{00000000-0010-0000-0900-000007000000}" name="Dìa Agua" dataDxfId="37">
      <calculatedColumnFormula>IFERROR(Opex9[[#This Row],[Agua]]/Opex9[[#This Row],[No. Días Arriendo]],0)</calculatedColumnFormula>
    </tableColumn>
    <tableColumn id="11" xr3:uid="{00000000-0010-0000-0900-00000B000000}" name="Energia" dataDxfId="36" totalsRowDxfId="35"/>
    <tableColumn id="2" xr3:uid="{00000000-0010-0000-0900-000002000000}" name="Financiació Energia" dataDxfId="34" totalsRowDxfId="33">
      <calculatedColumnFormula>'[4]Radicado Energia'!$C14</calculatedColumnFormula>
    </tableColumn>
    <tableColumn id="13" xr3:uid="{00000000-0010-0000-0900-00000D000000}" name="No. Días Energia" dataDxfId="32">
      <calculatedColumnFormula>+X2</calculatedColumnFormula>
    </tableColumn>
    <tableColumn id="15" xr3:uid="{00000000-0010-0000-0900-00000F000000}" name="Consumo_x000a_(KhW" dataDxfId="31"/>
    <tableColumn id="20" xr3:uid="{00000000-0010-0000-0900-000014000000}" name="Costo prom. Energia" dataDxfId="30">
      <calculatedColumnFormula>IFERROR(Opex9[[#This Row],[Energia]]/Opex9[[#This Row],[Consumo
(KhW]],0)</calculatedColumnFormula>
    </tableColumn>
    <tableColumn id="8" xr3:uid="{00000000-0010-0000-0900-000008000000}" name="Fecha corte enega" dataDxfId="29">
      <calculatedColumnFormula>+Opex9[[#This Row],[Arriendo]]-#REF!</calculatedColumnFormula>
    </tableColumn>
    <tableColumn id="21" xr3:uid="{00000000-0010-0000-0900-000015000000}" name="Día Energia" dataDxfId="28" dataCellStyle="Millares [0]">
      <calculatedColumnFormula>IFERROR(Opex9[[#This Row],[Energia]]/Opex9[[#This Row],[No. Días Arriendo]],0)</calculatedColumnFormula>
    </tableColumn>
  </tableColumns>
  <tableStyleInfo name="TableStyleMedium1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drawing" Target="../drawings/drawing4.xml"/><Relationship Id="rId7" Type="http://schemas.openxmlformats.org/officeDocument/2006/relationships/table" Target="../tables/table6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vmlDrawing" Target="../drawings/vmlDrawing1.vml"/><Relationship Id="rId9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7" Type="http://schemas.microsoft.com/office/2007/relationships/slicer" Target="../slicers/slicer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5.xml"/><Relationship Id="rId5" Type="http://schemas.openxmlformats.org/officeDocument/2006/relationships/printerSettings" Target="../printerSettings/printerSettings5.bin"/><Relationship Id="rId4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2.xml"/><Relationship Id="rId4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hyperlink" Target="https://linea.ccb.org.co/TiendaConsultas/Servicios/Consultas/Default.aspx" TargetMode="External"/><Relationship Id="rId1" Type="http://schemas.openxmlformats.org/officeDocument/2006/relationships/hyperlink" Target="https://linea.ccb.org.co/CertificadosElectronicosR/Index.html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fondoemprender.com/SitePages/Contacteno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4"/>
  <sheetViews>
    <sheetView workbookViewId="0">
      <selection activeCell="D18" sqref="D18"/>
    </sheetView>
  </sheetViews>
  <sheetFormatPr baseColWidth="10" defaultRowHeight="14.25" x14ac:dyDescent="0.2"/>
  <cols>
    <col min="3" max="3" width="21.25" style="7" bestFit="1" customWidth="1"/>
  </cols>
  <sheetData>
    <row r="1" spans="1:4" x14ac:dyDescent="0.2">
      <c r="A1" s="258" t="s">
        <v>149</v>
      </c>
      <c r="B1" s="258" t="s">
        <v>409</v>
      </c>
      <c r="C1" s="263" t="s">
        <v>378</v>
      </c>
      <c r="D1" s="179" t="s">
        <v>309</v>
      </c>
    </row>
    <row r="2" spans="1:4" x14ac:dyDescent="0.2">
      <c r="A2" s="259">
        <v>46076</v>
      </c>
      <c r="B2" t="str">
        <f>+TEXT(A2,"dddd")</f>
        <v>lunes</v>
      </c>
      <c r="C2" s="7">
        <v>1</v>
      </c>
      <c r="D2" s="261" t="s">
        <v>311</v>
      </c>
    </row>
    <row r="3" spans="1:4" x14ac:dyDescent="0.2">
      <c r="A3" s="259">
        <v>46076</v>
      </c>
      <c r="B3" t="str">
        <f t="shared" ref="B3:B66" si="0">+TEXT(A3,"dddd")</f>
        <v>lunes</v>
      </c>
      <c r="C3" s="7">
        <v>1</v>
      </c>
      <c r="D3" s="261" t="s">
        <v>311</v>
      </c>
    </row>
    <row r="4" spans="1:4" x14ac:dyDescent="0.2">
      <c r="A4" s="259">
        <v>46077</v>
      </c>
      <c r="B4" t="str">
        <f t="shared" si="0"/>
        <v>martes</v>
      </c>
      <c r="C4" s="7">
        <v>1</v>
      </c>
      <c r="D4" s="261" t="s">
        <v>311</v>
      </c>
    </row>
    <row r="5" spans="1:4" x14ac:dyDescent="0.2">
      <c r="A5" s="259">
        <v>46078</v>
      </c>
      <c r="B5" t="str">
        <f t="shared" si="0"/>
        <v>miércoles</v>
      </c>
      <c r="C5" s="7">
        <v>1</v>
      </c>
      <c r="D5" s="261" t="s">
        <v>311</v>
      </c>
    </row>
    <row r="6" spans="1:4" x14ac:dyDescent="0.2">
      <c r="A6" s="259">
        <v>46079</v>
      </c>
      <c r="B6" t="str">
        <f t="shared" si="0"/>
        <v>jueves</v>
      </c>
      <c r="C6" s="7">
        <v>1</v>
      </c>
      <c r="D6" s="261" t="s">
        <v>311</v>
      </c>
    </row>
    <row r="7" spans="1:4" x14ac:dyDescent="0.2">
      <c r="A7" s="259">
        <v>46080</v>
      </c>
      <c r="B7" t="str">
        <f t="shared" si="0"/>
        <v>viernes</v>
      </c>
      <c r="C7" s="7">
        <v>1</v>
      </c>
      <c r="D7" s="261" t="s">
        <v>313</v>
      </c>
    </row>
    <row r="8" spans="1:4" x14ac:dyDescent="0.2">
      <c r="A8" s="259">
        <v>46081</v>
      </c>
      <c r="B8" t="str">
        <f t="shared" si="0"/>
        <v>sábado</v>
      </c>
      <c r="C8" s="7">
        <v>1</v>
      </c>
      <c r="D8" s="260" t="s">
        <v>312</v>
      </c>
    </row>
    <row r="9" spans="1:4" x14ac:dyDescent="0.2">
      <c r="A9" s="259">
        <v>46082</v>
      </c>
      <c r="B9" t="str">
        <f t="shared" si="0"/>
        <v>domingo</v>
      </c>
      <c r="C9" s="7">
        <v>1</v>
      </c>
      <c r="D9" s="261" t="s">
        <v>345</v>
      </c>
    </row>
    <row r="10" spans="1:4" x14ac:dyDescent="0.2">
      <c r="A10" s="259">
        <v>46083</v>
      </c>
      <c r="B10" t="str">
        <f t="shared" si="0"/>
        <v>lunes</v>
      </c>
      <c r="C10" s="7">
        <v>2</v>
      </c>
      <c r="D10" s="261" t="s">
        <v>311</v>
      </c>
    </row>
    <row r="11" spans="1:4" x14ac:dyDescent="0.2">
      <c r="A11" s="259">
        <v>46084</v>
      </c>
      <c r="B11" t="str">
        <f t="shared" si="0"/>
        <v>martes</v>
      </c>
      <c r="C11" s="7">
        <v>2</v>
      </c>
      <c r="D11" s="261" t="s">
        <v>311</v>
      </c>
    </row>
    <row r="12" spans="1:4" x14ac:dyDescent="0.2">
      <c r="A12" s="259">
        <v>46085</v>
      </c>
      <c r="B12" t="str">
        <f t="shared" si="0"/>
        <v>miércoles</v>
      </c>
      <c r="C12" s="7">
        <v>2</v>
      </c>
      <c r="D12" s="261" t="s">
        <v>311</v>
      </c>
    </row>
    <row r="13" spans="1:4" x14ac:dyDescent="0.2">
      <c r="A13" s="259">
        <v>46086</v>
      </c>
      <c r="B13" t="str">
        <f t="shared" si="0"/>
        <v>jueves</v>
      </c>
      <c r="C13" s="7">
        <v>2</v>
      </c>
      <c r="D13" s="261" t="s">
        <v>311</v>
      </c>
    </row>
    <row r="14" spans="1:4" x14ac:dyDescent="0.2">
      <c r="A14" s="259">
        <v>46087</v>
      </c>
      <c r="B14" t="str">
        <f t="shared" si="0"/>
        <v>viernes</v>
      </c>
      <c r="C14" s="7">
        <v>2</v>
      </c>
      <c r="D14" s="261" t="s">
        <v>313</v>
      </c>
    </row>
    <row r="15" spans="1:4" x14ac:dyDescent="0.2">
      <c r="A15" s="259">
        <v>46088</v>
      </c>
      <c r="B15" t="str">
        <f t="shared" si="0"/>
        <v>sábado</v>
      </c>
      <c r="C15" s="7">
        <v>2</v>
      </c>
      <c r="D15" s="260" t="s">
        <v>312</v>
      </c>
    </row>
    <row r="16" spans="1:4" x14ac:dyDescent="0.2">
      <c r="A16" s="259">
        <v>46089</v>
      </c>
      <c r="B16" t="str">
        <f t="shared" si="0"/>
        <v>domingo</v>
      </c>
      <c r="C16" s="7">
        <v>2</v>
      </c>
      <c r="D16" s="261" t="s">
        <v>345</v>
      </c>
    </row>
    <row r="17" spans="1:4" x14ac:dyDescent="0.2">
      <c r="A17" s="259">
        <v>46090</v>
      </c>
      <c r="B17" t="str">
        <f t="shared" si="0"/>
        <v>lunes</v>
      </c>
      <c r="C17" s="7">
        <f>+C10+1</f>
        <v>3</v>
      </c>
      <c r="D17" s="261" t="s">
        <v>311</v>
      </c>
    </row>
    <row r="18" spans="1:4" x14ac:dyDescent="0.2">
      <c r="A18" s="259">
        <v>46091</v>
      </c>
      <c r="B18" t="str">
        <f t="shared" si="0"/>
        <v>martes</v>
      </c>
      <c r="C18" s="7">
        <f t="shared" ref="C18:C81" si="1">+C11+1</f>
        <v>3</v>
      </c>
      <c r="D18" s="261" t="s">
        <v>311</v>
      </c>
    </row>
    <row r="19" spans="1:4" x14ac:dyDescent="0.2">
      <c r="A19" s="259">
        <v>46092</v>
      </c>
      <c r="B19" t="str">
        <f t="shared" si="0"/>
        <v>miércoles</v>
      </c>
      <c r="C19" s="7">
        <f t="shared" si="1"/>
        <v>3</v>
      </c>
      <c r="D19" s="261" t="s">
        <v>311</v>
      </c>
    </row>
    <row r="20" spans="1:4" x14ac:dyDescent="0.2">
      <c r="A20" s="259">
        <v>46093</v>
      </c>
      <c r="B20" t="str">
        <f t="shared" si="0"/>
        <v>jueves</v>
      </c>
      <c r="C20" s="7">
        <f t="shared" si="1"/>
        <v>3</v>
      </c>
      <c r="D20" s="261" t="s">
        <v>311</v>
      </c>
    </row>
    <row r="21" spans="1:4" x14ac:dyDescent="0.2">
      <c r="A21" s="259">
        <v>46094</v>
      </c>
      <c r="B21" t="str">
        <f t="shared" si="0"/>
        <v>viernes</v>
      </c>
      <c r="C21" s="7">
        <f t="shared" si="1"/>
        <v>3</v>
      </c>
      <c r="D21" s="261" t="s">
        <v>313</v>
      </c>
    </row>
    <row r="22" spans="1:4" x14ac:dyDescent="0.2">
      <c r="A22" s="259">
        <v>46095</v>
      </c>
      <c r="B22" t="str">
        <f t="shared" si="0"/>
        <v>sábado</v>
      </c>
      <c r="C22" s="7">
        <f t="shared" si="1"/>
        <v>3</v>
      </c>
      <c r="D22" s="260" t="s">
        <v>312</v>
      </c>
    </row>
    <row r="23" spans="1:4" x14ac:dyDescent="0.2">
      <c r="A23" s="259">
        <v>46096</v>
      </c>
      <c r="B23" t="str">
        <f t="shared" si="0"/>
        <v>domingo</v>
      </c>
      <c r="C23" s="7">
        <f t="shared" si="1"/>
        <v>3</v>
      </c>
      <c r="D23" s="261" t="s">
        <v>345</v>
      </c>
    </row>
    <row r="24" spans="1:4" x14ac:dyDescent="0.2">
      <c r="A24" s="259">
        <v>46097</v>
      </c>
      <c r="B24" t="str">
        <f t="shared" si="0"/>
        <v>lunes</v>
      </c>
      <c r="C24" s="7">
        <f t="shared" si="1"/>
        <v>4</v>
      </c>
      <c r="D24" s="261" t="s">
        <v>311</v>
      </c>
    </row>
    <row r="25" spans="1:4" x14ac:dyDescent="0.2">
      <c r="A25" s="259">
        <v>46098</v>
      </c>
      <c r="B25" t="str">
        <f t="shared" si="0"/>
        <v>martes</v>
      </c>
      <c r="C25" s="7">
        <f t="shared" si="1"/>
        <v>4</v>
      </c>
      <c r="D25" s="261" t="s">
        <v>311</v>
      </c>
    </row>
    <row r="26" spans="1:4" x14ac:dyDescent="0.2">
      <c r="A26" s="259">
        <v>46099</v>
      </c>
      <c r="B26" t="str">
        <f t="shared" si="0"/>
        <v>miércoles</v>
      </c>
      <c r="C26" s="7">
        <f t="shared" si="1"/>
        <v>4</v>
      </c>
      <c r="D26" s="261" t="s">
        <v>311</v>
      </c>
    </row>
    <row r="27" spans="1:4" x14ac:dyDescent="0.2">
      <c r="A27" s="259">
        <v>46100</v>
      </c>
      <c r="B27" t="str">
        <f t="shared" si="0"/>
        <v>jueves</v>
      </c>
      <c r="C27" s="7">
        <f t="shared" si="1"/>
        <v>4</v>
      </c>
      <c r="D27" s="261" t="s">
        <v>311</v>
      </c>
    </row>
    <row r="28" spans="1:4" x14ac:dyDescent="0.2">
      <c r="A28" s="259">
        <v>46101</v>
      </c>
      <c r="B28" t="str">
        <f t="shared" si="0"/>
        <v>viernes</v>
      </c>
      <c r="C28" s="7">
        <f t="shared" si="1"/>
        <v>4</v>
      </c>
      <c r="D28" s="261" t="s">
        <v>313</v>
      </c>
    </row>
    <row r="29" spans="1:4" x14ac:dyDescent="0.2">
      <c r="A29" s="259">
        <v>46102</v>
      </c>
      <c r="B29" t="str">
        <f t="shared" si="0"/>
        <v>sábado</v>
      </c>
      <c r="C29" s="7">
        <f t="shared" si="1"/>
        <v>4</v>
      </c>
      <c r="D29" s="260" t="s">
        <v>312</v>
      </c>
    </row>
    <row r="30" spans="1:4" x14ac:dyDescent="0.2">
      <c r="A30" s="259">
        <v>46103</v>
      </c>
      <c r="B30" t="str">
        <f t="shared" si="0"/>
        <v>domingo</v>
      </c>
      <c r="C30" s="7">
        <f t="shared" si="1"/>
        <v>4</v>
      </c>
      <c r="D30" s="261" t="s">
        <v>345</v>
      </c>
    </row>
    <row r="31" spans="1:4" x14ac:dyDescent="0.2">
      <c r="A31" s="259">
        <v>46104</v>
      </c>
      <c r="B31" t="str">
        <f t="shared" si="0"/>
        <v>lunes</v>
      </c>
      <c r="C31" s="7">
        <f t="shared" si="1"/>
        <v>5</v>
      </c>
      <c r="D31" s="261" t="s">
        <v>311</v>
      </c>
    </row>
    <row r="32" spans="1:4" x14ac:dyDescent="0.2">
      <c r="A32" s="259">
        <v>46105</v>
      </c>
      <c r="B32" t="str">
        <f t="shared" si="0"/>
        <v>martes</v>
      </c>
      <c r="C32" s="7">
        <f t="shared" si="1"/>
        <v>5</v>
      </c>
      <c r="D32" s="261" t="s">
        <v>311</v>
      </c>
    </row>
    <row r="33" spans="1:4" x14ac:dyDescent="0.2">
      <c r="A33" s="259">
        <v>46106</v>
      </c>
      <c r="B33" t="str">
        <f t="shared" si="0"/>
        <v>miércoles</v>
      </c>
      <c r="C33" s="7">
        <f t="shared" si="1"/>
        <v>5</v>
      </c>
      <c r="D33" s="261" t="s">
        <v>311</v>
      </c>
    </row>
    <row r="34" spans="1:4" x14ac:dyDescent="0.2">
      <c r="A34" s="259">
        <v>46107</v>
      </c>
      <c r="B34" t="str">
        <f t="shared" si="0"/>
        <v>jueves</v>
      </c>
      <c r="C34" s="7">
        <f t="shared" si="1"/>
        <v>5</v>
      </c>
      <c r="D34" s="261" t="s">
        <v>311</v>
      </c>
    </row>
    <row r="35" spans="1:4" x14ac:dyDescent="0.2">
      <c r="A35" s="259">
        <v>46108</v>
      </c>
      <c r="B35" t="str">
        <f t="shared" si="0"/>
        <v>viernes</v>
      </c>
      <c r="C35" s="7">
        <f t="shared" si="1"/>
        <v>5</v>
      </c>
      <c r="D35" s="261" t="s">
        <v>313</v>
      </c>
    </row>
    <row r="36" spans="1:4" x14ac:dyDescent="0.2">
      <c r="A36" s="259">
        <v>46109</v>
      </c>
      <c r="B36" t="str">
        <f t="shared" si="0"/>
        <v>sábado</v>
      </c>
      <c r="C36" s="7">
        <f t="shared" si="1"/>
        <v>5</v>
      </c>
      <c r="D36" s="260" t="s">
        <v>312</v>
      </c>
    </row>
    <row r="37" spans="1:4" x14ac:dyDescent="0.2">
      <c r="A37" s="259">
        <v>46110</v>
      </c>
      <c r="B37" t="str">
        <f t="shared" si="0"/>
        <v>domingo</v>
      </c>
      <c r="C37" s="7">
        <f t="shared" si="1"/>
        <v>5</v>
      </c>
      <c r="D37" s="261" t="s">
        <v>345</v>
      </c>
    </row>
    <row r="38" spans="1:4" x14ac:dyDescent="0.2">
      <c r="A38" s="259">
        <v>46111</v>
      </c>
      <c r="B38" t="str">
        <f t="shared" si="0"/>
        <v>lunes</v>
      </c>
      <c r="C38" s="7">
        <f t="shared" si="1"/>
        <v>6</v>
      </c>
      <c r="D38" s="261" t="s">
        <v>311</v>
      </c>
    </row>
    <row r="39" spans="1:4" x14ac:dyDescent="0.2">
      <c r="A39" s="259">
        <v>46112</v>
      </c>
      <c r="B39" t="str">
        <f t="shared" si="0"/>
        <v>martes</v>
      </c>
      <c r="C39" s="7">
        <f t="shared" si="1"/>
        <v>6</v>
      </c>
      <c r="D39" s="261" t="s">
        <v>311</v>
      </c>
    </row>
    <row r="40" spans="1:4" x14ac:dyDescent="0.2">
      <c r="A40" s="259">
        <v>46113</v>
      </c>
      <c r="B40" t="str">
        <f t="shared" si="0"/>
        <v>miércoles</v>
      </c>
      <c r="C40" s="7">
        <f t="shared" si="1"/>
        <v>6</v>
      </c>
      <c r="D40" s="261" t="s">
        <v>311</v>
      </c>
    </row>
    <row r="41" spans="1:4" x14ac:dyDescent="0.2">
      <c r="A41" s="259">
        <v>46114</v>
      </c>
      <c r="B41" t="str">
        <f t="shared" si="0"/>
        <v>jueves</v>
      </c>
      <c r="C41" s="7">
        <f t="shared" si="1"/>
        <v>6</v>
      </c>
      <c r="D41" s="261" t="s">
        <v>311</v>
      </c>
    </row>
    <row r="42" spans="1:4" x14ac:dyDescent="0.2">
      <c r="A42" s="259">
        <v>46115</v>
      </c>
      <c r="B42" t="str">
        <f t="shared" si="0"/>
        <v>viernes</v>
      </c>
      <c r="C42" s="7">
        <f t="shared" si="1"/>
        <v>6</v>
      </c>
      <c r="D42" s="261" t="s">
        <v>313</v>
      </c>
    </row>
    <row r="43" spans="1:4" x14ac:dyDescent="0.2">
      <c r="A43" s="259">
        <v>46116</v>
      </c>
      <c r="B43" t="str">
        <f t="shared" si="0"/>
        <v>sábado</v>
      </c>
      <c r="C43" s="7">
        <f t="shared" si="1"/>
        <v>6</v>
      </c>
      <c r="D43" s="260" t="s">
        <v>312</v>
      </c>
    </row>
    <row r="44" spans="1:4" x14ac:dyDescent="0.2">
      <c r="A44" s="259">
        <v>46117</v>
      </c>
      <c r="B44" t="str">
        <f t="shared" si="0"/>
        <v>domingo</v>
      </c>
      <c r="C44" s="7">
        <f t="shared" si="1"/>
        <v>6</v>
      </c>
      <c r="D44" s="261" t="s">
        <v>345</v>
      </c>
    </row>
    <row r="45" spans="1:4" x14ac:dyDescent="0.2">
      <c r="A45" s="259">
        <v>46118</v>
      </c>
      <c r="B45" t="str">
        <f t="shared" si="0"/>
        <v>lunes</v>
      </c>
      <c r="C45" s="7">
        <f t="shared" si="1"/>
        <v>7</v>
      </c>
      <c r="D45" s="261" t="s">
        <v>311</v>
      </c>
    </row>
    <row r="46" spans="1:4" x14ac:dyDescent="0.2">
      <c r="A46" s="259">
        <v>46119</v>
      </c>
      <c r="B46" t="str">
        <f t="shared" si="0"/>
        <v>martes</v>
      </c>
      <c r="C46" s="7">
        <f t="shared" si="1"/>
        <v>7</v>
      </c>
      <c r="D46" s="261" t="s">
        <v>311</v>
      </c>
    </row>
    <row r="47" spans="1:4" x14ac:dyDescent="0.2">
      <c r="A47" s="259">
        <v>46120</v>
      </c>
      <c r="B47" t="str">
        <f t="shared" si="0"/>
        <v>miércoles</v>
      </c>
      <c r="C47" s="7">
        <f t="shared" si="1"/>
        <v>7</v>
      </c>
      <c r="D47" s="261" t="s">
        <v>311</v>
      </c>
    </row>
    <row r="48" spans="1:4" x14ac:dyDescent="0.2">
      <c r="A48" s="259">
        <v>46121</v>
      </c>
      <c r="B48" t="str">
        <f t="shared" si="0"/>
        <v>jueves</v>
      </c>
      <c r="C48" s="7">
        <f t="shared" si="1"/>
        <v>7</v>
      </c>
      <c r="D48" s="261" t="s">
        <v>311</v>
      </c>
    </row>
    <row r="49" spans="1:4" x14ac:dyDescent="0.2">
      <c r="A49" s="259">
        <v>46122</v>
      </c>
      <c r="B49" t="str">
        <f t="shared" si="0"/>
        <v>viernes</v>
      </c>
      <c r="C49" s="7">
        <f t="shared" si="1"/>
        <v>7</v>
      </c>
      <c r="D49" s="261" t="s">
        <v>313</v>
      </c>
    </row>
    <row r="50" spans="1:4" x14ac:dyDescent="0.2">
      <c r="A50" s="259">
        <v>46123</v>
      </c>
      <c r="B50" t="str">
        <f t="shared" si="0"/>
        <v>sábado</v>
      </c>
      <c r="C50" s="7">
        <f t="shared" si="1"/>
        <v>7</v>
      </c>
      <c r="D50" s="260" t="s">
        <v>312</v>
      </c>
    </row>
    <row r="51" spans="1:4" x14ac:dyDescent="0.2">
      <c r="A51" s="259">
        <v>46124</v>
      </c>
      <c r="B51" t="str">
        <f t="shared" si="0"/>
        <v>domingo</v>
      </c>
      <c r="C51" s="7">
        <f t="shared" si="1"/>
        <v>7</v>
      </c>
      <c r="D51" s="261" t="s">
        <v>345</v>
      </c>
    </row>
    <row r="52" spans="1:4" x14ac:dyDescent="0.2">
      <c r="A52" s="259">
        <v>46125</v>
      </c>
      <c r="B52" t="str">
        <f t="shared" si="0"/>
        <v>lunes</v>
      </c>
      <c r="C52" s="7">
        <f t="shared" si="1"/>
        <v>8</v>
      </c>
      <c r="D52" s="261" t="s">
        <v>311</v>
      </c>
    </row>
    <row r="53" spans="1:4" x14ac:dyDescent="0.2">
      <c r="A53" s="259">
        <v>46126</v>
      </c>
      <c r="B53" t="str">
        <f t="shared" si="0"/>
        <v>martes</v>
      </c>
      <c r="C53" s="7">
        <f t="shared" si="1"/>
        <v>8</v>
      </c>
      <c r="D53" s="261" t="s">
        <v>311</v>
      </c>
    </row>
    <row r="54" spans="1:4" x14ac:dyDescent="0.2">
      <c r="A54" s="259">
        <v>46127</v>
      </c>
      <c r="B54" t="str">
        <f t="shared" si="0"/>
        <v>miércoles</v>
      </c>
      <c r="C54" s="7">
        <f t="shared" si="1"/>
        <v>8</v>
      </c>
      <c r="D54" s="261" t="s">
        <v>311</v>
      </c>
    </row>
    <row r="55" spans="1:4" x14ac:dyDescent="0.2">
      <c r="A55" s="259">
        <v>46128</v>
      </c>
      <c r="B55" t="str">
        <f t="shared" si="0"/>
        <v>jueves</v>
      </c>
      <c r="C55" s="7">
        <f t="shared" si="1"/>
        <v>8</v>
      </c>
      <c r="D55" s="261" t="s">
        <v>311</v>
      </c>
    </row>
    <row r="56" spans="1:4" x14ac:dyDescent="0.2">
      <c r="A56" s="259">
        <v>46129</v>
      </c>
      <c r="B56" t="str">
        <f t="shared" si="0"/>
        <v>viernes</v>
      </c>
      <c r="C56" s="7">
        <f t="shared" si="1"/>
        <v>8</v>
      </c>
      <c r="D56" s="261" t="s">
        <v>313</v>
      </c>
    </row>
    <row r="57" spans="1:4" x14ac:dyDescent="0.2">
      <c r="A57" s="259">
        <v>46130</v>
      </c>
      <c r="B57" t="str">
        <f t="shared" si="0"/>
        <v>sábado</v>
      </c>
      <c r="C57" s="7">
        <f t="shared" si="1"/>
        <v>8</v>
      </c>
      <c r="D57" s="260" t="s">
        <v>312</v>
      </c>
    </row>
    <row r="58" spans="1:4" x14ac:dyDescent="0.2">
      <c r="A58" s="259">
        <v>46131</v>
      </c>
      <c r="B58" t="str">
        <f t="shared" si="0"/>
        <v>domingo</v>
      </c>
      <c r="C58" s="7">
        <f t="shared" si="1"/>
        <v>8</v>
      </c>
      <c r="D58" s="261" t="s">
        <v>345</v>
      </c>
    </row>
    <row r="59" spans="1:4" x14ac:dyDescent="0.2">
      <c r="A59" s="259">
        <v>46132</v>
      </c>
      <c r="B59" t="str">
        <f t="shared" si="0"/>
        <v>lunes</v>
      </c>
      <c r="C59" s="7">
        <f t="shared" si="1"/>
        <v>9</v>
      </c>
      <c r="D59" s="261" t="s">
        <v>311</v>
      </c>
    </row>
    <row r="60" spans="1:4" x14ac:dyDescent="0.2">
      <c r="A60" s="259">
        <v>46133</v>
      </c>
      <c r="B60" t="str">
        <f t="shared" si="0"/>
        <v>martes</v>
      </c>
      <c r="C60" s="7">
        <f t="shared" si="1"/>
        <v>9</v>
      </c>
      <c r="D60" s="261" t="s">
        <v>311</v>
      </c>
    </row>
    <row r="61" spans="1:4" x14ac:dyDescent="0.2">
      <c r="A61" s="259">
        <v>46134</v>
      </c>
      <c r="B61" t="str">
        <f t="shared" si="0"/>
        <v>miércoles</v>
      </c>
      <c r="C61" s="7">
        <f t="shared" si="1"/>
        <v>9</v>
      </c>
      <c r="D61" s="261" t="s">
        <v>311</v>
      </c>
    </row>
    <row r="62" spans="1:4" x14ac:dyDescent="0.2">
      <c r="A62" s="259">
        <v>46135</v>
      </c>
      <c r="B62" t="str">
        <f t="shared" si="0"/>
        <v>jueves</v>
      </c>
      <c r="C62" s="7">
        <f t="shared" si="1"/>
        <v>9</v>
      </c>
      <c r="D62" s="261" t="s">
        <v>311</v>
      </c>
    </row>
    <row r="63" spans="1:4" x14ac:dyDescent="0.2">
      <c r="A63" s="259">
        <v>46136</v>
      </c>
      <c r="B63" t="str">
        <f t="shared" si="0"/>
        <v>viernes</v>
      </c>
      <c r="C63" s="7">
        <f t="shared" si="1"/>
        <v>9</v>
      </c>
      <c r="D63" s="261" t="s">
        <v>313</v>
      </c>
    </row>
    <row r="64" spans="1:4" x14ac:dyDescent="0.2">
      <c r="A64" s="259">
        <v>46137</v>
      </c>
      <c r="B64" t="str">
        <f t="shared" si="0"/>
        <v>sábado</v>
      </c>
      <c r="C64" s="7">
        <f t="shared" si="1"/>
        <v>9</v>
      </c>
      <c r="D64" s="260" t="s">
        <v>312</v>
      </c>
    </row>
    <row r="65" spans="1:4" x14ac:dyDescent="0.2">
      <c r="A65" s="259">
        <v>46138</v>
      </c>
      <c r="B65" t="str">
        <f t="shared" si="0"/>
        <v>domingo</v>
      </c>
      <c r="C65" s="7">
        <f t="shared" si="1"/>
        <v>9</v>
      </c>
      <c r="D65" s="261" t="s">
        <v>345</v>
      </c>
    </row>
    <row r="66" spans="1:4" x14ac:dyDescent="0.2">
      <c r="A66" s="259">
        <v>46139</v>
      </c>
      <c r="B66" t="str">
        <f t="shared" si="0"/>
        <v>lunes</v>
      </c>
      <c r="C66" s="7">
        <f t="shared" si="1"/>
        <v>10</v>
      </c>
      <c r="D66" s="261" t="s">
        <v>311</v>
      </c>
    </row>
    <row r="67" spans="1:4" x14ac:dyDescent="0.2">
      <c r="A67" s="259">
        <v>46140</v>
      </c>
      <c r="B67" t="str">
        <f t="shared" ref="B67:B130" si="2">+TEXT(A67,"dddd")</f>
        <v>martes</v>
      </c>
      <c r="C67" s="7">
        <f t="shared" si="1"/>
        <v>10</v>
      </c>
      <c r="D67" s="261" t="s">
        <v>311</v>
      </c>
    </row>
    <row r="68" spans="1:4" x14ac:dyDescent="0.2">
      <c r="A68" s="259">
        <v>46141</v>
      </c>
      <c r="B68" t="str">
        <f t="shared" si="2"/>
        <v>miércoles</v>
      </c>
      <c r="C68" s="7">
        <f t="shared" si="1"/>
        <v>10</v>
      </c>
      <c r="D68" s="261" t="s">
        <v>311</v>
      </c>
    </row>
    <row r="69" spans="1:4" x14ac:dyDescent="0.2">
      <c r="A69" s="259">
        <v>46142</v>
      </c>
      <c r="B69" t="str">
        <f t="shared" si="2"/>
        <v>jueves</v>
      </c>
      <c r="C69" s="7">
        <f t="shared" si="1"/>
        <v>10</v>
      </c>
      <c r="D69" s="261" t="s">
        <v>311</v>
      </c>
    </row>
    <row r="70" spans="1:4" x14ac:dyDescent="0.2">
      <c r="A70" s="259">
        <v>46143</v>
      </c>
      <c r="B70" t="str">
        <f t="shared" si="2"/>
        <v>viernes</v>
      </c>
      <c r="C70" s="7">
        <f t="shared" si="1"/>
        <v>10</v>
      </c>
      <c r="D70" s="261" t="s">
        <v>313</v>
      </c>
    </row>
    <row r="71" spans="1:4" x14ac:dyDescent="0.2">
      <c r="A71" s="259">
        <v>46144</v>
      </c>
      <c r="B71" t="str">
        <f t="shared" si="2"/>
        <v>sábado</v>
      </c>
      <c r="C71" s="7">
        <f t="shared" si="1"/>
        <v>10</v>
      </c>
      <c r="D71" s="260" t="s">
        <v>312</v>
      </c>
    </row>
    <row r="72" spans="1:4" x14ac:dyDescent="0.2">
      <c r="A72" s="259">
        <v>46145</v>
      </c>
      <c r="B72" t="str">
        <f t="shared" si="2"/>
        <v>domingo</v>
      </c>
      <c r="C72" s="7">
        <f t="shared" si="1"/>
        <v>10</v>
      </c>
      <c r="D72" s="261" t="s">
        <v>345</v>
      </c>
    </row>
    <row r="73" spans="1:4" x14ac:dyDescent="0.2">
      <c r="A73" s="259">
        <v>46146</v>
      </c>
      <c r="B73" t="str">
        <f t="shared" si="2"/>
        <v>lunes</v>
      </c>
      <c r="C73" s="7">
        <f t="shared" si="1"/>
        <v>11</v>
      </c>
      <c r="D73" s="261" t="s">
        <v>311</v>
      </c>
    </row>
    <row r="74" spans="1:4" x14ac:dyDescent="0.2">
      <c r="A74" s="259">
        <v>46147</v>
      </c>
      <c r="B74" t="str">
        <f t="shared" si="2"/>
        <v>martes</v>
      </c>
      <c r="C74" s="7">
        <f t="shared" si="1"/>
        <v>11</v>
      </c>
      <c r="D74" s="261" t="s">
        <v>311</v>
      </c>
    </row>
    <row r="75" spans="1:4" x14ac:dyDescent="0.2">
      <c r="A75" s="259">
        <v>46148</v>
      </c>
      <c r="B75" t="str">
        <f t="shared" si="2"/>
        <v>miércoles</v>
      </c>
      <c r="C75" s="7">
        <f t="shared" si="1"/>
        <v>11</v>
      </c>
      <c r="D75" s="261" t="s">
        <v>311</v>
      </c>
    </row>
    <row r="76" spans="1:4" x14ac:dyDescent="0.2">
      <c r="A76" s="259">
        <v>46149</v>
      </c>
      <c r="B76" t="str">
        <f t="shared" si="2"/>
        <v>jueves</v>
      </c>
      <c r="C76" s="7">
        <f t="shared" si="1"/>
        <v>11</v>
      </c>
      <c r="D76" s="261" t="s">
        <v>311</v>
      </c>
    </row>
    <row r="77" spans="1:4" x14ac:dyDescent="0.2">
      <c r="A77" s="259">
        <v>46150</v>
      </c>
      <c r="B77" t="str">
        <f t="shared" si="2"/>
        <v>viernes</v>
      </c>
      <c r="C77" s="7">
        <f t="shared" si="1"/>
        <v>11</v>
      </c>
      <c r="D77" s="261" t="s">
        <v>313</v>
      </c>
    </row>
    <row r="78" spans="1:4" x14ac:dyDescent="0.2">
      <c r="A78" s="259">
        <v>46151</v>
      </c>
      <c r="B78" t="str">
        <f t="shared" si="2"/>
        <v>sábado</v>
      </c>
      <c r="C78" s="7">
        <f t="shared" si="1"/>
        <v>11</v>
      </c>
      <c r="D78" s="260" t="s">
        <v>312</v>
      </c>
    </row>
    <row r="79" spans="1:4" x14ac:dyDescent="0.2">
      <c r="A79" s="259">
        <v>46152</v>
      </c>
      <c r="B79" t="str">
        <f t="shared" si="2"/>
        <v>domingo</v>
      </c>
      <c r="C79" s="7">
        <f t="shared" si="1"/>
        <v>11</v>
      </c>
      <c r="D79" s="261" t="s">
        <v>345</v>
      </c>
    </row>
    <row r="80" spans="1:4" x14ac:dyDescent="0.2">
      <c r="A80" s="259">
        <v>46153</v>
      </c>
      <c r="B80" t="str">
        <f t="shared" si="2"/>
        <v>lunes</v>
      </c>
      <c r="C80" s="7">
        <f t="shared" si="1"/>
        <v>12</v>
      </c>
      <c r="D80" s="261" t="s">
        <v>311</v>
      </c>
    </row>
    <row r="81" spans="1:4" x14ac:dyDescent="0.2">
      <c r="A81" s="259">
        <v>46154</v>
      </c>
      <c r="B81" t="str">
        <f t="shared" si="2"/>
        <v>martes</v>
      </c>
      <c r="C81" s="7">
        <f t="shared" si="1"/>
        <v>12</v>
      </c>
      <c r="D81" s="261" t="s">
        <v>311</v>
      </c>
    </row>
    <row r="82" spans="1:4" x14ac:dyDescent="0.2">
      <c r="A82" s="259">
        <v>46155</v>
      </c>
      <c r="B82" t="str">
        <f t="shared" si="2"/>
        <v>miércoles</v>
      </c>
      <c r="C82" s="7">
        <f t="shared" ref="C82:C145" si="3">+C75+1</f>
        <v>12</v>
      </c>
      <c r="D82" s="261" t="s">
        <v>311</v>
      </c>
    </row>
    <row r="83" spans="1:4" x14ac:dyDescent="0.2">
      <c r="A83" s="259">
        <v>46156</v>
      </c>
      <c r="B83" t="str">
        <f t="shared" si="2"/>
        <v>jueves</v>
      </c>
      <c r="C83" s="7">
        <f t="shared" si="3"/>
        <v>12</v>
      </c>
      <c r="D83" s="261" t="s">
        <v>311</v>
      </c>
    </row>
    <row r="84" spans="1:4" x14ac:dyDescent="0.2">
      <c r="A84" s="259">
        <v>46157</v>
      </c>
      <c r="B84" t="str">
        <f t="shared" si="2"/>
        <v>viernes</v>
      </c>
      <c r="C84" s="7">
        <f t="shared" si="3"/>
        <v>12</v>
      </c>
      <c r="D84" s="261" t="s">
        <v>313</v>
      </c>
    </row>
    <row r="85" spans="1:4" x14ac:dyDescent="0.2">
      <c r="A85" s="259">
        <v>46158</v>
      </c>
      <c r="B85" t="str">
        <f t="shared" si="2"/>
        <v>sábado</v>
      </c>
      <c r="C85" s="7">
        <f t="shared" si="3"/>
        <v>12</v>
      </c>
      <c r="D85" s="260" t="s">
        <v>312</v>
      </c>
    </row>
    <row r="86" spans="1:4" x14ac:dyDescent="0.2">
      <c r="A86" s="259">
        <v>46159</v>
      </c>
      <c r="B86" t="str">
        <f t="shared" si="2"/>
        <v>domingo</v>
      </c>
      <c r="C86" s="7">
        <f t="shared" si="3"/>
        <v>12</v>
      </c>
      <c r="D86" s="261" t="s">
        <v>345</v>
      </c>
    </row>
    <row r="87" spans="1:4" x14ac:dyDescent="0.2">
      <c r="A87" s="259">
        <v>46160</v>
      </c>
      <c r="B87" t="str">
        <f t="shared" si="2"/>
        <v>lunes</v>
      </c>
      <c r="C87" s="7">
        <f t="shared" si="3"/>
        <v>13</v>
      </c>
      <c r="D87" s="261" t="s">
        <v>311</v>
      </c>
    </row>
    <row r="88" spans="1:4" x14ac:dyDescent="0.2">
      <c r="A88" s="259">
        <v>46161</v>
      </c>
      <c r="B88" t="str">
        <f t="shared" si="2"/>
        <v>martes</v>
      </c>
      <c r="C88" s="7">
        <f t="shared" si="3"/>
        <v>13</v>
      </c>
      <c r="D88" s="261" t="s">
        <v>311</v>
      </c>
    </row>
    <row r="89" spans="1:4" x14ac:dyDescent="0.2">
      <c r="A89" s="259">
        <v>46162</v>
      </c>
      <c r="B89" t="str">
        <f t="shared" si="2"/>
        <v>miércoles</v>
      </c>
      <c r="C89" s="7">
        <f t="shared" si="3"/>
        <v>13</v>
      </c>
      <c r="D89" s="261" t="s">
        <v>311</v>
      </c>
    </row>
    <row r="90" spans="1:4" x14ac:dyDescent="0.2">
      <c r="A90" s="259">
        <v>46163</v>
      </c>
      <c r="B90" t="str">
        <f t="shared" si="2"/>
        <v>jueves</v>
      </c>
      <c r="C90" s="7">
        <f t="shared" si="3"/>
        <v>13</v>
      </c>
      <c r="D90" s="261" t="s">
        <v>311</v>
      </c>
    </row>
    <row r="91" spans="1:4" x14ac:dyDescent="0.2">
      <c r="A91" s="259">
        <v>46164</v>
      </c>
      <c r="B91" t="str">
        <f t="shared" si="2"/>
        <v>viernes</v>
      </c>
      <c r="C91" s="7">
        <f t="shared" si="3"/>
        <v>13</v>
      </c>
      <c r="D91" s="261" t="s">
        <v>313</v>
      </c>
    </row>
    <row r="92" spans="1:4" x14ac:dyDescent="0.2">
      <c r="A92" s="259">
        <v>46165</v>
      </c>
      <c r="B92" t="str">
        <f t="shared" si="2"/>
        <v>sábado</v>
      </c>
      <c r="C92" s="7">
        <f t="shared" si="3"/>
        <v>13</v>
      </c>
      <c r="D92" s="260" t="s">
        <v>312</v>
      </c>
    </row>
    <row r="93" spans="1:4" x14ac:dyDescent="0.2">
      <c r="A93" s="259">
        <v>46166</v>
      </c>
      <c r="B93" t="str">
        <f t="shared" si="2"/>
        <v>domingo</v>
      </c>
      <c r="C93" s="7">
        <f t="shared" si="3"/>
        <v>13</v>
      </c>
      <c r="D93" s="261" t="s">
        <v>345</v>
      </c>
    </row>
    <row r="94" spans="1:4" x14ac:dyDescent="0.2">
      <c r="A94" s="259">
        <v>46167</v>
      </c>
      <c r="B94" t="str">
        <f t="shared" si="2"/>
        <v>lunes</v>
      </c>
      <c r="C94" s="7">
        <f t="shared" si="3"/>
        <v>14</v>
      </c>
      <c r="D94" s="261" t="s">
        <v>311</v>
      </c>
    </row>
    <row r="95" spans="1:4" x14ac:dyDescent="0.2">
      <c r="A95" s="259">
        <v>46168</v>
      </c>
      <c r="B95" t="str">
        <f t="shared" si="2"/>
        <v>martes</v>
      </c>
      <c r="C95" s="7">
        <f t="shared" si="3"/>
        <v>14</v>
      </c>
      <c r="D95" s="261" t="s">
        <v>311</v>
      </c>
    </row>
    <row r="96" spans="1:4" x14ac:dyDescent="0.2">
      <c r="A96" s="259">
        <v>46169</v>
      </c>
      <c r="B96" t="str">
        <f t="shared" si="2"/>
        <v>miércoles</v>
      </c>
      <c r="C96" s="7">
        <f t="shared" si="3"/>
        <v>14</v>
      </c>
      <c r="D96" s="261" t="s">
        <v>311</v>
      </c>
    </row>
    <row r="97" spans="1:4" x14ac:dyDescent="0.2">
      <c r="A97" s="259">
        <v>46170</v>
      </c>
      <c r="B97" t="str">
        <f t="shared" si="2"/>
        <v>jueves</v>
      </c>
      <c r="C97" s="7">
        <f t="shared" si="3"/>
        <v>14</v>
      </c>
      <c r="D97" s="261" t="s">
        <v>311</v>
      </c>
    </row>
    <row r="98" spans="1:4" x14ac:dyDescent="0.2">
      <c r="A98" s="259">
        <v>46171</v>
      </c>
      <c r="B98" t="str">
        <f t="shared" si="2"/>
        <v>viernes</v>
      </c>
      <c r="C98" s="7">
        <f t="shared" si="3"/>
        <v>14</v>
      </c>
      <c r="D98" s="261" t="s">
        <v>313</v>
      </c>
    </row>
    <row r="99" spans="1:4" x14ac:dyDescent="0.2">
      <c r="A99" s="259">
        <v>46172</v>
      </c>
      <c r="B99" t="str">
        <f t="shared" si="2"/>
        <v>sábado</v>
      </c>
      <c r="C99" s="7">
        <f t="shared" si="3"/>
        <v>14</v>
      </c>
      <c r="D99" s="260" t="s">
        <v>312</v>
      </c>
    </row>
    <row r="100" spans="1:4" x14ac:dyDescent="0.2">
      <c r="A100" s="259">
        <v>46173</v>
      </c>
      <c r="B100" t="str">
        <f t="shared" si="2"/>
        <v>domingo</v>
      </c>
      <c r="C100" s="7">
        <f t="shared" si="3"/>
        <v>14</v>
      </c>
      <c r="D100" s="261" t="s">
        <v>345</v>
      </c>
    </row>
    <row r="101" spans="1:4" x14ac:dyDescent="0.2">
      <c r="A101" s="259">
        <v>46174</v>
      </c>
      <c r="B101" t="str">
        <f t="shared" si="2"/>
        <v>lunes</v>
      </c>
      <c r="C101" s="7">
        <f t="shared" si="3"/>
        <v>15</v>
      </c>
      <c r="D101" s="261" t="s">
        <v>311</v>
      </c>
    </row>
    <row r="102" spans="1:4" x14ac:dyDescent="0.2">
      <c r="A102" s="259">
        <v>46175</v>
      </c>
      <c r="B102" t="str">
        <f t="shared" si="2"/>
        <v>martes</v>
      </c>
      <c r="C102" s="7">
        <f t="shared" si="3"/>
        <v>15</v>
      </c>
      <c r="D102" s="261" t="s">
        <v>311</v>
      </c>
    </row>
    <row r="103" spans="1:4" x14ac:dyDescent="0.2">
      <c r="A103" s="259">
        <v>46176</v>
      </c>
      <c r="B103" t="str">
        <f t="shared" si="2"/>
        <v>miércoles</v>
      </c>
      <c r="C103" s="7">
        <f t="shared" si="3"/>
        <v>15</v>
      </c>
      <c r="D103" s="261" t="s">
        <v>311</v>
      </c>
    </row>
    <row r="104" spans="1:4" x14ac:dyDescent="0.2">
      <c r="A104" s="259">
        <v>46177</v>
      </c>
      <c r="B104" t="str">
        <f t="shared" si="2"/>
        <v>jueves</v>
      </c>
      <c r="C104" s="7">
        <f t="shared" si="3"/>
        <v>15</v>
      </c>
      <c r="D104" s="261" t="s">
        <v>311</v>
      </c>
    </row>
    <row r="105" spans="1:4" x14ac:dyDescent="0.2">
      <c r="A105" s="259">
        <v>46178</v>
      </c>
      <c r="B105" t="str">
        <f t="shared" si="2"/>
        <v>viernes</v>
      </c>
      <c r="C105" s="7">
        <f t="shared" si="3"/>
        <v>15</v>
      </c>
      <c r="D105" s="261" t="s">
        <v>313</v>
      </c>
    </row>
    <row r="106" spans="1:4" x14ac:dyDescent="0.2">
      <c r="A106" s="259">
        <v>46179</v>
      </c>
      <c r="B106" t="str">
        <f t="shared" si="2"/>
        <v>sábado</v>
      </c>
      <c r="C106" s="7">
        <f t="shared" si="3"/>
        <v>15</v>
      </c>
      <c r="D106" s="260" t="s">
        <v>312</v>
      </c>
    </row>
    <row r="107" spans="1:4" x14ac:dyDescent="0.2">
      <c r="A107" s="259">
        <v>46180</v>
      </c>
      <c r="B107" t="str">
        <f t="shared" si="2"/>
        <v>domingo</v>
      </c>
      <c r="C107" s="7">
        <f t="shared" si="3"/>
        <v>15</v>
      </c>
      <c r="D107" s="261" t="s">
        <v>345</v>
      </c>
    </row>
    <row r="108" spans="1:4" x14ac:dyDescent="0.2">
      <c r="A108" s="259">
        <v>46181</v>
      </c>
      <c r="B108" t="str">
        <f t="shared" si="2"/>
        <v>lunes</v>
      </c>
      <c r="C108" s="7">
        <f t="shared" si="3"/>
        <v>16</v>
      </c>
      <c r="D108" s="261" t="s">
        <v>311</v>
      </c>
    </row>
    <row r="109" spans="1:4" x14ac:dyDescent="0.2">
      <c r="A109" s="259">
        <v>46182</v>
      </c>
      <c r="B109" t="str">
        <f t="shared" si="2"/>
        <v>martes</v>
      </c>
      <c r="C109" s="7">
        <f t="shared" si="3"/>
        <v>16</v>
      </c>
      <c r="D109" s="261" t="s">
        <v>311</v>
      </c>
    </row>
    <row r="110" spans="1:4" x14ac:dyDescent="0.2">
      <c r="A110" s="259">
        <v>46183</v>
      </c>
      <c r="B110" t="str">
        <f t="shared" si="2"/>
        <v>miércoles</v>
      </c>
      <c r="C110" s="7">
        <f t="shared" si="3"/>
        <v>16</v>
      </c>
      <c r="D110" s="261" t="s">
        <v>311</v>
      </c>
    </row>
    <row r="111" spans="1:4" x14ac:dyDescent="0.2">
      <c r="A111" s="259">
        <v>46184</v>
      </c>
      <c r="B111" t="str">
        <f t="shared" si="2"/>
        <v>jueves</v>
      </c>
      <c r="C111" s="7">
        <f t="shared" si="3"/>
        <v>16</v>
      </c>
      <c r="D111" s="261" t="s">
        <v>311</v>
      </c>
    </row>
    <row r="112" spans="1:4" x14ac:dyDescent="0.2">
      <c r="A112" s="259">
        <v>46185</v>
      </c>
      <c r="B112" t="str">
        <f t="shared" si="2"/>
        <v>viernes</v>
      </c>
      <c r="C112" s="7">
        <f t="shared" si="3"/>
        <v>16</v>
      </c>
      <c r="D112" s="261" t="s">
        <v>313</v>
      </c>
    </row>
    <row r="113" spans="1:4" x14ac:dyDescent="0.2">
      <c r="A113" s="259">
        <v>46186</v>
      </c>
      <c r="B113" t="str">
        <f t="shared" si="2"/>
        <v>sábado</v>
      </c>
      <c r="C113" s="7">
        <f t="shared" si="3"/>
        <v>16</v>
      </c>
      <c r="D113" s="260" t="s">
        <v>312</v>
      </c>
    </row>
    <row r="114" spans="1:4" x14ac:dyDescent="0.2">
      <c r="A114" s="259">
        <v>46187</v>
      </c>
      <c r="B114" t="str">
        <f t="shared" si="2"/>
        <v>domingo</v>
      </c>
      <c r="C114" s="7">
        <f t="shared" si="3"/>
        <v>16</v>
      </c>
      <c r="D114" s="261" t="s">
        <v>345</v>
      </c>
    </row>
    <row r="115" spans="1:4" x14ac:dyDescent="0.2">
      <c r="A115" s="259">
        <v>46188</v>
      </c>
      <c r="B115" t="str">
        <f t="shared" si="2"/>
        <v>lunes</v>
      </c>
      <c r="C115" s="7">
        <f t="shared" si="3"/>
        <v>17</v>
      </c>
      <c r="D115" s="261" t="s">
        <v>311</v>
      </c>
    </row>
    <row r="116" spans="1:4" x14ac:dyDescent="0.2">
      <c r="A116" s="259">
        <v>46189</v>
      </c>
      <c r="B116" t="str">
        <f t="shared" si="2"/>
        <v>martes</v>
      </c>
      <c r="C116" s="7">
        <f t="shared" si="3"/>
        <v>17</v>
      </c>
      <c r="D116" s="261" t="s">
        <v>311</v>
      </c>
    </row>
    <row r="117" spans="1:4" x14ac:dyDescent="0.2">
      <c r="A117" s="259">
        <v>46190</v>
      </c>
      <c r="B117" t="str">
        <f t="shared" si="2"/>
        <v>miércoles</v>
      </c>
      <c r="C117" s="7">
        <f t="shared" si="3"/>
        <v>17</v>
      </c>
      <c r="D117" s="261" t="s">
        <v>311</v>
      </c>
    </row>
    <row r="118" spans="1:4" x14ac:dyDescent="0.2">
      <c r="A118" s="259">
        <v>46191</v>
      </c>
      <c r="B118" t="str">
        <f t="shared" si="2"/>
        <v>jueves</v>
      </c>
      <c r="C118" s="7">
        <f t="shared" si="3"/>
        <v>17</v>
      </c>
      <c r="D118" s="261" t="s">
        <v>311</v>
      </c>
    </row>
    <row r="119" spans="1:4" x14ac:dyDescent="0.2">
      <c r="A119" s="259">
        <v>46192</v>
      </c>
      <c r="B119" t="str">
        <f t="shared" si="2"/>
        <v>viernes</v>
      </c>
      <c r="C119" s="7">
        <f t="shared" si="3"/>
        <v>17</v>
      </c>
      <c r="D119" s="261" t="s">
        <v>313</v>
      </c>
    </row>
    <row r="120" spans="1:4" x14ac:dyDescent="0.2">
      <c r="A120" s="259">
        <v>46193</v>
      </c>
      <c r="B120" t="str">
        <f t="shared" si="2"/>
        <v>sábado</v>
      </c>
      <c r="C120" s="7">
        <f t="shared" si="3"/>
        <v>17</v>
      </c>
      <c r="D120" s="260" t="s">
        <v>312</v>
      </c>
    </row>
    <row r="121" spans="1:4" x14ac:dyDescent="0.2">
      <c r="A121" s="259">
        <v>46194</v>
      </c>
      <c r="B121" t="str">
        <f t="shared" si="2"/>
        <v>domingo</v>
      </c>
      <c r="C121" s="7">
        <f t="shared" si="3"/>
        <v>17</v>
      </c>
      <c r="D121" s="261" t="s">
        <v>345</v>
      </c>
    </row>
    <row r="122" spans="1:4" x14ac:dyDescent="0.2">
      <c r="A122" s="259">
        <v>46195</v>
      </c>
      <c r="B122" t="str">
        <f t="shared" si="2"/>
        <v>lunes</v>
      </c>
      <c r="C122" s="7">
        <f t="shared" si="3"/>
        <v>18</v>
      </c>
      <c r="D122" s="261" t="s">
        <v>311</v>
      </c>
    </row>
    <row r="123" spans="1:4" x14ac:dyDescent="0.2">
      <c r="A123" s="259">
        <v>46196</v>
      </c>
      <c r="B123" t="str">
        <f t="shared" si="2"/>
        <v>martes</v>
      </c>
      <c r="C123" s="7">
        <f t="shared" si="3"/>
        <v>18</v>
      </c>
      <c r="D123" s="261" t="s">
        <v>311</v>
      </c>
    </row>
    <row r="124" spans="1:4" x14ac:dyDescent="0.2">
      <c r="A124" s="259">
        <v>46197</v>
      </c>
      <c r="B124" t="str">
        <f t="shared" si="2"/>
        <v>miércoles</v>
      </c>
      <c r="C124" s="7">
        <f t="shared" si="3"/>
        <v>18</v>
      </c>
      <c r="D124" s="261" t="s">
        <v>311</v>
      </c>
    </row>
    <row r="125" spans="1:4" x14ac:dyDescent="0.2">
      <c r="A125" s="259">
        <v>46198</v>
      </c>
      <c r="B125" t="str">
        <f t="shared" si="2"/>
        <v>jueves</v>
      </c>
      <c r="C125" s="7">
        <f t="shared" si="3"/>
        <v>18</v>
      </c>
      <c r="D125" s="261" t="s">
        <v>311</v>
      </c>
    </row>
    <row r="126" spans="1:4" x14ac:dyDescent="0.2">
      <c r="A126" s="259">
        <v>46199</v>
      </c>
      <c r="B126" t="str">
        <f t="shared" si="2"/>
        <v>viernes</v>
      </c>
      <c r="C126" s="7">
        <f t="shared" si="3"/>
        <v>18</v>
      </c>
      <c r="D126" s="261" t="s">
        <v>313</v>
      </c>
    </row>
    <row r="127" spans="1:4" x14ac:dyDescent="0.2">
      <c r="A127" s="259">
        <v>46200</v>
      </c>
      <c r="B127" t="str">
        <f t="shared" si="2"/>
        <v>sábado</v>
      </c>
      <c r="C127" s="7">
        <f t="shared" si="3"/>
        <v>18</v>
      </c>
      <c r="D127" s="260" t="s">
        <v>312</v>
      </c>
    </row>
    <row r="128" spans="1:4" x14ac:dyDescent="0.2">
      <c r="A128" s="259">
        <v>46201</v>
      </c>
      <c r="B128" t="str">
        <f t="shared" si="2"/>
        <v>domingo</v>
      </c>
      <c r="C128" s="7">
        <f t="shared" si="3"/>
        <v>18</v>
      </c>
      <c r="D128" s="261" t="s">
        <v>345</v>
      </c>
    </row>
    <row r="129" spans="1:4" x14ac:dyDescent="0.2">
      <c r="A129" s="259">
        <v>46202</v>
      </c>
      <c r="B129" t="str">
        <f t="shared" si="2"/>
        <v>lunes</v>
      </c>
      <c r="C129" s="7">
        <f t="shared" si="3"/>
        <v>19</v>
      </c>
      <c r="D129" s="261" t="s">
        <v>311</v>
      </c>
    </row>
    <row r="130" spans="1:4" x14ac:dyDescent="0.2">
      <c r="A130" s="259">
        <v>46203</v>
      </c>
      <c r="B130" t="str">
        <f t="shared" si="2"/>
        <v>martes</v>
      </c>
      <c r="C130" s="7">
        <f t="shared" si="3"/>
        <v>19</v>
      </c>
      <c r="D130" s="261" t="s">
        <v>311</v>
      </c>
    </row>
    <row r="131" spans="1:4" x14ac:dyDescent="0.2">
      <c r="A131" s="259">
        <v>46204</v>
      </c>
      <c r="B131" t="str">
        <f t="shared" ref="B131:B194" si="4">+TEXT(A131,"dddd")</f>
        <v>miércoles</v>
      </c>
      <c r="C131" s="7">
        <f t="shared" si="3"/>
        <v>19</v>
      </c>
      <c r="D131" s="261" t="s">
        <v>311</v>
      </c>
    </row>
    <row r="132" spans="1:4" x14ac:dyDescent="0.2">
      <c r="A132" s="259">
        <v>46205</v>
      </c>
      <c r="B132" t="str">
        <f t="shared" si="4"/>
        <v>jueves</v>
      </c>
      <c r="C132" s="7">
        <f t="shared" si="3"/>
        <v>19</v>
      </c>
      <c r="D132" s="261" t="s">
        <v>311</v>
      </c>
    </row>
    <row r="133" spans="1:4" x14ac:dyDescent="0.2">
      <c r="A133" s="259">
        <v>46206</v>
      </c>
      <c r="B133" t="str">
        <f t="shared" si="4"/>
        <v>viernes</v>
      </c>
      <c r="C133" s="7">
        <f t="shared" si="3"/>
        <v>19</v>
      </c>
      <c r="D133" s="261" t="s">
        <v>313</v>
      </c>
    </row>
    <row r="134" spans="1:4" x14ac:dyDescent="0.2">
      <c r="A134" s="259">
        <v>46207</v>
      </c>
      <c r="B134" t="str">
        <f t="shared" si="4"/>
        <v>sábado</v>
      </c>
      <c r="C134" s="7">
        <f t="shared" si="3"/>
        <v>19</v>
      </c>
      <c r="D134" s="260" t="s">
        <v>312</v>
      </c>
    </row>
    <row r="135" spans="1:4" x14ac:dyDescent="0.2">
      <c r="A135" s="259">
        <v>46208</v>
      </c>
      <c r="B135" t="str">
        <f t="shared" si="4"/>
        <v>domingo</v>
      </c>
      <c r="C135" s="7">
        <f t="shared" si="3"/>
        <v>19</v>
      </c>
      <c r="D135" s="261" t="s">
        <v>345</v>
      </c>
    </row>
    <row r="136" spans="1:4" x14ac:dyDescent="0.2">
      <c r="A136" s="259">
        <v>46209</v>
      </c>
      <c r="B136" t="str">
        <f t="shared" si="4"/>
        <v>lunes</v>
      </c>
      <c r="C136" s="7">
        <f t="shared" si="3"/>
        <v>20</v>
      </c>
      <c r="D136" s="261" t="s">
        <v>311</v>
      </c>
    </row>
    <row r="137" spans="1:4" x14ac:dyDescent="0.2">
      <c r="A137" s="259">
        <v>46210</v>
      </c>
      <c r="B137" t="str">
        <f t="shared" si="4"/>
        <v>martes</v>
      </c>
      <c r="C137" s="7">
        <f t="shared" si="3"/>
        <v>20</v>
      </c>
      <c r="D137" s="261" t="s">
        <v>311</v>
      </c>
    </row>
    <row r="138" spans="1:4" x14ac:dyDescent="0.2">
      <c r="A138" s="259">
        <v>46211</v>
      </c>
      <c r="B138" t="str">
        <f t="shared" si="4"/>
        <v>miércoles</v>
      </c>
      <c r="C138" s="7">
        <f t="shared" si="3"/>
        <v>20</v>
      </c>
      <c r="D138" s="261" t="s">
        <v>311</v>
      </c>
    </row>
    <row r="139" spans="1:4" x14ac:dyDescent="0.2">
      <c r="A139" s="259">
        <v>46212</v>
      </c>
      <c r="B139" t="str">
        <f t="shared" si="4"/>
        <v>jueves</v>
      </c>
      <c r="C139" s="7">
        <f t="shared" si="3"/>
        <v>20</v>
      </c>
      <c r="D139" s="261" t="s">
        <v>311</v>
      </c>
    </row>
    <row r="140" spans="1:4" x14ac:dyDescent="0.2">
      <c r="A140" s="259">
        <v>46213</v>
      </c>
      <c r="B140" t="str">
        <f t="shared" si="4"/>
        <v>viernes</v>
      </c>
      <c r="C140" s="7">
        <f t="shared" si="3"/>
        <v>20</v>
      </c>
      <c r="D140" s="261" t="s">
        <v>313</v>
      </c>
    </row>
    <row r="141" spans="1:4" x14ac:dyDescent="0.2">
      <c r="A141" s="259">
        <v>46214</v>
      </c>
      <c r="B141" t="str">
        <f t="shared" si="4"/>
        <v>sábado</v>
      </c>
      <c r="C141" s="7">
        <f t="shared" si="3"/>
        <v>20</v>
      </c>
      <c r="D141" s="260" t="s">
        <v>312</v>
      </c>
    </row>
    <row r="142" spans="1:4" x14ac:dyDescent="0.2">
      <c r="A142" s="259">
        <v>46215</v>
      </c>
      <c r="B142" t="str">
        <f t="shared" si="4"/>
        <v>domingo</v>
      </c>
      <c r="C142" s="7">
        <f t="shared" si="3"/>
        <v>20</v>
      </c>
      <c r="D142" s="261" t="s">
        <v>345</v>
      </c>
    </row>
    <row r="143" spans="1:4" x14ac:dyDescent="0.2">
      <c r="A143" s="259">
        <v>46216</v>
      </c>
      <c r="B143" t="str">
        <f t="shared" si="4"/>
        <v>lunes</v>
      </c>
      <c r="C143" s="7">
        <f t="shared" si="3"/>
        <v>21</v>
      </c>
      <c r="D143" s="261" t="s">
        <v>311</v>
      </c>
    </row>
    <row r="144" spans="1:4" x14ac:dyDescent="0.2">
      <c r="A144" s="259">
        <v>46217</v>
      </c>
      <c r="B144" t="str">
        <f t="shared" si="4"/>
        <v>martes</v>
      </c>
      <c r="C144" s="7">
        <f t="shared" si="3"/>
        <v>21</v>
      </c>
      <c r="D144" s="261" t="s">
        <v>311</v>
      </c>
    </row>
    <row r="145" spans="1:4" x14ac:dyDescent="0.2">
      <c r="A145" s="259">
        <v>46218</v>
      </c>
      <c r="B145" t="str">
        <f t="shared" si="4"/>
        <v>miércoles</v>
      </c>
      <c r="C145" s="7">
        <f t="shared" si="3"/>
        <v>21</v>
      </c>
      <c r="D145" s="261" t="s">
        <v>311</v>
      </c>
    </row>
    <row r="146" spans="1:4" x14ac:dyDescent="0.2">
      <c r="A146" s="259">
        <v>46219</v>
      </c>
      <c r="B146" t="str">
        <f t="shared" si="4"/>
        <v>jueves</v>
      </c>
      <c r="C146" s="7">
        <f t="shared" ref="C146:C209" si="5">+C139+1</f>
        <v>21</v>
      </c>
      <c r="D146" s="261" t="s">
        <v>311</v>
      </c>
    </row>
    <row r="147" spans="1:4" x14ac:dyDescent="0.2">
      <c r="A147" s="259">
        <v>46220</v>
      </c>
      <c r="B147" t="str">
        <f t="shared" si="4"/>
        <v>viernes</v>
      </c>
      <c r="C147" s="7">
        <f t="shared" si="5"/>
        <v>21</v>
      </c>
      <c r="D147" s="261" t="s">
        <v>313</v>
      </c>
    </row>
    <row r="148" spans="1:4" x14ac:dyDescent="0.2">
      <c r="A148" s="259">
        <v>46221</v>
      </c>
      <c r="B148" t="str">
        <f t="shared" si="4"/>
        <v>sábado</v>
      </c>
      <c r="C148" s="7">
        <f t="shared" si="5"/>
        <v>21</v>
      </c>
      <c r="D148" s="260" t="s">
        <v>312</v>
      </c>
    </row>
    <row r="149" spans="1:4" x14ac:dyDescent="0.2">
      <c r="A149" s="259">
        <v>46222</v>
      </c>
      <c r="B149" t="str">
        <f t="shared" si="4"/>
        <v>domingo</v>
      </c>
      <c r="C149" s="7">
        <f t="shared" si="5"/>
        <v>21</v>
      </c>
      <c r="D149" s="261" t="s">
        <v>345</v>
      </c>
    </row>
    <row r="150" spans="1:4" x14ac:dyDescent="0.2">
      <c r="A150" s="259">
        <v>46223</v>
      </c>
      <c r="B150" t="str">
        <f t="shared" si="4"/>
        <v>lunes</v>
      </c>
      <c r="C150" s="7">
        <f t="shared" si="5"/>
        <v>22</v>
      </c>
      <c r="D150" s="261" t="s">
        <v>311</v>
      </c>
    </row>
    <row r="151" spans="1:4" x14ac:dyDescent="0.2">
      <c r="A151" s="259">
        <v>46224</v>
      </c>
      <c r="B151" t="str">
        <f t="shared" si="4"/>
        <v>martes</v>
      </c>
      <c r="C151" s="7">
        <f t="shared" si="5"/>
        <v>22</v>
      </c>
      <c r="D151" s="261" t="s">
        <v>311</v>
      </c>
    </row>
    <row r="152" spans="1:4" x14ac:dyDescent="0.2">
      <c r="A152" s="259">
        <v>46225</v>
      </c>
      <c r="B152" t="str">
        <f t="shared" si="4"/>
        <v>miércoles</v>
      </c>
      <c r="C152" s="7">
        <f t="shared" si="5"/>
        <v>22</v>
      </c>
      <c r="D152" s="261" t="s">
        <v>311</v>
      </c>
    </row>
    <row r="153" spans="1:4" x14ac:dyDescent="0.2">
      <c r="A153" s="259">
        <v>46226</v>
      </c>
      <c r="B153" t="str">
        <f t="shared" si="4"/>
        <v>jueves</v>
      </c>
      <c r="C153" s="7">
        <f t="shared" si="5"/>
        <v>22</v>
      </c>
      <c r="D153" s="261" t="s">
        <v>311</v>
      </c>
    </row>
    <row r="154" spans="1:4" x14ac:dyDescent="0.2">
      <c r="A154" s="259">
        <v>46227</v>
      </c>
      <c r="B154" t="str">
        <f t="shared" si="4"/>
        <v>viernes</v>
      </c>
      <c r="C154" s="7">
        <f t="shared" si="5"/>
        <v>22</v>
      </c>
      <c r="D154" s="261" t="s">
        <v>313</v>
      </c>
    </row>
    <row r="155" spans="1:4" x14ac:dyDescent="0.2">
      <c r="A155" s="259">
        <v>46228</v>
      </c>
      <c r="B155" t="str">
        <f t="shared" si="4"/>
        <v>sábado</v>
      </c>
      <c r="C155" s="7">
        <f t="shared" si="5"/>
        <v>22</v>
      </c>
      <c r="D155" s="260" t="s">
        <v>312</v>
      </c>
    </row>
    <row r="156" spans="1:4" x14ac:dyDescent="0.2">
      <c r="A156" s="259">
        <v>46229</v>
      </c>
      <c r="B156" t="str">
        <f t="shared" si="4"/>
        <v>domingo</v>
      </c>
      <c r="C156" s="7">
        <f t="shared" si="5"/>
        <v>22</v>
      </c>
      <c r="D156" s="261" t="s">
        <v>345</v>
      </c>
    </row>
    <row r="157" spans="1:4" x14ac:dyDescent="0.2">
      <c r="A157" s="259">
        <v>46230</v>
      </c>
      <c r="B157" t="str">
        <f t="shared" si="4"/>
        <v>lunes</v>
      </c>
      <c r="C157" s="7">
        <f t="shared" si="5"/>
        <v>23</v>
      </c>
      <c r="D157" s="261" t="s">
        <v>311</v>
      </c>
    </row>
    <row r="158" spans="1:4" x14ac:dyDescent="0.2">
      <c r="A158" s="259">
        <v>46231</v>
      </c>
      <c r="B158" t="str">
        <f t="shared" si="4"/>
        <v>martes</v>
      </c>
      <c r="C158" s="7">
        <f t="shared" si="5"/>
        <v>23</v>
      </c>
      <c r="D158" s="261" t="s">
        <v>311</v>
      </c>
    </row>
    <row r="159" spans="1:4" x14ac:dyDescent="0.2">
      <c r="A159" s="259">
        <v>46232</v>
      </c>
      <c r="B159" t="str">
        <f t="shared" si="4"/>
        <v>miércoles</v>
      </c>
      <c r="C159" s="7">
        <f t="shared" si="5"/>
        <v>23</v>
      </c>
      <c r="D159" s="261" t="s">
        <v>311</v>
      </c>
    </row>
    <row r="160" spans="1:4" x14ac:dyDescent="0.2">
      <c r="A160" s="259">
        <v>46233</v>
      </c>
      <c r="B160" t="str">
        <f t="shared" si="4"/>
        <v>jueves</v>
      </c>
      <c r="C160" s="7">
        <f t="shared" si="5"/>
        <v>23</v>
      </c>
      <c r="D160" s="261" t="s">
        <v>311</v>
      </c>
    </row>
    <row r="161" spans="1:4" x14ac:dyDescent="0.2">
      <c r="A161" s="259">
        <v>46234</v>
      </c>
      <c r="B161" t="str">
        <f t="shared" si="4"/>
        <v>viernes</v>
      </c>
      <c r="C161" s="7">
        <f t="shared" si="5"/>
        <v>23</v>
      </c>
      <c r="D161" s="261" t="s">
        <v>313</v>
      </c>
    </row>
    <row r="162" spans="1:4" x14ac:dyDescent="0.2">
      <c r="A162" s="259">
        <v>46235</v>
      </c>
      <c r="B162" t="str">
        <f t="shared" si="4"/>
        <v>sábado</v>
      </c>
      <c r="C162" s="7">
        <f t="shared" si="5"/>
        <v>23</v>
      </c>
      <c r="D162" s="260" t="s">
        <v>312</v>
      </c>
    </row>
    <row r="163" spans="1:4" x14ac:dyDescent="0.2">
      <c r="A163" s="259">
        <v>46236</v>
      </c>
      <c r="B163" t="str">
        <f t="shared" si="4"/>
        <v>domingo</v>
      </c>
      <c r="C163" s="7">
        <f t="shared" si="5"/>
        <v>23</v>
      </c>
      <c r="D163" s="261" t="s">
        <v>345</v>
      </c>
    </row>
    <row r="164" spans="1:4" x14ac:dyDescent="0.2">
      <c r="A164" s="259">
        <v>46237</v>
      </c>
      <c r="B164" t="str">
        <f t="shared" si="4"/>
        <v>lunes</v>
      </c>
      <c r="C164" s="7">
        <f t="shared" si="5"/>
        <v>24</v>
      </c>
      <c r="D164" s="261" t="s">
        <v>311</v>
      </c>
    </row>
    <row r="165" spans="1:4" x14ac:dyDescent="0.2">
      <c r="A165" s="259">
        <v>46238</v>
      </c>
      <c r="B165" t="str">
        <f t="shared" si="4"/>
        <v>martes</v>
      </c>
      <c r="C165" s="7">
        <f t="shared" si="5"/>
        <v>24</v>
      </c>
      <c r="D165" s="261" t="s">
        <v>311</v>
      </c>
    </row>
    <row r="166" spans="1:4" x14ac:dyDescent="0.2">
      <c r="A166" s="259">
        <v>46239</v>
      </c>
      <c r="B166" t="str">
        <f t="shared" si="4"/>
        <v>miércoles</v>
      </c>
      <c r="C166" s="7">
        <f t="shared" si="5"/>
        <v>24</v>
      </c>
      <c r="D166" s="261" t="s">
        <v>311</v>
      </c>
    </row>
    <row r="167" spans="1:4" x14ac:dyDescent="0.2">
      <c r="A167" s="259">
        <v>46240</v>
      </c>
      <c r="B167" t="str">
        <f t="shared" si="4"/>
        <v>jueves</v>
      </c>
      <c r="C167" s="7">
        <f t="shared" si="5"/>
        <v>24</v>
      </c>
      <c r="D167" s="261" t="s">
        <v>311</v>
      </c>
    </row>
    <row r="168" spans="1:4" x14ac:dyDescent="0.2">
      <c r="A168" s="259">
        <v>46241</v>
      </c>
      <c r="B168" t="str">
        <f t="shared" si="4"/>
        <v>viernes</v>
      </c>
      <c r="C168" s="7">
        <f t="shared" si="5"/>
        <v>24</v>
      </c>
      <c r="D168" s="261" t="s">
        <v>313</v>
      </c>
    </row>
    <row r="169" spans="1:4" x14ac:dyDescent="0.2">
      <c r="A169" s="259">
        <v>46242</v>
      </c>
      <c r="B169" t="str">
        <f t="shared" si="4"/>
        <v>sábado</v>
      </c>
      <c r="C169" s="7">
        <f t="shared" si="5"/>
        <v>24</v>
      </c>
      <c r="D169" s="260" t="s">
        <v>312</v>
      </c>
    </row>
    <row r="170" spans="1:4" x14ac:dyDescent="0.2">
      <c r="A170" s="259">
        <v>46243</v>
      </c>
      <c r="B170" t="str">
        <f t="shared" si="4"/>
        <v>domingo</v>
      </c>
      <c r="C170" s="7">
        <f t="shared" si="5"/>
        <v>24</v>
      </c>
      <c r="D170" s="261" t="s">
        <v>345</v>
      </c>
    </row>
    <row r="171" spans="1:4" x14ac:dyDescent="0.2">
      <c r="A171" s="259">
        <v>46244</v>
      </c>
      <c r="B171" t="str">
        <f t="shared" si="4"/>
        <v>lunes</v>
      </c>
      <c r="C171" s="7">
        <f t="shared" si="5"/>
        <v>25</v>
      </c>
      <c r="D171" s="261" t="s">
        <v>311</v>
      </c>
    </row>
    <row r="172" spans="1:4" x14ac:dyDescent="0.2">
      <c r="A172" s="259">
        <v>46245</v>
      </c>
      <c r="B172" t="str">
        <f t="shared" si="4"/>
        <v>martes</v>
      </c>
      <c r="C172" s="7">
        <f t="shared" si="5"/>
        <v>25</v>
      </c>
      <c r="D172" s="261" t="s">
        <v>311</v>
      </c>
    </row>
    <row r="173" spans="1:4" x14ac:dyDescent="0.2">
      <c r="A173" s="259">
        <v>46246</v>
      </c>
      <c r="B173" t="str">
        <f t="shared" si="4"/>
        <v>miércoles</v>
      </c>
      <c r="C173" s="7">
        <f t="shared" si="5"/>
        <v>25</v>
      </c>
      <c r="D173" s="261" t="s">
        <v>311</v>
      </c>
    </row>
    <row r="174" spans="1:4" x14ac:dyDescent="0.2">
      <c r="A174" s="259">
        <v>46247</v>
      </c>
      <c r="B174" t="str">
        <f t="shared" si="4"/>
        <v>jueves</v>
      </c>
      <c r="C174" s="7">
        <f t="shared" si="5"/>
        <v>25</v>
      </c>
      <c r="D174" s="261" t="s">
        <v>311</v>
      </c>
    </row>
    <row r="175" spans="1:4" x14ac:dyDescent="0.2">
      <c r="A175" s="259">
        <v>46248</v>
      </c>
      <c r="B175" t="str">
        <f t="shared" si="4"/>
        <v>viernes</v>
      </c>
      <c r="C175" s="7">
        <f t="shared" si="5"/>
        <v>25</v>
      </c>
      <c r="D175" s="261" t="s">
        <v>313</v>
      </c>
    </row>
    <row r="176" spans="1:4" x14ac:dyDescent="0.2">
      <c r="A176" s="259">
        <v>46249</v>
      </c>
      <c r="B176" t="str">
        <f t="shared" si="4"/>
        <v>sábado</v>
      </c>
      <c r="C176" s="7">
        <f t="shared" si="5"/>
        <v>25</v>
      </c>
      <c r="D176" s="260" t="s">
        <v>312</v>
      </c>
    </row>
    <row r="177" spans="1:4" x14ac:dyDescent="0.2">
      <c r="A177" s="259">
        <v>46250</v>
      </c>
      <c r="B177" t="str">
        <f t="shared" si="4"/>
        <v>domingo</v>
      </c>
      <c r="C177" s="7">
        <f t="shared" si="5"/>
        <v>25</v>
      </c>
      <c r="D177" s="261" t="s">
        <v>345</v>
      </c>
    </row>
    <row r="178" spans="1:4" x14ac:dyDescent="0.2">
      <c r="A178" s="259">
        <v>46251</v>
      </c>
      <c r="B178" t="str">
        <f t="shared" si="4"/>
        <v>lunes</v>
      </c>
      <c r="C178" s="7">
        <f t="shared" si="5"/>
        <v>26</v>
      </c>
      <c r="D178" s="261" t="s">
        <v>311</v>
      </c>
    </row>
    <row r="179" spans="1:4" x14ac:dyDescent="0.2">
      <c r="A179" s="259">
        <v>46252</v>
      </c>
      <c r="B179" t="str">
        <f t="shared" si="4"/>
        <v>martes</v>
      </c>
      <c r="C179" s="7">
        <f t="shared" si="5"/>
        <v>26</v>
      </c>
      <c r="D179" s="261" t="s">
        <v>311</v>
      </c>
    </row>
    <row r="180" spans="1:4" x14ac:dyDescent="0.2">
      <c r="A180" s="259">
        <v>46253</v>
      </c>
      <c r="B180" t="str">
        <f t="shared" si="4"/>
        <v>miércoles</v>
      </c>
      <c r="C180" s="7">
        <f t="shared" si="5"/>
        <v>26</v>
      </c>
      <c r="D180" s="261" t="s">
        <v>311</v>
      </c>
    </row>
    <row r="181" spans="1:4" x14ac:dyDescent="0.2">
      <c r="A181" s="259">
        <v>46254</v>
      </c>
      <c r="B181" t="str">
        <f t="shared" si="4"/>
        <v>jueves</v>
      </c>
      <c r="C181" s="7">
        <f t="shared" si="5"/>
        <v>26</v>
      </c>
      <c r="D181" s="261" t="s">
        <v>311</v>
      </c>
    </row>
    <row r="182" spans="1:4" x14ac:dyDescent="0.2">
      <c r="A182" s="259">
        <v>46255</v>
      </c>
      <c r="B182" t="str">
        <f t="shared" si="4"/>
        <v>viernes</v>
      </c>
      <c r="C182" s="7">
        <f t="shared" si="5"/>
        <v>26</v>
      </c>
      <c r="D182" s="261" t="s">
        <v>313</v>
      </c>
    </row>
    <row r="183" spans="1:4" x14ac:dyDescent="0.2">
      <c r="A183" s="259">
        <v>46256</v>
      </c>
      <c r="B183" t="str">
        <f t="shared" si="4"/>
        <v>sábado</v>
      </c>
      <c r="C183" s="7">
        <f t="shared" si="5"/>
        <v>26</v>
      </c>
      <c r="D183" s="260" t="s">
        <v>312</v>
      </c>
    </row>
    <row r="184" spans="1:4" x14ac:dyDescent="0.2">
      <c r="A184" s="259">
        <v>46257</v>
      </c>
      <c r="B184" t="str">
        <f t="shared" si="4"/>
        <v>domingo</v>
      </c>
      <c r="C184" s="7">
        <f t="shared" si="5"/>
        <v>26</v>
      </c>
      <c r="D184" s="261" t="s">
        <v>345</v>
      </c>
    </row>
    <row r="185" spans="1:4" x14ac:dyDescent="0.2">
      <c r="A185" s="259">
        <v>46258</v>
      </c>
      <c r="B185" t="str">
        <f t="shared" si="4"/>
        <v>lunes</v>
      </c>
      <c r="C185" s="7">
        <f t="shared" si="5"/>
        <v>27</v>
      </c>
      <c r="D185" s="261" t="s">
        <v>311</v>
      </c>
    </row>
    <row r="186" spans="1:4" x14ac:dyDescent="0.2">
      <c r="A186" s="259">
        <v>46259</v>
      </c>
      <c r="B186" t="str">
        <f t="shared" si="4"/>
        <v>martes</v>
      </c>
      <c r="C186" s="7">
        <f t="shared" si="5"/>
        <v>27</v>
      </c>
      <c r="D186" s="261" t="s">
        <v>311</v>
      </c>
    </row>
    <row r="187" spans="1:4" x14ac:dyDescent="0.2">
      <c r="A187" s="259">
        <v>46260</v>
      </c>
      <c r="B187" t="str">
        <f t="shared" si="4"/>
        <v>miércoles</v>
      </c>
      <c r="C187" s="7">
        <f t="shared" si="5"/>
        <v>27</v>
      </c>
      <c r="D187" s="261" t="s">
        <v>311</v>
      </c>
    </row>
    <row r="188" spans="1:4" x14ac:dyDescent="0.2">
      <c r="A188" s="259">
        <v>46261</v>
      </c>
      <c r="B188" t="str">
        <f t="shared" si="4"/>
        <v>jueves</v>
      </c>
      <c r="C188" s="7">
        <f t="shared" si="5"/>
        <v>27</v>
      </c>
      <c r="D188" s="261" t="s">
        <v>311</v>
      </c>
    </row>
    <row r="189" spans="1:4" x14ac:dyDescent="0.2">
      <c r="A189" s="259">
        <v>46262</v>
      </c>
      <c r="B189" t="str">
        <f t="shared" si="4"/>
        <v>viernes</v>
      </c>
      <c r="C189" s="7">
        <f t="shared" si="5"/>
        <v>27</v>
      </c>
      <c r="D189" s="261" t="s">
        <v>313</v>
      </c>
    </row>
    <row r="190" spans="1:4" x14ac:dyDescent="0.2">
      <c r="A190" s="259">
        <v>46263</v>
      </c>
      <c r="B190" t="str">
        <f t="shared" si="4"/>
        <v>sábado</v>
      </c>
      <c r="C190" s="7">
        <f t="shared" si="5"/>
        <v>27</v>
      </c>
      <c r="D190" s="260" t="s">
        <v>312</v>
      </c>
    </row>
    <row r="191" spans="1:4" x14ac:dyDescent="0.2">
      <c r="A191" s="259">
        <v>46264</v>
      </c>
      <c r="B191" t="str">
        <f t="shared" si="4"/>
        <v>domingo</v>
      </c>
      <c r="C191" s="7">
        <f t="shared" si="5"/>
        <v>27</v>
      </c>
      <c r="D191" s="261" t="s">
        <v>345</v>
      </c>
    </row>
    <row r="192" spans="1:4" x14ac:dyDescent="0.2">
      <c r="A192" s="259">
        <v>46265</v>
      </c>
      <c r="B192" t="str">
        <f t="shared" si="4"/>
        <v>lunes</v>
      </c>
      <c r="C192" s="7">
        <f t="shared" si="5"/>
        <v>28</v>
      </c>
      <c r="D192" s="261" t="s">
        <v>311</v>
      </c>
    </row>
    <row r="193" spans="1:4" x14ac:dyDescent="0.2">
      <c r="A193" s="259">
        <v>46266</v>
      </c>
      <c r="B193" t="str">
        <f t="shared" si="4"/>
        <v>martes</v>
      </c>
      <c r="C193" s="7">
        <f t="shared" si="5"/>
        <v>28</v>
      </c>
      <c r="D193" s="261" t="s">
        <v>311</v>
      </c>
    </row>
    <row r="194" spans="1:4" x14ac:dyDescent="0.2">
      <c r="A194" s="259">
        <v>46267</v>
      </c>
      <c r="B194" t="str">
        <f t="shared" si="4"/>
        <v>miércoles</v>
      </c>
      <c r="C194" s="7">
        <f t="shared" si="5"/>
        <v>28</v>
      </c>
      <c r="D194" s="261" t="s">
        <v>311</v>
      </c>
    </row>
    <row r="195" spans="1:4" x14ac:dyDescent="0.2">
      <c r="A195" s="259">
        <v>46268</v>
      </c>
      <c r="B195" t="str">
        <f t="shared" ref="B195:B258" si="6">+TEXT(A195,"dddd")</f>
        <v>jueves</v>
      </c>
      <c r="C195" s="7">
        <f t="shared" si="5"/>
        <v>28</v>
      </c>
      <c r="D195" s="261" t="s">
        <v>311</v>
      </c>
    </row>
    <row r="196" spans="1:4" x14ac:dyDescent="0.2">
      <c r="A196" s="259">
        <v>46269</v>
      </c>
      <c r="B196" t="str">
        <f t="shared" si="6"/>
        <v>viernes</v>
      </c>
      <c r="C196" s="7">
        <f t="shared" si="5"/>
        <v>28</v>
      </c>
      <c r="D196" s="261" t="s">
        <v>313</v>
      </c>
    </row>
    <row r="197" spans="1:4" x14ac:dyDescent="0.2">
      <c r="A197" s="259">
        <v>46270</v>
      </c>
      <c r="B197" t="str">
        <f t="shared" si="6"/>
        <v>sábado</v>
      </c>
      <c r="C197" s="7">
        <f t="shared" si="5"/>
        <v>28</v>
      </c>
      <c r="D197" s="260" t="s">
        <v>312</v>
      </c>
    </row>
    <row r="198" spans="1:4" x14ac:dyDescent="0.2">
      <c r="A198" s="259">
        <v>46271</v>
      </c>
      <c r="B198" t="str">
        <f t="shared" si="6"/>
        <v>domingo</v>
      </c>
      <c r="C198" s="7">
        <f t="shared" si="5"/>
        <v>28</v>
      </c>
      <c r="D198" s="261" t="s">
        <v>345</v>
      </c>
    </row>
    <row r="199" spans="1:4" x14ac:dyDescent="0.2">
      <c r="A199" s="259">
        <v>46272</v>
      </c>
      <c r="B199" t="str">
        <f t="shared" si="6"/>
        <v>lunes</v>
      </c>
      <c r="C199" s="7">
        <f t="shared" si="5"/>
        <v>29</v>
      </c>
      <c r="D199" s="261" t="s">
        <v>311</v>
      </c>
    </row>
    <row r="200" spans="1:4" x14ac:dyDescent="0.2">
      <c r="A200" s="259">
        <v>46273</v>
      </c>
      <c r="B200" t="str">
        <f t="shared" si="6"/>
        <v>martes</v>
      </c>
      <c r="C200" s="7">
        <f t="shared" si="5"/>
        <v>29</v>
      </c>
      <c r="D200" s="261" t="s">
        <v>311</v>
      </c>
    </row>
    <row r="201" spans="1:4" x14ac:dyDescent="0.2">
      <c r="A201" s="259">
        <v>46274</v>
      </c>
      <c r="B201" t="str">
        <f t="shared" si="6"/>
        <v>miércoles</v>
      </c>
      <c r="C201" s="7">
        <f t="shared" si="5"/>
        <v>29</v>
      </c>
      <c r="D201" s="261" t="s">
        <v>311</v>
      </c>
    </row>
    <row r="202" spans="1:4" x14ac:dyDescent="0.2">
      <c r="A202" s="259">
        <v>46275</v>
      </c>
      <c r="B202" t="str">
        <f t="shared" si="6"/>
        <v>jueves</v>
      </c>
      <c r="C202" s="7">
        <f t="shared" si="5"/>
        <v>29</v>
      </c>
      <c r="D202" s="261" t="s">
        <v>311</v>
      </c>
    </row>
    <row r="203" spans="1:4" x14ac:dyDescent="0.2">
      <c r="A203" s="259">
        <v>46276</v>
      </c>
      <c r="B203" t="str">
        <f t="shared" si="6"/>
        <v>viernes</v>
      </c>
      <c r="C203" s="7">
        <f t="shared" si="5"/>
        <v>29</v>
      </c>
      <c r="D203" s="261" t="s">
        <v>313</v>
      </c>
    </row>
    <row r="204" spans="1:4" x14ac:dyDescent="0.2">
      <c r="A204" s="259">
        <v>46277</v>
      </c>
      <c r="B204" t="str">
        <f t="shared" si="6"/>
        <v>sábado</v>
      </c>
      <c r="C204" s="7">
        <f t="shared" si="5"/>
        <v>29</v>
      </c>
      <c r="D204" s="260" t="s">
        <v>312</v>
      </c>
    </row>
    <row r="205" spans="1:4" x14ac:dyDescent="0.2">
      <c r="A205" s="259">
        <v>46278</v>
      </c>
      <c r="B205" t="str">
        <f t="shared" si="6"/>
        <v>domingo</v>
      </c>
      <c r="C205" s="7">
        <f t="shared" si="5"/>
        <v>29</v>
      </c>
      <c r="D205" s="261" t="s">
        <v>345</v>
      </c>
    </row>
    <row r="206" spans="1:4" x14ac:dyDescent="0.2">
      <c r="A206" s="259">
        <v>46279</v>
      </c>
      <c r="B206" t="str">
        <f t="shared" si="6"/>
        <v>lunes</v>
      </c>
      <c r="C206" s="7">
        <f t="shared" si="5"/>
        <v>30</v>
      </c>
      <c r="D206" s="261" t="s">
        <v>311</v>
      </c>
    </row>
    <row r="207" spans="1:4" x14ac:dyDescent="0.2">
      <c r="A207" s="259">
        <v>46280</v>
      </c>
      <c r="B207" t="str">
        <f t="shared" si="6"/>
        <v>martes</v>
      </c>
      <c r="C207" s="7">
        <f t="shared" si="5"/>
        <v>30</v>
      </c>
      <c r="D207" s="261" t="s">
        <v>311</v>
      </c>
    </row>
    <row r="208" spans="1:4" x14ac:dyDescent="0.2">
      <c r="A208" s="259">
        <v>46281</v>
      </c>
      <c r="B208" t="str">
        <f t="shared" si="6"/>
        <v>miércoles</v>
      </c>
      <c r="C208" s="7">
        <f t="shared" si="5"/>
        <v>30</v>
      </c>
      <c r="D208" s="261" t="s">
        <v>311</v>
      </c>
    </row>
    <row r="209" spans="1:4" x14ac:dyDescent="0.2">
      <c r="A209" s="259">
        <v>46282</v>
      </c>
      <c r="B209" t="str">
        <f t="shared" si="6"/>
        <v>jueves</v>
      </c>
      <c r="C209" s="7">
        <f t="shared" si="5"/>
        <v>30</v>
      </c>
      <c r="D209" s="261" t="s">
        <v>311</v>
      </c>
    </row>
    <row r="210" spans="1:4" x14ac:dyDescent="0.2">
      <c r="A210" s="259">
        <v>46283</v>
      </c>
      <c r="B210" t="str">
        <f t="shared" si="6"/>
        <v>viernes</v>
      </c>
      <c r="C210" s="7">
        <f t="shared" ref="C210:C273" si="7">+C203+1</f>
        <v>30</v>
      </c>
      <c r="D210" s="261" t="s">
        <v>313</v>
      </c>
    </row>
    <row r="211" spans="1:4" x14ac:dyDescent="0.2">
      <c r="A211" s="259">
        <v>46284</v>
      </c>
      <c r="B211" t="str">
        <f t="shared" si="6"/>
        <v>sábado</v>
      </c>
      <c r="C211" s="7">
        <f t="shared" si="7"/>
        <v>30</v>
      </c>
      <c r="D211" s="260" t="s">
        <v>312</v>
      </c>
    </row>
    <row r="212" spans="1:4" x14ac:dyDescent="0.2">
      <c r="A212" s="259">
        <v>46285</v>
      </c>
      <c r="B212" t="str">
        <f t="shared" si="6"/>
        <v>domingo</v>
      </c>
      <c r="C212" s="7">
        <f t="shared" si="7"/>
        <v>30</v>
      </c>
      <c r="D212" s="261" t="s">
        <v>345</v>
      </c>
    </row>
    <row r="213" spans="1:4" x14ac:dyDescent="0.2">
      <c r="A213" s="259">
        <v>46286</v>
      </c>
      <c r="B213" t="str">
        <f t="shared" si="6"/>
        <v>lunes</v>
      </c>
      <c r="C213" s="7">
        <f t="shared" si="7"/>
        <v>31</v>
      </c>
      <c r="D213" s="261" t="s">
        <v>311</v>
      </c>
    </row>
    <row r="214" spans="1:4" x14ac:dyDescent="0.2">
      <c r="A214" s="259">
        <v>46287</v>
      </c>
      <c r="B214" t="str">
        <f t="shared" si="6"/>
        <v>martes</v>
      </c>
      <c r="C214" s="7">
        <f t="shared" si="7"/>
        <v>31</v>
      </c>
      <c r="D214" s="261" t="s">
        <v>311</v>
      </c>
    </row>
    <row r="215" spans="1:4" x14ac:dyDescent="0.2">
      <c r="A215" s="259">
        <v>46288</v>
      </c>
      <c r="B215" t="str">
        <f t="shared" si="6"/>
        <v>miércoles</v>
      </c>
      <c r="C215" s="7">
        <f t="shared" si="7"/>
        <v>31</v>
      </c>
      <c r="D215" s="261" t="s">
        <v>311</v>
      </c>
    </row>
    <row r="216" spans="1:4" x14ac:dyDescent="0.2">
      <c r="A216" s="259">
        <v>46289</v>
      </c>
      <c r="B216" t="str">
        <f t="shared" si="6"/>
        <v>jueves</v>
      </c>
      <c r="C216" s="7">
        <f t="shared" si="7"/>
        <v>31</v>
      </c>
      <c r="D216" s="261" t="s">
        <v>311</v>
      </c>
    </row>
    <row r="217" spans="1:4" x14ac:dyDescent="0.2">
      <c r="A217" s="259">
        <v>46290</v>
      </c>
      <c r="B217" t="str">
        <f t="shared" si="6"/>
        <v>viernes</v>
      </c>
      <c r="C217" s="7">
        <f t="shared" si="7"/>
        <v>31</v>
      </c>
      <c r="D217" s="261" t="s">
        <v>313</v>
      </c>
    </row>
    <row r="218" spans="1:4" x14ac:dyDescent="0.2">
      <c r="A218" s="259">
        <v>46291</v>
      </c>
      <c r="B218" t="str">
        <f t="shared" si="6"/>
        <v>sábado</v>
      </c>
      <c r="C218" s="7">
        <f t="shared" si="7"/>
        <v>31</v>
      </c>
      <c r="D218" s="260" t="s">
        <v>312</v>
      </c>
    </row>
    <row r="219" spans="1:4" x14ac:dyDescent="0.2">
      <c r="A219" s="259">
        <v>46292</v>
      </c>
      <c r="B219" t="str">
        <f t="shared" si="6"/>
        <v>domingo</v>
      </c>
      <c r="C219" s="7">
        <f t="shared" si="7"/>
        <v>31</v>
      </c>
      <c r="D219" s="261" t="s">
        <v>345</v>
      </c>
    </row>
    <row r="220" spans="1:4" x14ac:dyDescent="0.2">
      <c r="A220" s="259">
        <v>46293</v>
      </c>
      <c r="B220" t="str">
        <f t="shared" si="6"/>
        <v>lunes</v>
      </c>
      <c r="C220" s="7">
        <f t="shared" si="7"/>
        <v>32</v>
      </c>
      <c r="D220" s="261" t="s">
        <v>311</v>
      </c>
    </row>
    <row r="221" spans="1:4" x14ac:dyDescent="0.2">
      <c r="A221" s="259">
        <v>46294</v>
      </c>
      <c r="B221" t="str">
        <f t="shared" si="6"/>
        <v>martes</v>
      </c>
      <c r="C221" s="7">
        <f t="shared" si="7"/>
        <v>32</v>
      </c>
      <c r="D221" s="261" t="s">
        <v>311</v>
      </c>
    </row>
    <row r="222" spans="1:4" x14ac:dyDescent="0.2">
      <c r="A222" s="259">
        <v>46295</v>
      </c>
      <c r="B222" t="str">
        <f t="shared" si="6"/>
        <v>miércoles</v>
      </c>
      <c r="C222" s="7">
        <f t="shared" si="7"/>
        <v>32</v>
      </c>
      <c r="D222" s="261" t="s">
        <v>311</v>
      </c>
    </row>
    <row r="223" spans="1:4" x14ac:dyDescent="0.2">
      <c r="A223" s="259">
        <v>46296</v>
      </c>
      <c r="B223" t="str">
        <f t="shared" si="6"/>
        <v>jueves</v>
      </c>
      <c r="C223" s="7">
        <f t="shared" si="7"/>
        <v>32</v>
      </c>
      <c r="D223" s="261" t="s">
        <v>311</v>
      </c>
    </row>
    <row r="224" spans="1:4" x14ac:dyDescent="0.2">
      <c r="A224" s="259">
        <v>46297</v>
      </c>
      <c r="B224" t="str">
        <f t="shared" si="6"/>
        <v>viernes</v>
      </c>
      <c r="C224" s="7">
        <f t="shared" si="7"/>
        <v>32</v>
      </c>
      <c r="D224" s="261" t="s">
        <v>313</v>
      </c>
    </row>
    <row r="225" spans="1:4" x14ac:dyDescent="0.2">
      <c r="A225" s="259">
        <v>46298</v>
      </c>
      <c r="B225" t="str">
        <f t="shared" si="6"/>
        <v>sábado</v>
      </c>
      <c r="C225" s="7">
        <f t="shared" si="7"/>
        <v>32</v>
      </c>
      <c r="D225" s="260" t="s">
        <v>312</v>
      </c>
    </row>
    <row r="226" spans="1:4" x14ac:dyDescent="0.2">
      <c r="A226" s="259">
        <v>46299</v>
      </c>
      <c r="B226" t="str">
        <f t="shared" si="6"/>
        <v>domingo</v>
      </c>
      <c r="C226" s="7">
        <f t="shared" si="7"/>
        <v>32</v>
      </c>
      <c r="D226" s="261" t="s">
        <v>345</v>
      </c>
    </row>
    <row r="227" spans="1:4" x14ac:dyDescent="0.2">
      <c r="A227" s="259">
        <v>46300</v>
      </c>
      <c r="B227" t="str">
        <f t="shared" si="6"/>
        <v>lunes</v>
      </c>
      <c r="C227" s="7">
        <f t="shared" si="7"/>
        <v>33</v>
      </c>
      <c r="D227" s="261" t="s">
        <v>311</v>
      </c>
    </row>
    <row r="228" spans="1:4" x14ac:dyDescent="0.2">
      <c r="A228" s="259">
        <v>46301</v>
      </c>
      <c r="B228" t="str">
        <f t="shared" si="6"/>
        <v>martes</v>
      </c>
      <c r="C228" s="7">
        <f t="shared" si="7"/>
        <v>33</v>
      </c>
      <c r="D228" s="261" t="s">
        <v>311</v>
      </c>
    </row>
    <row r="229" spans="1:4" x14ac:dyDescent="0.2">
      <c r="A229" s="259">
        <v>46302</v>
      </c>
      <c r="B229" t="str">
        <f t="shared" si="6"/>
        <v>miércoles</v>
      </c>
      <c r="C229" s="7">
        <f t="shared" si="7"/>
        <v>33</v>
      </c>
      <c r="D229" s="261" t="s">
        <v>311</v>
      </c>
    </row>
    <row r="230" spans="1:4" x14ac:dyDescent="0.2">
      <c r="A230" s="259">
        <v>46303</v>
      </c>
      <c r="B230" t="str">
        <f t="shared" si="6"/>
        <v>jueves</v>
      </c>
      <c r="C230" s="7">
        <f t="shared" si="7"/>
        <v>33</v>
      </c>
      <c r="D230" s="261" t="s">
        <v>311</v>
      </c>
    </row>
    <row r="231" spans="1:4" x14ac:dyDescent="0.2">
      <c r="A231" s="259">
        <v>46304</v>
      </c>
      <c r="B231" t="str">
        <f t="shared" si="6"/>
        <v>viernes</v>
      </c>
      <c r="C231" s="7">
        <f t="shared" si="7"/>
        <v>33</v>
      </c>
      <c r="D231" s="261" t="s">
        <v>313</v>
      </c>
    </row>
    <row r="232" spans="1:4" x14ac:dyDescent="0.2">
      <c r="A232" s="259">
        <v>46305</v>
      </c>
      <c r="B232" t="str">
        <f t="shared" si="6"/>
        <v>sábado</v>
      </c>
      <c r="C232" s="7">
        <f t="shared" si="7"/>
        <v>33</v>
      </c>
      <c r="D232" s="260" t="s">
        <v>312</v>
      </c>
    </row>
    <row r="233" spans="1:4" x14ac:dyDescent="0.2">
      <c r="A233" s="259">
        <v>46306</v>
      </c>
      <c r="B233" t="str">
        <f t="shared" si="6"/>
        <v>domingo</v>
      </c>
      <c r="C233" s="7">
        <f t="shared" si="7"/>
        <v>33</v>
      </c>
      <c r="D233" s="261" t="s">
        <v>345</v>
      </c>
    </row>
    <row r="234" spans="1:4" x14ac:dyDescent="0.2">
      <c r="A234" s="259">
        <v>46307</v>
      </c>
      <c r="B234" t="str">
        <f t="shared" si="6"/>
        <v>lunes</v>
      </c>
      <c r="C234" s="7">
        <f t="shared" si="7"/>
        <v>34</v>
      </c>
      <c r="D234" s="261" t="s">
        <v>311</v>
      </c>
    </row>
    <row r="235" spans="1:4" x14ac:dyDescent="0.2">
      <c r="A235" s="259">
        <v>46308</v>
      </c>
      <c r="B235" t="str">
        <f t="shared" si="6"/>
        <v>martes</v>
      </c>
      <c r="C235" s="7">
        <f t="shared" si="7"/>
        <v>34</v>
      </c>
      <c r="D235" s="261" t="s">
        <v>311</v>
      </c>
    </row>
    <row r="236" spans="1:4" x14ac:dyDescent="0.2">
      <c r="A236" s="259">
        <v>46309</v>
      </c>
      <c r="B236" t="str">
        <f t="shared" si="6"/>
        <v>miércoles</v>
      </c>
      <c r="C236" s="7">
        <f t="shared" si="7"/>
        <v>34</v>
      </c>
      <c r="D236" s="261" t="s">
        <v>311</v>
      </c>
    </row>
    <row r="237" spans="1:4" x14ac:dyDescent="0.2">
      <c r="A237" s="259">
        <v>46310</v>
      </c>
      <c r="B237" t="str">
        <f t="shared" si="6"/>
        <v>jueves</v>
      </c>
      <c r="C237" s="7">
        <f t="shared" si="7"/>
        <v>34</v>
      </c>
      <c r="D237" s="261" t="s">
        <v>311</v>
      </c>
    </row>
    <row r="238" spans="1:4" x14ac:dyDescent="0.2">
      <c r="A238" s="259">
        <v>46311</v>
      </c>
      <c r="B238" t="str">
        <f t="shared" si="6"/>
        <v>viernes</v>
      </c>
      <c r="C238" s="7">
        <f t="shared" si="7"/>
        <v>34</v>
      </c>
      <c r="D238" s="261" t="s">
        <v>313</v>
      </c>
    </row>
    <row r="239" spans="1:4" x14ac:dyDescent="0.2">
      <c r="A239" s="259">
        <v>46312</v>
      </c>
      <c r="B239" t="str">
        <f t="shared" si="6"/>
        <v>sábado</v>
      </c>
      <c r="C239" s="7">
        <f t="shared" si="7"/>
        <v>34</v>
      </c>
      <c r="D239" s="260" t="s">
        <v>312</v>
      </c>
    </row>
    <row r="240" spans="1:4" x14ac:dyDescent="0.2">
      <c r="A240" s="259">
        <v>46313</v>
      </c>
      <c r="B240" t="str">
        <f t="shared" si="6"/>
        <v>domingo</v>
      </c>
      <c r="C240" s="7">
        <f t="shared" si="7"/>
        <v>34</v>
      </c>
      <c r="D240" s="261" t="s">
        <v>345</v>
      </c>
    </row>
    <row r="241" spans="1:4" x14ac:dyDescent="0.2">
      <c r="A241" s="259">
        <v>46314</v>
      </c>
      <c r="B241" t="str">
        <f t="shared" si="6"/>
        <v>lunes</v>
      </c>
      <c r="C241" s="7">
        <f t="shared" si="7"/>
        <v>35</v>
      </c>
      <c r="D241" s="261" t="s">
        <v>311</v>
      </c>
    </row>
    <row r="242" spans="1:4" x14ac:dyDescent="0.2">
      <c r="A242" s="259">
        <v>46315</v>
      </c>
      <c r="B242" t="str">
        <f t="shared" si="6"/>
        <v>martes</v>
      </c>
      <c r="C242" s="7">
        <f t="shared" si="7"/>
        <v>35</v>
      </c>
      <c r="D242" s="261" t="s">
        <v>311</v>
      </c>
    </row>
    <row r="243" spans="1:4" x14ac:dyDescent="0.2">
      <c r="A243" s="259">
        <v>46316</v>
      </c>
      <c r="B243" t="str">
        <f t="shared" si="6"/>
        <v>miércoles</v>
      </c>
      <c r="C243" s="7">
        <f t="shared" si="7"/>
        <v>35</v>
      </c>
      <c r="D243" s="261" t="s">
        <v>311</v>
      </c>
    </row>
    <row r="244" spans="1:4" x14ac:dyDescent="0.2">
      <c r="A244" s="259">
        <v>46317</v>
      </c>
      <c r="B244" t="str">
        <f t="shared" si="6"/>
        <v>jueves</v>
      </c>
      <c r="C244" s="7">
        <f t="shared" si="7"/>
        <v>35</v>
      </c>
      <c r="D244" s="261" t="s">
        <v>311</v>
      </c>
    </row>
    <row r="245" spans="1:4" x14ac:dyDescent="0.2">
      <c r="A245" s="259">
        <v>46318</v>
      </c>
      <c r="B245" t="str">
        <f t="shared" si="6"/>
        <v>viernes</v>
      </c>
      <c r="C245" s="7">
        <f t="shared" si="7"/>
        <v>35</v>
      </c>
      <c r="D245" s="261" t="s">
        <v>313</v>
      </c>
    </row>
    <row r="246" spans="1:4" x14ac:dyDescent="0.2">
      <c r="A246" s="259">
        <v>46319</v>
      </c>
      <c r="B246" t="str">
        <f t="shared" si="6"/>
        <v>sábado</v>
      </c>
      <c r="C246" s="7">
        <f t="shared" si="7"/>
        <v>35</v>
      </c>
      <c r="D246" s="260" t="s">
        <v>312</v>
      </c>
    </row>
    <row r="247" spans="1:4" x14ac:dyDescent="0.2">
      <c r="A247" s="259">
        <v>46320</v>
      </c>
      <c r="B247" t="str">
        <f t="shared" si="6"/>
        <v>domingo</v>
      </c>
      <c r="C247" s="7">
        <f t="shared" si="7"/>
        <v>35</v>
      </c>
      <c r="D247" s="261" t="s">
        <v>345</v>
      </c>
    </row>
    <row r="248" spans="1:4" x14ac:dyDescent="0.2">
      <c r="A248" s="259">
        <v>46321</v>
      </c>
      <c r="B248" t="str">
        <f t="shared" si="6"/>
        <v>lunes</v>
      </c>
      <c r="C248" s="7">
        <f t="shared" si="7"/>
        <v>36</v>
      </c>
      <c r="D248" s="261" t="s">
        <v>311</v>
      </c>
    </row>
    <row r="249" spans="1:4" x14ac:dyDescent="0.2">
      <c r="A249" s="259">
        <v>46322</v>
      </c>
      <c r="B249" t="str">
        <f t="shared" si="6"/>
        <v>martes</v>
      </c>
      <c r="C249" s="7">
        <f t="shared" si="7"/>
        <v>36</v>
      </c>
      <c r="D249" s="261" t="s">
        <v>311</v>
      </c>
    </row>
    <row r="250" spans="1:4" x14ac:dyDescent="0.2">
      <c r="A250" s="259">
        <v>46323</v>
      </c>
      <c r="B250" t="str">
        <f t="shared" si="6"/>
        <v>miércoles</v>
      </c>
      <c r="C250" s="7">
        <f t="shared" si="7"/>
        <v>36</v>
      </c>
      <c r="D250" s="261" t="s">
        <v>311</v>
      </c>
    </row>
    <row r="251" spans="1:4" x14ac:dyDescent="0.2">
      <c r="A251" s="259">
        <v>46324</v>
      </c>
      <c r="B251" t="str">
        <f t="shared" si="6"/>
        <v>jueves</v>
      </c>
      <c r="C251" s="7">
        <f t="shared" si="7"/>
        <v>36</v>
      </c>
      <c r="D251" s="261" t="s">
        <v>311</v>
      </c>
    </row>
    <row r="252" spans="1:4" x14ac:dyDescent="0.2">
      <c r="A252" s="259">
        <v>46325</v>
      </c>
      <c r="B252" t="str">
        <f t="shared" si="6"/>
        <v>viernes</v>
      </c>
      <c r="C252" s="7">
        <f t="shared" si="7"/>
        <v>36</v>
      </c>
      <c r="D252" s="261" t="s">
        <v>313</v>
      </c>
    </row>
    <row r="253" spans="1:4" x14ac:dyDescent="0.2">
      <c r="A253" s="259">
        <v>46326</v>
      </c>
      <c r="B253" t="str">
        <f t="shared" si="6"/>
        <v>sábado</v>
      </c>
      <c r="C253" s="7">
        <f t="shared" si="7"/>
        <v>36</v>
      </c>
      <c r="D253" s="260" t="s">
        <v>312</v>
      </c>
    </row>
    <row r="254" spans="1:4" x14ac:dyDescent="0.2">
      <c r="A254" s="259">
        <v>46327</v>
      </c>
      <c r="B254" t="str">
        <f t="shared" si="6"/>
        <v>domingo</v>
      </c>
      <c r="C254" s="7">
        <f t="shared" si="7"/>
        <v>36</v>
      </c>
      <c r="D254" s="261" t="s">
        <v>345</v>
      </c>
    </row>
    <row r="255" spans="1:4" x14ac:dyDescent="0.2">
      <c r="A255" s="259">
        <v>46328</v>
      </c>
      <c r="B255" t="str">
        <f t="shared" si="6"/>
        <v>lunes</v>
      </c>
      <c r="C255" s="7">
        <f t="shared" si="7"/>
        <v>37</v>
      </c>
      <c r="D255" s="261" t="s">
        <v>311</v>
      </c>
    </row>
    <row r="256" spans="1:4" x14ac:dyDescent="0.2">
      <c r="A256" s="259">
        <v>46329</v>
      </c>
      <c r="B256" t="str">
        <f t="shared" si="6"/>
        <v>martes</v>
      </c>
      <c r="C256" s="7">
        <f t="shared" si="7"/>
        <v>37</v>
      </c>
      <c r="D256" s="261" t="s">
        <v>311</v>
      </c>
    </row>
    <row r="257" spans="1:4" x14ac:dyDescent="0.2">
      <c r="A257" s="259">
        <v>46330</v>
      </c>
      <c r="B257" t="str">
        <f t="shared" si="6"/>
        <v>miércoles</v>
      </c>
      <c r="C257" s="7">
        <f t="shared" si="7"/>
        <v>37</v>
      </c>
      <c r="D257" s="261" t="s">
        <v>311</v>
      </c>
    </row>
    <row r="258" spans="1:4" x14ac:dyDescent="0.2">
      <c r="A258" s="259">
        <v>46331</v>
      </c>
      <c r="B258" t="str">
        <f t="shared" si="6"/>
        <v>jueves</v>
      </c>
      <c r="C258" s="7">
        <f t="shared" si="7"/>
        <v>37</v>
      </c>
      <c r="D258" s="261" t="s">
        <v>311</v>
      </c>
    </row>
    <row r="259" spans="1:4" x14ac:dyDescent="0.2">
      <c r="A259" s="259">
        <v>46332</v>
      </c>
      <c r="B259" t="str">
        <f t="shared" ref="B259:B314" si="8">+TEXT(A259,"dddd")</f>
        <v>viernes</v>
      </c>
      <c r="C259" s="7">
        <f t="shared" si="7"/>
        <v>37</v>
      </c>
      <c r="D259" s="261" t="s">
        <v>313</v>
      </c>
    </row>
    <row r="260" spans="1:4" x14ac:dyDescent="0.2">
      <c r="A260" s="259">
        <v>46333</v>
      </c>
      <c r="B260" t="str">
        <f t="shared" si="8"/>
        <v>sábado</v>
      </c>
      <c r="C260" s="7">
        <f t="shared" si="7"/>
        <v>37</v>
      </c>
      <c r="D260" s="260" t="s">
        <v>312</v>
      </c>
    </row>
    <row r="261" spans="1:4" x14ac:dyDescent="0.2">
      <c r="A261" s="259">
        <v>46334</v>
      </c>
      <c r="B261" t="str">
        <f t="shared" si="8"/>
        <v>domingo</v>
      </c>
      <c r="C261" s="7">
        <f t="shared" si="7"/>
        <v>37</v>
      </c>
      <c r="D261" s="261" t="s">
        <v>345</v>
      </c>
    </row>
    <row r="262" spans="1:4" x14ac:dyDescent="0.2">
      <c r="A262" s="259">
        <v>46335</v>
      </c>
      <c r="B262" t="str">
        <f t="shared" si="8"/>
        <v>lunes</v>
      </c>
      <c r="C262" s="7">
        <f t="shared" si="7"/>
        <v>38</v>
      </c>
      <c r="D262" s="261" t="s">
        <v>311</v>
      </c>
    </row>
    <row r="263" spans="1:4" x14ac:dyDescent="0.2">
      <c r="A263" s="259">
        <v>46336</v>
      </c>
      <c r="B263" t="str">
        <f t="shared" si="8"/>
        <v>martes</v>
      </c>
      <c r="C263" s="7">
        <f t="shared" si="7"/>
        <v>38</v>
      </c>
      <c r="D263" s="261" t="s">
        <v>311</v>
      </c>
    </row>
    <row r="264" spans="1:4" x14ac:dyDescent="0.2">
      <c r="A264" s="259">
        <v>46337</v>
      </c>
      <c r="B264" t="str">
        <f t="shared" si="8"/>
        <v>miércoles</v>
      </c>
      <c r="C264" s="7">
        <f t="shared" si="7"/>
        <v>38</v>
      </c>
      <c r="D264" s="261" t="s">
        <v>311</v>
      </c>
    </row>
    <row r="265" spans="1:4" x14ac:dyDescent="0.2">
      <c r="A265" s="259">
        <v>46338</v>
      </c>
      <c r="B265" t="str">
        <f t="shared" si="8"/>
        <v>jueves</v>
      </c>
      <c r="C265" s="7">
        <f t="shared" si="7"/>
        <v>38</v>
      </c>
      <c r="D265" s="261" t="s">
        <v>311</v>
      </c>
    </row>
    <row r="266" spans="1:4" x14ac:dyDescent="0.2">
      <c r="A266" s="259">
        <v>46339</v>
      </c>
      <c r="B266" t="str">
        <f t="shared" si="8"/>
        <v>viernes</v>
      </c>
      <c r="C266" s="7">
        <f t="shared" si="7"/>
        <v>38</v>
      </c>
      <c r="D266" s="261" t="s">
        <v>313</v>
      </c>
    </row>
    <row r="267" spans="1:4" x14ac:dyDescent="0.2">
      <c r="A267" s="259">
        <v>46340</v>
      </c>
      <c r="B267" t="str">
        <f t="shared" si="8"/>
        <v>sábado</v>
      </c>
      <c r="C267" s="7">
        <f t="shared" si="7"/>
        <v>38</v>
      </c>
      <c r="D267" s="260" t="s">
        <v>312</v>
      </c>
    </row>
    <row r="268" spans="1:4" x14ac:dyDescent="0.2">
      <c r="A268" s="259">
        <v>46341</v>
      </c>
      <c r="B268" t="str">
        <f t="shared" si="8"/>
        <v>domingo</v>
      </c>
      <c r="C268" s="7">
        <f t="shared" si="7"/>
        <v>38</v>
      </c>
      <c r="D268" s="261" t="s">
        <v>345</v>
      </c>
    </row>
    <row r="269" spans="1:4" x14ac:dyDescent="0.2">
      <c r="A269" s="259">
        <v>46342</v>
      </c>
      <c r="B269" t="str">
        <f t="shared" si="8"/>
        <v>lunes</v>
      </c>
      <c r="C269" s="7">
        <f t="shared" si="7"/>
        <v>39</v>
      </c>
      <c r="D269" s="261" t="s">
        <v>311</v>
      </c>
    </row>
    <row r="270" spans="1:4" x14ac:dyDescent="0.2">
      <c r="A270" s="259">
        <v>46343</v>
      </c>
      <c r="B270" t="str">
        <f t="shared" si="8"/>
        <v>martes</v>
      </c>
      <c r="C270" s="7">
        <f t="shared" si="7"/>
        <v>39</v>
      </c>
      <c r="D270" s="261" t="s">
        <v>311</v>
      </c>
    </row>
    <row r="271" spans="1:4" x14ac:dyDescent="0.2">
      <c r="A271" s="259">
        <v>46344</v>
      </c>
      <c r="B271" t="str">
        <f t="shared" si="8"/>
        <v>miércoles</v>
      </c>
      <c r="C271" s="7">
        <f t="shared" si="7"/>
        <v>39</v>
      </c>
      <c r="D271" s="261" t="s">
        <v>311</v>
      </c>
    </row>
    <row r="272" spans="1:4" x14ac:dyDescent="0.2">
      <c r="A272" s="259">
        <v>46345</v>
      </c>
      <c r="B272" t="str">
        <f t="shared" si="8"/>
        <v>jueves</v>
      </c>
      <c r="C272" s="7">
        <f t="shared" si="7"/>
        <v>39</v>
      </c>
      <c r="D272" s="261" t="s">
        <v>311</v>
      </c>
    </row>
    <row r="273" spans="1:4" x14ac:dyDescent="0.2">
      <c r="A273" s="259">
        <v>46346</v>
      </c>
      <c r="B273" t="str">
        <f t="shared" si="8"/>
        <v>viernes</v>
      </c>
      <c r="C273" s="7">
        <f t="shared" si="7"/>
        <v>39</v>
      </c>
      <c r="D273" s="261" t="s">
        <v>313</v>
      </c>
    </row>
    <row r="274" spans="1:4" x14ac:dyDescent="0.2">
      <c r="A274" s="259">
        <v>46347</v>
      </c>
      <c r="B274" t="str">
        <f t="shared" si="8"/>
        <v>sábado</v>
      </c>
      <c r="C274" s="7">
        <f t="shared" ref="C274:C314" si="9">+C267+1</f>
        <v>39</v>
      </c>
      <c r="D274" s="260" t="s">
        <v>312</v>
      </c>
    </row>
    <row r="275" spans="1:4" x14ac:dyDescent="0.2">
      <c r="A275" s="259">
        <v>46348</v>
      </c>
      <c r="B275" t="str">
        <f t="shared" si="8"/>
        <v>domingo</v>
      </c>
      <c r="C275" s="7">
        <f t="shared" si="9"/>
        <v>39</v>
      </c>
      <c r="D275" s="261" t="s">
        <v>345</v>
      </c>
    </row>
    <row r="276" spans="1:4" x14ac:dyDescent="0.2">
      <c r="A276" s="259">
        <v>46349</v>
      </c>
      <c r="B276" t="str">
        <f t="shared" si="8"/>
        <v>lunes</v>
      </c>
      <c r="C276" s="7">
        <f t="shared" si="9"/>
        <v>40</v>
      </c>
      <c r="D276" s="261" t="s">
        <v>311</v>
      </c>
    </row>
    <row r="277" spans="1:4" x14ac:dyDescent="0.2">
      <c r="A277" s="259">
        <v>46350</v>
      </c>
      <c r="B277" t="str">
        <f t="shared" si="8"/>
        <v>martes</v>
      </c>
      <c r="C277" s="7">
        <f t="shared" si="9"/>
        <v>40</v>
      </c>
      <c r="D277" s="261" t="s">
        <v>311</v>
      </c>
    </row>
    <row r="278" spans="1:4" x14ac:dyDescent="0.2">
      <c r="A278" s="259">
        <v>46351</v>
      </c>
      <c r="B278" t="str">
        <f t="shared" si="8"/>
        <v>miércoles</v>
      </c>
      <c r="C278" s="7">
        <f t="shared" si="9"/>
        <v>40</v>
      </c>
      <c r="D278" s="261" t="s">
        <v>311</v>
      </c>
    </row>
    <row r="279" spans="1:4" x14ac:dyDescent="0.2">
      <c r="A279" s="259">
        <v>46352</v>
      </c>
      <c r="B279" t="str">
        <f t="shared" si="8"/>
        <v>jueves</v>
      </c>
      <c r="C279" s="7">
        <f t="shared" si="9"/>
        <v>40</v>
      </c>
      <c r="D279" s="261" t="s">
        <v>311</v>
      </c>
    </row>
    <row r="280" spans="1:4" x14ac:dyDescent="0.2">
      <c r="A280" s="259">
        <v>46353</v>
      </c>
      <c r="B280" t="str">
        <f t="shared" si="8"/>
        <v>viernes</v>
      </c>
      <c r="C280" s="7">
        <f t="shared" si="9"/>
        <v>40</v>
      </c>
      <c r="D280" s="261" t="s">
        <v>313</v>
      </c>
    </row>
    <row r="281" spans="1:4" x14ac:dyDescent="0.2">
      <c r="A281" s="259">
        <v>46354</v>
      </c>
      <c r="B281" t="str">
        <f t="shared" si="8"/>
        <v>sábado</v>
      </c>
      <c r="C281" s="7">
        <f t="shared" si="9"/>
        <v>40</v>
      </c>
      <c r="D281" s="260" t="s">
        <v>312</v>
      </c>
    </row>
    <row r="282" spans="1:4" x14ac:dyDescent="0.2">
      <c r="A282" s="259">
        <v>46355</v>
      </c>
      <c r="B282" t="str">
        <f t="shared" si="8"/>
        <v>domingo</v>
      </c>
      <c r="C282" s="7">
        <f t="shared" si="9"/>
        <v>40</v>
      </c>
      <c r="D282" s="261" t="s">
        <v>345</v>
      </c>
    </row>
    <row r="283" spans="1:4" x14ac:dyDescent="0.2">
      <c r="A283" s="259">
        <v>46356</v>
      </c>
      <c r="B283" t="str">
        <f t="shared" si="8"/>
        <v>lunes</v>
      </c>
      <c r="C283" s="7">
        <f t="shared" si="9"/>
        <v>41</v>
      </c>
      <c r="D283" s="261" t="s">
        <v>311</v>
      </c>
    </row>
    <row r="284" spans="1:4" x14ac:dyDescent="0.2">
      <c r="A284" s="259">
        <v>46357</v>
      </c>
      <c r="B284" t="str">
        <f t="shared" si="8"/>
        <v>martes</v>
      </c>
      <c r="C284" s="7">
        <f t="shared" si="9"/>
        <v>41</v>
      </c>
      <c r="D284" s="261" t="s">
        <v>311</v>
      </c>
    </row>
    <row r="285" spans="1:4" x14ac:dyDescent="0.2">
      <c r="A285" s="259">
        <v>46358</v>
      </c>
      <c r="B285" t="str">
        <f t="shared" si="8"/>
        <v>miércoles</v>
      </c>
      <c r="C285" s="7">
        <f t="shared" si="9"/>
        <v>41</v>
      </c>
      <c r="D285" s="261" t="s">
        <v>311</v>
      </c>
    </row>
    <row r="286" spans="1:4" x14ac:dyDescent="0.2">
      <c r="A286" s="259">
        <v>46359</v>
      </c>
      <c r="B286" t="str">
        <f t="shared" si="8"/>
        <v>jueves</v>
      </c>
      <c r="C286" s="7">
        <f t="shared" si="9"/>
        <v>41</v>
      </c>
      <c r="D286" s="261" t="s">
        <v>311</v>
      </c>
    </row>
    <row r="287" spans="1:4" x14ac:dyDescent="0.2">
      <c r="A287" s="259">
        <v>46360</v>
      </c>
      <c r="B287" t="str">
        <f t="shared" si="8"/>
        <v>viernes</v>
      </c>
      <c r="C287" s="7">
        <f t="shared" si="9"/>
        <v>41</v>
      </c>
      <c r="D287" s="261" t="s">
        <v>313</v>
      </c>
    </row>
    <row r="288" spans="1:4" x14ac:dyDescent="0.2">
      <c r="A288" s="259">
        <v>46361</v>
      </c>
      <c r="B288" t="str">
        <f t="shared" si="8"/>
        <v>sábado</v>
      </c>
      <c r="C288" s="7">
        <f t="shared" si="9"/>
        <v>41</v>
      </c>
      <c r="D288" s="260" t="s">
        <v>312</v>
      </c>
    </row>
    <row r="289" spans="1:4" x14ac:dyDescent="0.2">
      <c r="A289" s="259">
        <v>46362</v>
      </c>
      <c r="B289" t="str">
        <f t="shared" si="8"/>
        <v>domingo</v>
      </c>
      <c r="C289" s="7">
        <f t="shared" si="9"/>
        <v>41</v>
      </c>
      <c r="D289" s="261" t="s">
        <v>345</v>
      </c>
    </row>
    <row r="290" spans="1:4" x14ac:dyDescent="0.2">
      <c r="A290" s="259">
        <v>46363</v>
      </c>
      <c r="B290" t="str">
        <f t="shared" si="8"/>
        <v>lunes</v>
      </c>
      <c r="C290" s="7">
        <f t="shared" si="9"/>
        <v>42</v>
      </c>
      <c r="D290" s="261" t="s">
        <v>311</v>
      </c>
    </row>
    <row r="291" spans="1:4" x14ac:dyDescent="0.2">
      <c r="A291" s="259">
        <v>46364</v>
      </c>
      <c r="B291" t="str">
        <f t="shared" si="8"/>
        <v>martes</v>
      </c>
      <c r="C291" s="7">
        <f t="shared" si="9"/>
        <v>42</v>
      </c>
      <c r="D291" s="261" t="s">
        <v>311</v>
      </c>
    </row>
    <row r="292" spans="1:4" x14ac:dyDescent="0.2">
      <c r="A292" s="259">
        <v>46365</v>
      </c>
      <c r="B292" t="str">
        <f t="shared" si="8"/>
        <v>miércoles</v>
      </c>
      <c r="C292" s="7">
        <f t="shared" si="9"/>
        <v>42</v>
      </c>
      <c r="D292" s="261" t="s">
        <v>311</v>
      </c>
    </row>
    <row r="293" spans="1:4" x14ac:dyDescent="0.2">
      <c r="A293" s="259">
        <v>46366</v>
      </c>
      <c r="B293" t="str">
        <f t="shared" si="8"/>
        <v>jueves</v>
      </c>
      <c r="C293" s="7">
        <f t="shared" si="9"/>
        <v>42</v>
      </c>
      <c r="D293" s="261" t="s">
        <v>311</v>
      </c>
    </row>
    <row r="294" spans="1:4" x14ac:dyDescent="0.2">
      <c r="A294" s="259">
        <v>46367</v>
      </c>
      <c r="B294" t="str">
        <f t="shared" si="8"/>
        <v>viernes</v>
      </c>
      <c r="C294" s="7">
        <f t="shared" si="9"/>
        <v>42</v>
      </c>
      <c r="D294" s="261" t="s">
        <v>313</v>
      </c>
    </row>
    <row r="295" spans="1:4" x14ac:dyDescent="0.2">
      <c r="A295" s="259">
        <v>46368</v>
      </c>
      <c r="B295" t="str">
        <f t="shared" si="8"/>
        <v>sábado</v>
      </c>
      <c r="C295" s="7">
        <f t="shared" si="9"/>
        <v>42</v>
      </c>
      <c r="D295" s="260" t="s">
        <v>312</v>
      </c>
    </row>
    <row r="296" spans="1:4" x14ac:dyDescent="0.2">
      <c r="A296" s="259">
        <v>46369</v>
      </c>
      <c r="B296" t="str">
        <f t="shared" si="8"/>
        <v>domingo</v>
      </c>
      <c r="C296" s="7">
        <f t="shared" si="9"/>
        <v>42</v>
      </c>
      <c r="D296" s="261" t="s">
        <v>345</v>
      </c>
    </row>
    <row r="297" spans="1:4" x14ac:dyDescent="0.2">
      <c r="A297" s="259">
        <v>46370</v>
      </c>
      <c r="B297" t="str">
        <f t="shared" si="8"/>
        <v>lunes</v>
      </c>
      <c r="C297" s="7">
        <f t="shared" si="9"/>
        <v>43</v>
      </c>
      <c r="D297" s="261" t="s">
        <v>311</v>
      </c>
    </row>
    <row r="298" spans="1:4" x14ac:dyDescent="0.2">
      <c r="A298" s="259">
        <v>46371</v>
      </c>
      <c r="B298" t="str">
        <f t="shared" si="8"/>
        <v>martes</v>
      </c>
      <c r="C298" s="7">
        <f t="shared" si="9"/>
        <v>43</v>
      </c>
      <c r="D298" s="261" t="s">
        <v>311</v>
      </c>
    </row>
    <row r="299" spans="1:4" x14ac:dyDescent="0.2">
      <c r="A299" s="259">
        <v>46372</v>
      </c>
      <c r="B299" t="str">
        <f t="shared" si="8"/>
        <v>miércoles</v>
      </c>
      <c r="C299" s="7">
        <f t="shared" si="9"/>
        <v>43</v>
      </c>
      <c r="D299" s="261" t="s">
        <v>311</v>
      </c>
    </row>
    <row r="300" spans="1:4" x14ac:dyDescent="0.2">
      <c r="A300" s="259">
        <v>46373</v>
      </c>
      <c r="B300" t="str">
        <f t="shared" si="8"/>
        <v>jueves</v>
      </c>
      <c r="C300" s="7">
        <f t="shared" si="9"/>
        <v>43</v>
      </c>
      <c r="D300" s="261" t="s">
        <v>311</v>
      </c>
    </row>
    <row r="301" spans="1:4" x14ac:dyDescent="0.2">
      <c r="A301" s="259">
        <v>46374</v>
      </c>
      <c r="B301" t="str">
        <f t="shared" si="8"/>
        <v>viernes</v>
      </c>
      <c r="C301" s="7">
        <f t="shared" si="9"/>
        <v>43</v>
      </c>
      <c r="D301" s="261" t="s">
        <v>313</v>
      </c>
    </row>
    <row r="302" spans="1:4" x14ac:dyDescent="0.2">
      <c r="A302" s="259">
        <v>46375</v>
      </c>
      <c r="B302" t="str">
        <f t="shared" si="8"/>
        <v>sábado</v>
      </c>
      <c r="C302" s="7">
        <f t="shared" si="9"/>
        <v>43</v>
      </c>
      <c r="D302" s="260" t="s">
        <v>312</v>
      </c>
    </row>
    <row r="303" spans="1:4" x14ac:dyDescent="0.2">
      <c r="A303" s="259">
        <v>46376</v>
      </c>
      <c r="B303" t="str">
        <f t="shared" si="8"/>
        <v>domingo</v>
      </c>
      <c r="C303" s="7">
        <f t="shared" si="9"/>
        <v>43</v>
      </c>
      <c r="D303" s="261" t="s">
        <v>345</v>
      </c>
    </row>
    <row r="304" spans="1:4" x14ac:dyDescent="0.2">
      <c r="A304" s="259">
        <v>46377</v>
      </c>
      <c r="B304" t="str">
        <f t="shared" si="8"/>
        <v>lunes</v>
      </c>
      <c r="C304" s="7">
        <f t="shared" si="9"/>
        <v>44</v>
      </c>
      <c r="D304" s="261" t="s">
        <v>311</v>
      </c>
    </row>
    <row r="305" spans="1:4" x14ac:dyDescent="0.2">
      <c r="A305" s="259">
        <v>46378</v>
      </c>
      <c r="B305" t="str">
        <f t="shared" si="8"/>
        <v>martes</v>
      </c>
      <c r="C305" s="7">
        <f t="shared" si="9"/>
        <v>44</v>
      </c>
      <c r="D305" s="261" t="s">
        <v>311</v>
      </c>
    </row>
    <row r="306" spans="1:4" x14ac:dyDescent="0.2">
      <c r="A306" s="259">
        <v>46379</v>
      </c>
      <c r="B306" t="str">
        <f t="shared" si="8"/>
        <v>miércoles</v>
      </c>
      <c r="C306" s="7">
        <f t="shared" si="9"/>
        <v>44</v>
      </c>
      <c r="D306" s="261" t="s">
        <v>311</v>
      </c>
    </row>
    <row r="307" spans="1:4" x14ac:dyDescent="0.2">
      <c r="A307" s="259">
        <v>46380</v>
      </c>
      <c r="B307" t="str">
        <f t="shared" si="8"/>
        <v>jueves</v>
      </c>
      <c r="C307" s="7">
        <f t="shared" si="9"/>
        <v>44</v>
      </c>
      <c r="D307" s="261" t="s">
        <v>311</v>
      </c>
    </row>
    <row r="308" spans="1:4" x14ac:dyDescent="0.2">
      <c r="A308" s="259">
        <v>46381</v>
      </c>
      <c r="B308" t="str">
        <f t="shared" si="8"/>
        <v>viernes</v>
      </c>
      <c r="C308" s="7">
        <f t="shared" si="9"/>
        <v>44</v>
      </c>
      <c r="D308" s="261" t="s">
        <v>313</v>
      </c>
    </row>
    <row r="309" spans="1:4" x14ac:dyDescent="0.2">
      <c r="A309" s="259">
        <v>46382</v>
      </c>
      <c r="B309" t="str">
        <f t="shared" si="8"/>
        <v>sábado</v>
      </c>
      <c r="C309" s="7">
        <f t="shared" si="9"/>
        <v>44</v>
      </c>
      <c r="D309" s="260" t="s">
        <v>312</v>
      </c>
    </row>
    <row r="310" spans="1:4" x14ac:dyDescent="0.2">
      <c r="A310" s="259">
        <v>46383</v>
      </c>
      <c r="B310" t="str">
        <f t="shared" si="8"/>
        <v>domingo</v>
      </c>
      <c r="C310" s="7">
        <f t="shared" si="9"/>
        <v>44</v>
      </c>
      <c r="D310" s="261" t="s">
        <v>345</v>
      </c>
    </row>
    <row r="311" spans="1:4" x14ac:dyDescent="0.2">
      <c r="A311" s="259">
        <v>46384</v>
      </c>
      <c r="B311" t="str">
        <f t="shared" si="8"/>
        <v>lunes</v>
      </c>
      <c r="C311" s="7">
        <f t="shared" si="9"/>
        <v>45</v>
      </c>
      <c r="D311" s="261" t="s">
        <v>311</v>
      </c>
    </row>
    <row r="312" spans="1:4" x14ac:dyDescent="0.2">
      <c r="A312" s="259">
        <v>46385</v>
      </c>
      <c r="B312" t="str">
        <f t="shared" si="8"/>
        <v>martes</v>
      </c>
      <c r="C312" s="7">
        <f t="shared" si="9"/>
        <v>45</v>
      </c>
      <c r="D312" s="261" t="s">
        <v>311</v>
      </c>
    </row>
    <row r="313" spans="1:4" x14ac:dyDescent="0.2">
      <c r="A313" s="259">
        <v>46386</v>
      </c>
      <c r="B313" t="str">
        <f t="shared" si="8"/>
        <v>miércoles</v>
      </c>
      <c r="C313" s="7">
        <f t="shared" si="9"/>
        <v>45</v>
      </c>
      <c r="D313" s="261" t="s">
        <v>311</v>
      </c>
    </row>
    <row r="314" spans="1:4" x14ac:dyDescent="0.2">
      <c r="A314" s="259">
        <v>46387</v>
      </c>
      <c r="B314" t="str">
        <f t="shared" si="8"/>
        <v>jueves</v>
      </c>
      <c r="C314" s="7">
        <f t="shared" si="9"/>
        <v>45</v>
      </c>
      <c r="D314" s="261" t="s">
        <v>311</v>
      </c>
    </row>
  </sheetData>
  <autoFilter ref="A1:D31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A3"/>
  </sheetPr>
  <dimension ref="B1:AC124"/>
  <sheetViews>
    <sheetView showGridLines="0" topLeftCell="E1" zoomScaleNormal="100" workbookViewId="0">
      <pane ySplit="2" topLeftCell="A19" activePane="bottomLeft" state="frozen"/>
      <selection pane="bottomLeft" activeCell="K29" sqref="K29"/>
    </sheetView>
  </sheetViews>
  <sheetFormatPr baseColWidth="10" defaultRowHeight="14.25" outlineLevelCol="1" x14ac:dyDescent="0.2"/>
  <cols>
    <col min="1" max="1" width="4.625" customWidth="1"/>
    <col min="2" max="3" width="11" customWidth="1"/>
    <col min="4" max="4" width="9.25" bestFit="1" customWidth="1"/>
    <col min="5" max="5" width="16.75" bestFit="1" customWidth="1"/>
    <col min="6" max="7" width="12.375" customWidth="1"/>
    <col min="8" max="8" width="9.625" customWidth="1"/>
    <col min="9" max="9" width="6" customWidth="1"/>
    <col min="10" max="10" width="6.75" style="1" bestFit="1" customWidth="1" outlineLevel="1"/>
    <col min="11" max="11" width="23.5" style="1" customWidth="1" outlineLevel="1"/>
    <col min="12" max="12" width="11.375" style="1" customWidth="1" outlineLevel="1"/>
    <col min="13" max="13" width="11.375" customWidth="1"/>
    <col min="14" max="14" width="10" customWidth="1"/>
    <col min="15" max="16" width="11" customWidth="1"/>
    <col min="17" max="17" width="8.375" customWidth="1"/>
    <col min="18" max="18" width="14.25" customWidth="1"/>
    <col min="19" max="21" width="12.25" customWidth="1"/>
    <col min="22" max="22" width="12.25" bestFit="1" customWidth="1"/>
    <col min="26" max="26" width="15.75" bestFit="1" customWidth="1"/>
    <col min="27" max="27" width="13.25" bestFit="1" customWidth="1"/>
    <col min="28" max="28" width="13.25" customWidth="1"/>
  </cols>
  <sheetData>
    <row r="1" spans="2:18" x14ac:dyDescent="0.2">
      <c r="M1" s="262" t="e">
        <f>+VLOOKUP(sales[[#This Row],[Día]],Forecast!AK:AM,2,0)</f>
        <v>#VALUE!</v>
      </c>
      <c r="P1" s="3"/>
    </row>
    <row r="2" spans="2:18" x14ac:dyDescent="0.2">
      <c r="B2" s="10" t="s">
        <v>149</v>
      </c>
      <c r="C2" s="10" t="s">
        <v>408</v>
      </c>
      <c r="D2" s="10" t="s">
        <v>158</v>
      </c>
      <c r="E2" t="s">
        <v>411</v>
      </c>
      <c r="F2" s="254" t="s">
        <v>378</v>
      </c>
      <c r="G2" s="254" t="s">
        <v>259</v>
      </c>
      <c r="H2" s="10" t="s">
        <v>309</v>
      </c>
      <c r="I2" s="10" t="s">
        <v>150</v>
      </c>
      <c r="J2" s="10" t="s">
        <v>0</v>
      </c>
      <c r="K2" s="144" t="s">
        <v>348</v>
      </c>
      <c r="L2" s="129" t="s">
        <v>119</v>
      </c>
      <c r="M2" s="130" t="s">
        <v>314</v>
      </c>
      <c r="N2" s="130" t="s">
        <v>344</v>
      </c>
      <c r="O2" s="10"/>
      <c r="R2" s="21"/>
    </row>
    <row r="3" spans="2:18" x14ac:dyDescent="0.2">
      <c r="B3" s="28">
        <f>[2]sales_BI!J2</f>
        <v>46076</v>
      </c>
      <c r="C3" s="28" t="str">
        <f>[2]sales_BI!$K$2</f>
        <v>04:36 p. m.</v>
      </c>
      <c r="D3" s="28" t="s">
        <v>160</v>
      </c>
      <c r="E3" s="28" t="str">
        <f>[2]sales!C5</f>
        <v>Chorizo</v>
      </c>
      <c r="F3" s="257">
        <f>+VLOOKUP(sales[[#This Row],[Fecha]],maestro!A:C,3,0)</f>
        <v>1</v>
      </c>
      <c r="G3" s="257"/>
      <c r="H3" s="28" t="str">
        <f>+VLOOKUP(sales[[#This Row],[Fecha]],maestro!A:D,4,0)</f>
        <v>A) Día hábil</v>
      </c>
      <c r="I3" t="str">
        <f t="shared" ref="I3:I66" si="0">+TEXT(B3,"ddd")</f>
        <v>lun</v>
      </c>
      <c r="J3" t="str">
        <f t="shared" ref="J3:J66" si="1">+TEXT(B3,"mmmm")</f>
        <v>febrero</v>
      </c>
      <c r="K3" s="1">
        <f t="shared" ref="K3:K23" si="2">+M3*0.4</f>
        <v>6400</v>
      </c>
      <c r="L3" s="145">
        <f>[2]sales_BI!H2</f>
        <v>16000</v>
      </c>
      <c r="M3" s="118">
        <f>[2]sales_BI!L2</f>
        <v>16000</v>
      </c>
      <c r="N3" s="91">
        <f>[2]sales_BI!M2</f>
        <v>0</v>
      </c>
      <c r="O3" s="1"/>
    </row>
    <row r="4" spans="2:18" x14ac:dyDescent="0.2">
      <c r="B4" s="28">
        <f>[2]sales_BI!J3</f>
        <v>46076</v>
      </c>
      <c r="C4" s="28" t="str">
        <f>[2]sales_BI!$K$2</f>
        <v>04:36 p. m.</v>
      </c>
      <c r="D4" s="28" t="s">
        <v>160</v>
      </c>
      <c r="E4" s="28" t="str">
        <f>[2]sales!C6</f>
        <v>Chorizo</v>
      </c>
      <c r="F4" s="257">
        <f>+VLOOKUP(sales[[#This Row],[Fecha]],maestro!A:C,3,0)</f>
        <v>1</v>
      </c>
      <c r="G4" s="257"/>
      <c r="H4" s="28" t="str">
        <f>+VLOOKUP(sales[[#This Row],[Fecha]],maestro!A:D,4,0)</f>
        <v>A) Día hábil</v>
      </c>
      <c r="I4" t="str">
        <f t="shared" si="0"/>
        <v>lun</v>
      </c>
      <c r="J4" t="str">
        <f t="shared" si="1"/>
        <v>febrero</v>
      </c>
      <c r="K4" s="1">
        <f t="shared" si="2"/>
        <v>0</v>
      </c>
      <c r="L4" s="145">
        <f>[2]sales_BI!H3</f>
        <v>8000</v>
      </c>
      <c r="M4" s="118">
        <f>[2]sales_BI!L3</f>
        <v>0</v>
      </c>
      <c r="N4" s="91">
        <v>0</v>
      </c>
      <c r="O4" s="1"/>
    </row>
    <row r="5" spans="2:18" x14ac:dyDescent="0.2">
      <c r="B5" s="28">
        <f>[2]sales_BI!J4</f>
        <v>46076</v>
      </c>
      <c r="C5" s="28" t="str">
        <f>[2]sales_BI!$K$2</f>
        <v>04:36 p. m.</v>
      </c>
      <c r="D5" s="28" t="s">
        <v>160</v>
      </c>
      <c r="E5" s="28" t="str">
        <f>[2]sales!C7</f>
        <v>Chorizo</v>
      </c>
      <c r="F5" s="257">
        <f>+VLOOKUP(sales[[#This Row],[Fecha]],maestro!A:C,3,0)</f>
        <v>1</v>
      </c>
      <c r="G5" s="257"/>
      <c r="H5" s="28" t="str">
        <f>+VLOOKUP(sales[[#This Row],[Fecha]],maestro!A:D,4,0)</f>
        <v>A) Día hábil</v>
      </c>
      <c r="I5" t="str">
        <f t="shared" si="0"/>
        <v>lun</v>
      </c>
      <c r="J5" t="str">
        <f t="shared" si="1"/>
        <v>febrero</v>
      </c>
      <c r="K5" s="1">
        <f t="shared" si="2"/>
        <v>6400</v>
      </c>
      <c r="L5" s="145">
        <f>[2]sales_BI!H4</f>
        <v>16000</v>
      </c>
      <c r="M5" s="118">
        <f>[2]sales_BI!L4</f>
        <v>16000</v>
      </c>
      <c r="N5" s="91">
        <v>0</v>
      </c>
      <c r="O5" s="1"/>
    </row>
    <row r="6" spans="2:18" x14ac:dyDescent="0.2">
      <c r="B6" s="28">
        <f>[2]sales_BI!J5</f>
        <v>46076</v>
      </c>
      <c r="C6" s="28" t="str">
        <f>[2]sales_BI!$K$2</f>
        <v>04:36 p. m.</v>
      </c>
      <c r="D6" s="28" t="s">
        <v>160</v>
      </c>
      <c r="E6" s="28" t="str">
        <f>[2]sales!C8</f>
        <v>Coca cola</v>
      </c>
      <c r="F6" s="257">
        <f>+VLOOKUP(sales[[#This Row],[Fecha]],maestro!A:C,3,0)</f>
        <v>1</v>
      </c>
      <c r="G6" s="257"/>
      <c r="H6" s="28" t="str">
        <f>+VLOOKUP(sales[[#This Row],[Fecha]],maestro!A:D,4,0)</f>
        <v>A) Día hábil</v>
      </c>
      <c r="I6" t="str">
        <f t="shared" si="0"/>
        <v>lun</v>
      </c>
      <c r="J6" t="str">
        <f t="shared" si="1"/>
        <v>febrero</v>
      </c>
      <c r="K6" s="1">
        <f t="shared" si="2"/>
        <v>2400</v>
      </c>
      <c r="L6" s="145">
        <f>[2]sales_BI!H5</f>
        <v>6000</v>
      </c>
      <c r="M6" s="118">
        <f>[2]sales_BI!L5</f>
        <v>6000</v>
      </c>
      <c r="N6" s="91">
        <v>0</v>
      </c>
      <c r="O6" s="1"/>
    </row>
    <row r="7" spans="2:18" x14ac:dyDescent="0.2">
      <c r="B7" s="28">
        <f>[2]sales_BI!J6</f>
        <v>46076</v>
      </c>
      <c r="C7" s="28" t="str">
        <f>[2]sales_BI!$K$2</f>
        <v>04:36 p. m.</v>
      </c>
      <c r="D7" s="28" t="s">
        <v>160</v>
      </c>
      <c r="E7" s="28" t="str">
        <f>[2]sales!C9</f>
        <v>Chorizo</v>
      </c>
      <c r="F7" s="257">
        <f>+VLOOKUP(sales[[#This Row],[Fecha]],maestro!A:C,3,0)</f>
        <v>1</v>
      </c>
      <c r="G7" s="257"/>
      <c r="H7" s="28" t="str">
        <f>+VLOOKUP(sales[[#This Row],[Fecha]],maestro!A:D,4,0)</f>
        <v>A) Día hábil</v>
      </c>
      <c r="I7" t="str">
        <f t="shared" si="0"/>
        <v>lun</v>
      </c>
      <c r="J7" t="str">
        <f t="shared" si="1"/>
        <v>febrero</v>
      </c>
      <c r="K7" s="1">
        <f t="shared" si="2"/>
        <v>0</v>
      </c>
      <c r="L7" s="145">
        <f>[2]sales_BI!H6</f>
        <v>24000</v>
      </c>
      <c r="M7" s="118">
        <f>[2]sales_BI!L6</f>
        <v>0</v>
      </c>
      <c r="N7" s="91">
        <v>0</v>
      </c>
      <c r="O7" s="1"/>
    </row>
    <row r="8" spans="2:18" x14ac:dyDescent="0.2">
      <c r="B8" s="28">
        <f>[2]sales_BI!J7</f>
        <v>46076</v>
      </c>
      <c r="C8" s="28" t="str">
        <f>[2]sales_BI!$K$2</f>
        <v>04:36 p. m.</v>
      </c>
      <c r="D8" s="28" t="s">
        <v>160</v>
      </c>
      <c r="E8" s="28" t="str">
        <f>[2]sales!C10</f>
        <v>Agua</v>
      </c>
      <c r="F8" s="257">
        <f>+VLOOKUP(sales[[#This Row],[Fecha]],maestro!A:C,3,0)</f>
        <v>1</v>
      </c>
      <c r="G8" s="257"/>
      <c r="H8" s="28" t="str">
        <f>+VLOOKUP(sales[[#This Row],[Fecha]],maestro!A:D,4,0)</f>
        <v>A) Día hábil</v>
      </c>
      <c r="I8" t="str">
        <f t="shared" si="0"/>
        <v>lun</v>
      </c>
      <c r="J8" t="str">
        <f t="shared" si="1"/>
        <v>febrero</v>
      </c>
      <c r="K8" s="1">
        <f t="shared" si="2"/>
        <v>2400</v>
      </c>
      <c r="L8" s="145">
        <f>[2]sales_BI!H7</f>
        <v>6000</v>
      </c>
      <c r="M8" s="118">
        <f>[2]sales_BI!L7</f>
        <v>6000</v>
      </c>
      <c r="N8" s="91">
        <v>0</v>
      </c>
      <c r="O8" s="1"/>
    </row>
    <row r="9" spans="2:18" x14ac:dyDescent="0.2">
      <c r="B9" s="28">
        <f>[2]sales_BI!J8</f>
        <v>46076</v>
      </c>
      <c r="C9" s="28" t="str">
        <f>[2]sales_BI!$K$2</f>
        <v>04:36 p. m.</v>
      </c>
      <c r="D9" s="28" t="s">
        <v>160</v>
      </c>
      <c r="E9" s="28" t="str">
        <f>[2]sales!C11</f>
        <v>Chorizo</v>
      </c>
      <c r="F9" s="257">
        <f>+VLOOKUP(sales[[#This Row],[Fecha]],maestro!A:C,3,0)</f>
        <v>1</v>
      </c>
      <c r="G9" s="257"/>
      <c r="H9" s="28" t="str">
        <f>+VLOOKUP(sales[[#This Row],[Fecha]],maestro!A:D,4,0)</f>
        <v>A) Día hábil</v>
      </c>
      <c r="I9" t="str">
        <f t="shared" si="0"/>
        <v>lun</v>
      </c>
      <c r="J9" t="str">
        <f t="shared" si="1"/>
        <v>febrero</v>
      </c>
      <c r="K9" s="1">
        <f t="shared" si="2"/>
        <v>6400</v>
      </c>
      <c r="L9" s="145">
        <f>[2]sales_BI!H8</f>
        <v>16000</v>
      </c>
      <c r="M9" s="118">
        <f>[2]sales_BI!L8</f>
        <v>16000</v>
      </c>
      <c r="N9" s="91">
        <v>0</v>
      </c>
      <c r="O9" s="1"/>
    </row>
    <row r="10" spans="2:18" x14ac:dyDescent="0.2">
      <c r="B10" s="28">
        <f>[2]sales_BI!J9</f>
        <v>46076</v>
      </c>
      <c r="C10" s="28" t="str">
        <f>[2]sales_BI!$K$2</f>
        <v>04:36 p. m.</v>
      </c>
      <c r="D10" s="28" t="s">
        <v>160</v>
      </c>
      <c r="E10" s="28" t="str">
        <f>[2]sales!C12</f>
        <v>Chorizo</v>
      </c>
      <c r="F10" s="257">
        <f>+VLOOKUP(sales[[#This Row],[Fecha]],maestro!A:C,3,0)</f>
        <v>1</v>
      </c>
      <c r="G10" s="257"/>
      <c r="H10" s="28" t="str">
        <f>+VLOOKUP(sales[[#This Row],[Fecha]],maestro!A:D,4,0)</f>
        <v>A) Día hábil</v>
      </c>
      <c r="I10" t="str">
        <f t="shared" si="0"/>
        <v>lun</v>
      </c>
      <c r="J10" t="str">
        <f t="shared" si="1"/>
        <v>febrero</v>
      </c>
      <c r="K10" s="1">
        <f t="shared" si="2"/>
        <v>6400</v>
      </c>
      <c r="L10" s="145">
        <f>[2]sales_BI!H9</f>
        <v>16000</v>
      </c>
      <c r="M10" s="118">
        <f>[2]sales_BI!L9</f>
        <v>16000</v>
      </c>
      <c r="N10" s="91">
        <v>0</v>
      </c>
      <c r="O10" s="1"/>
    </row>
    <row r="11" spans="2:18" x14ac:dyDescent="0.2">
      <c r="B11" s="28">
        <f>[2]sales_BI!J10</f>
        <v>46076</v>
      </c>
      <c r="C11" s="28" t="str">
        <f>[2]sales_BI!$K$2</f>
        <v>04:36 p. m.</v>
      </c>
      <c r="D11" s="28" t="s">
        <v>160</v>
      </c>
      <c r="E11" s="28" t="str">
        <f>[2]sales!C13</f>
        <v>Postobon</v>
      </c>
      <c r="F11" s="257">
        <f>+VLOOKUP(sales[[#This Row],[Fecha]],maestro!A:C,3,0)</f>
        <v>1</v>
      </c>
      <c r="G11" s="257"/>
      <c r="H11" s="28" t="str">
        <f>+VLOOKUP(sales[[#This Row],[Fecha]],maestro!A:D,4,0)</f>
        <v>A) Día hábil</v>
      </c>
      <c r="I11" t="str">
        <f t="shared" si="0"/>
        <v>lun</v>
      </c>
      <c r="J11" t="str">
        <f t="shared" si="1"/>
        <v>febrero</v>
      </c>
      <c r="K11" s="1">
        <f t="shared" si="2"/>
        <v>1200</v>
      </c>
      <c r="L11" s="145">
        <f>[2]sales_BI!H10</f>
        <v>3000</v>
      </c>
      <c r="M11" s="118">
        <f>[2]sales_BI!L10</f>
        <v>3000</v>
      </c>
      <c r="N11" s="91">
        <v>0</v>
      </c>
      <c r="O11" s="1"/>
    </row>
    <row r="12" spans="2:18" x14ac:dyDescent="0.2">
      <c r="B12" s="28">
        <f>[2]sales_BI!J11</f>
        <v>46076</v>
      </c>
      <c r="C12" s="28" t="str">
        <f>[2]sales_BI!$K$2</f>
        <v>04:36 p. m.</v>
      </c>
      <c r="D12" s="28" t="s">
        <v>160</v>
      </c>
      <c r="E12" s="28" t="str">
        <f>[2]sales!C14</f>
        <v>Chorizo</v>
      </c>
      <c r="F12" s="257">
        <f>+VLOOKUP(sales[[#This Row],[Fecha]],maestro!A:C,3,0)</f>
        <v>1</v>
      </c>
      <c r="G12" s="257"/>
      <c r="H12" s="28" t="str">
        <f>+VLOOKUP(sales[[#This Row],[Fecha]],maestro!A:D,4,0)</f>
        <v>A) Día hábil</v>
      </c>
      <c r="I12" t="str">
        <f t="shared" si="0"/>
        <v>lun</v>
      </c>
      <c r="J12" t="str">
        <f t="shared" si="1"/>
        <v>febrero</v>
      </c>
      <c r="K12" s="1">
        <f t="shared" si="2"/>
        <v>3200</v>
      </c>
      <c r="L12" s="145">
        <f>[2]sales_BI!H11</f>
        <v>8000</v>
      </c>
      <c r="M12" s="118">
        <f>[2]sales_BI!L11</f>
        <v>8000</v>
      </c>
      <c r="N12" s="91">
        <v>0</v>
      </c>
      <c r="O12" s="1"/>
    </row>
    <row r="13" spans="2:18" x14ac:dyDescent="0.2">
      <c r="B13" s="28">
        <f>[2]sales_BI!J12</f>
        <v>46076</v>
      </c>
      <c r="C13" s="28" t="str">
        <f>[2]sales_BI!$K$2</f>
        <v>04:36 p. m.</v>
      </c>
      <c r="D13" s="28" t="s">
        <v>160</v>
      </c>
      <c r="E13" s="28" t="str">
        <f>[2]sales!C15</f>
        <v>Chorizo</v>
      </c>
      <c r="F13" s="257">
        <f>+VLOOKUP(sales[[#This Row],[Fecha]],maestro!A:C,3,0)</f>
        <v>1</v>
      </c>
      <c r="G13" s="257"/>
      <c r="H13" s="28" t="str">
        <f>+VLOOKUP(sales[[#This Row],[Fecha]],maestro!A:D,4,0)</f>
        <v>A) Día hábil</v>
      </c>
      <c r="I13" t="str">
        <f t="shared" si="0"/>
        <v>lun</v>
      </c>
      <c r="J13" t="str">
        <f t="shared" si="1"/>
        <v>febrero</v>
      </c>
      <c r="K13" s="1">
        <f t="shared" si="2"/>
        <v>6400</v>
      </c>
      <c r="L13" s="145">
        <f>[2]sales_BI!H12</f>
        <v>16000</v>
      </c>
      <c r="M13" s="118">
        <f>[2]sales_BI!L12</f>
        <v>16000</v>
      </c>
      <c r="N13" s="91">
        <v>0</v>
      </c>
      <c r="O13" s="1"/>
    </row>
    <row r="14" spans="2:18" x14ac:dyDescent="0.2">
      <c r="B14" s="28">
        <f>[2]sales_BI!J13</f>
        <v>46076</v>
      </c>
      <c r="C14" s="28" t="str">
        <f>[2]sales_BI!$K$2</f>
        <v>04:36 p. m.</v>
      </c>
      <c r="D14" s="28" t="s">
        <v>160</v>
      </c>
      <c r="E14" s="28" t="str">
        <f>[2]sales!C16</f>
        <v>Coca cola</v>
      </c>
      <c r="F14" s="257">
        <f>+VLOOKUP(sales[[#This Row],[Fecha]],maestro!A:C,3,0)</f>
        <v>1</v>
      </c>
      <c r="G14" s="257"/>
      <c r="H14" s="28" t="str">
        <f>+VLOOKUP(sales[[#This Row],[Fecha]],maestro!A:D,4,0)</f>
        <v>A) Día hábil</v>
      </c>
      <c r="I14" t="str">
        <f t="shared" si="0"/>
        <v>lun</v>
      </c>
      <c r="J14" t="str">
        <f t="shared" si="1"/>
        <v>febrero</v>
      </c>
      <c r="K14" s="1">
        <f t="shared" si="2"/>
        <v>2400</v>
      </c>
      <c r="L14" s="145">
        <f>[2]sales_BI!H13</f>
        <v>6000</v>
      </c>
      <c r="M14" s="118">
        <f>[2]sales_BI!L13</f>
        <v>6000</v>
      </c>
      <c r="N14" s="91">
        <v>0</v>
      </c>
      <c r="O14" s="1"/>
    </row>
    <row r="15" spans="2:18" x14ac:dyDescent="0.2">
      <c r="B15" s="28">
        <f>[2]sales_BI!J14</f>
        <v>46076</v>
      </c>
      <c r="C15" s="28" t="str">
        <f>[2]sales_BI!$K$2</f>
        <v>04:36 p. m.</v>
      </c>
      <c r="D15" s="28" t="s">
        <v>160</v>
      </c>
      <c r="E15" s="28" t="str">
        <f>[2]sales!C17</f>
        <v>Chorizo</v>
      </c>
      <c r="F15" s="257">
        <f>+VLOOKUP(sales[[#This Row],[Fecha]],maestro!A:C,3,0)</f>
        <v>1</v>
      </c>
      <c r="G15" s="257"/>
      <c r="H15" s="28" t="str">
        <f>+VLOOKUP(sales[[#This Row],[Fecha]],maestro!A:D,4,0)</f>
        <v>A) Día hábil</v>
      </c>
      <c r="I15" t="str">
        <f t="shared" si="0"/>
        <v>lun</v>
      </c>
      <c r="J15" t="str">
        <f t="shared" si="1"/>
        <v>febrero</v>
      </c>
      <c r="K15" s="1">
        <f t="shared" si="2"/>
        <v>9600</v>
      </c>
      <c r="L15" s="145">
        <f>[2]sales_BI!H14</f>
        <v>24000</v>
      </c>
      <c r="M15" s="118">
        <f>[2]sales_BI!L14</f>
        <v>24000</v>
      </c>
      <c r="N15" s="91">
        <v>0</v>
      </c>
      <c r="O15" s="1"/>
      <c r="P15" s="28"/>
    </row>
    <row r="16" spans="2:18" x14ac:dyDescent="0.2">
      <c r="B16" s="28">
        <f>[2]sales_BI!J15</f>
        <v>46076</v>
      </c>
      <c r="C16" s="28" t="str">
        <f>[2]sales_BI!$K$2</f>
        <v>04:36 p. m.</v>
      </c>
      <c r="D16" s="28" t="s">
        <v>160</v>
      </c>
      <c r="E16" s="28" t="str">
        <f>[2]sales!C18</f>
        <v>Chorizo</v>
      </c>
      <c r="F16" s="257">
        <f>+VLOOKUP(sales[[#This Row],[Fecha]],maestro!A:C,3,0)</f>
        <v>1</v>
      </c>
      <c r="G16" s="257"/>
      <c r="H16" s="28" t="str">
        <f>+VLOOKUP(sales[[#This Row],[Fecha]],maestro!A:D,4,0)</f>
        <v>A) Día hábil</v>
      </c>
      <c r="I16" t="str">
        <f t="shared" si="0"/>
        <v>lun</v>
      </c>
      <c r="J16" t="str">
        <f t="shared" si="1"/>
        <v>febrero</v>
      </c>
      <c r="K16" s="1">
        <f t="shared" si="2"/>
        <v>3200</v>
      </c>
      <c r="L16" s="145">
        <f>[2]sales_BI!H15</f>
        <v>8000</v>
      </c>
      <c r="M16" s="118">
        <f>[2]sales_BI!L15</f>
        <v>8000</v>
      </c>
      <c r="N16" s="91">
        <v>0</v>
      </c>
      <c r="O16" s="1"/>
    </row>
    <row r="17" spans="2:15" x14ac:dyDescent="0.2">
      <c r="B17" s="28">
        <f>[2]sales_BI!J16</f>
        <v>46076</v>
      </c>
      <c r="C17" s="28" t="str">
        <f>[2]sales_BI!$K$2</f>
        <v>04:36 p. m.</v>
      </c>
      <c r="D17" s="28" t="s">
        <v>160</v>
      </c>
      <c r="E17" s="28" t="str">
        <f>[2]sales!C19</f>
        <v>Chorizo</v>
      </c>
      <c r="F17" s="257">
        <f>+VLOOKUP(sales[[#This Row],[Fecha]],maestro!A:C,3,0)</f>
        <v>1</v>
      </c>
      <c r="G17" s="257"/>
      <c r="H17" s="28" t="str">
        <f>+VLOOKUP(sales[[#This Row],[Fecha]],maestro!A:D,4,0)</f>
        <v>A) Día hábil</v>
      </c>
      <c r="I17" t="str">
        <f t="shared" si="0"/>
        <v>lun</v>
      </c>
      <c r="J17" t="str">
        <f t="shared" si="1"/>
        <v>febrero</v>
      </c>
      <c r="K17" s="1">
        <f t="shared" si="2"/>
        <v>3200</v>
      </c>
      <c r="L17" s="145">
        <f>[2]sales_BI!H16</f>
        <v>8000</v>
      </c>
      <c r="M17" s="118">
        <f>[2]sales_BI!L16</f>
        <v>8000</v>
      </c>
      <c r="N17" s="91">
        <v>0</v>
      </c>
      <c r="O17" s="1"/>
    </row>
    <row r="18" spans="2:15" x14ac:dyDescent="0.2">
      <c r="B18" s="28">
        <f>[2]sales_BI!J17</f>
        <v>46076</v>
      </c>
      <c r="C18" s="28" t="str">
        <f>[2]sales_BI!$K$2</f>
        <v>04:36 p. m.</v>
      </c>
      <c r="D18" s="28" t="s">
        <v>160</v>
      </c>
      <c r="E18" s="28" t="str">
        <f>[2]sales!C20</f>
        <v>Chorizo</v>
      </c>
      <c r="F18" s="257">
        <f>+VLOOKUP(sales[[#This Row],[Fecha]],maestro!A:C,3,0)</f>
        <v>1</v>
      </c>
      <c r="G18" s="257"/>
      <c r="H18" s="28" t="str">
        <f>+VLOOKUP(sales[[#This Row],[Fecha]],maestro!A:D,4,0)</f>
        <v>A) Día hábil</v>
      </c>
      <c r="I18" t="str">
        <f t="shared" si="0"/>
        <v>lun</v>
      </c>
      <c r="J18" t="str">
        <f t="shared" si="1"/>
        <v>febrero</v>
      </c>
      <c r="K18" s="1">
        <f t="shared" si="2"/>
        <v>3200</v>
      </c>
      <c r="L18" s="145">
        <f>[2]sales_BI!H17</f>
        <v>8000</v>
      </c>
      <c r="M18" s="118">
        <f>[2]sales_BI!L17</f>
        <v>8000</v>
      </c>
      <c r="N18" s="91">
        <v>0</v>
      </c>
      <c r="O18" s="1"/>
    </row>
    <row r="19" spans="2:15" x14ac:dyDescent="0.2">
      <c r="B19" s="28">
        <f>[2]sales_BI!J18</f>
        <v>46076</v>
      </c>
      <c r="C19" s="28" t="str">
        <f>[2]sales_BI!$K$2</f>
        <v>04:36 p. m.</v>
      </c>
      <c r="D19" s="28" t="s">
        <v>160</v>
      </c>
      <c r="E19" s="28" t="str">
        <f>[2]sales!C21</f>
        <v>Postobon</v>
      </c>
      <c r="F19" s="257">
        <f>+VLOOKUP(sales[[#This Row],[Fecha]],maestro!A:C,3,0)</f>
        <v>1</v>
      </c>
      <c r="G19" s="257"/>
      <c r="H19" s="28" t="str">
        <f>+VLOOKUP(sales[[#This Row],[Fecha]],maestro!A:D,4,0)</f>
        <v>A) Día hábil</v>
      </c>
      <c r="I19" t="str">
        <f t="shared" si="0"/>
        <v>lun</v>
      </c>
      <c r="J19" t="str">
        <f t="shared" si="1"/>
        <v>febrero</v>
      </c>
      <c r="K19" s="1">
        <f t="shared" si="2"/>
        <v>1200</v>
      </c>
      <c r="L19" s="145">
        <f>[2]sales_BI!H18</f>
        <v>3000</v>
      </c>
      <c r="M19" s="118">
        <f>[2]sales_BI!L18</f>
        <v>3000</v>
      </c>
      <c r="N19" s="91">
        <v>0</v>
      </c>
      <c r="O19" s="1"/>
    </row>
    <row r="20" spans="2:15" x14ac:dyDescent="0.2">
      <c r="B20" s="28">
        <f>[2]sales_BI!J19</f>
        <v>46076</v>
      </c>
      <c r="C20" s="28" t="str">
        <f>[2]sales_BI!$K$2</f>
        <v>04:36 p. m.</v>
      </c>
      <c r="D20" s="28" t="s">
        <v>160</v>
      </c>
      <c r="E20" s="28" t="str">
        <f>[2]sales!C22</f>
        <v>Chorizo</v>
      </c>
      <c r="F20" s="257">
        <f>+VLOOKUP(sales[[#This Row],[Fecha]],maestro!A:C,3,0)</f>
        <v>1</v>
      </c>
      <c r="G20" s="257"/>
      <c r="H20" s="28" t="str">
        <f>+VLOOKUP(sales[[#This Row],[Fecha]],maestro!A:D,4,0)</f>
        <v>A) Día hábil</v>
      </c>
      <c r="I20" t="str">
        <f t="shared" si="0"/>
        <v>lun</v>
      </c>
      <c r="J20" t="str">
        <f t="shared" si="1"/>
        <v>febrero</v>
      </c>
      <c r="K20" s="1">
        <f t="shared" si="2"/>
        <v>9600</v>
      </c>
      <c r="L20" s="145">
        <f>[2]sales_BI!H19</f>
        <v>24000</v>
      </c>
      <c r="M20" s="118">
        <f>[2]sales_BI!L19</f>
        <v>24000</v>
      </c>
      <c r="N20" s="91">
        <v>0</v>
      </c>
      <c r="O20" s="1"/>
    </row>
    <row r="21" spans="2:15" x14ac:dyDescent="0.2">
      <c r="B21" s="28">
        <f>[2]sales_BI!J20</f>
        <v>46076</v>
      </c>
      <c r="C21" s="28" t="str">
        <f>[2]sales_BI!$K$2</f>
        <v>04:36 p. m.</v>
      </c>
      <c r="D21" s="28" t="s">
        <v>160</v>
      </c>
      <c r="E21" s="28" t="str">
        <f>[2]sales!C23</f>
        <v>Chorizo</v>
      </c>
      <c r="F21" s="257">
        <f>+VLOOKUP(sales[[#This Row],[Fecha]],maestro!A:C,3,0)</f>
        <v>1</v>
      </c>
      <c r="G21" s="257"/>
      <c r="H21" s="28" t="str">
        <f>+VLOOKUP(sales[[#This Row],[Fecha]],maestro!A:D,4,0)</f>
        <v>A) Día hábil</v>
      </c>
      <c r="I21" t="str">
        <f t="shared" si="0"/>
        <v>lun</v>
      </c>
      <c r="J21" t="str">
        <f t="shared" si="1"/>
        <v>febrero</v>
      </c>
      <c r="K21" s="1">
        <f t="shared" si="2"/>
        <v>3200</v>
      </c>
      <c r="L21" s="145">
        <f>[2]sales_BI!H20</f>
        <v>8000</v>
      </c>
      <c r="M21" s="118">
        <f>[2]sales_BI!L20</f>
        <v>8000</v>
      </c>
      <c r="N21" s="91">
        <v>0</v>
      </c>
      <c r="O21" s="1"/>
    </row>
    <row r="22" spans="2:15" x14ac:dyDescent="0.2">
      <c r="B22" s="28">
        <f>[2]sales_BI!J21</f>
        <v>46077</v>
      </c>
      <c r="C22" s="28" t="str">
        <f>[2]sales_BI!$K$2</f>
        <v>04:36 p. m.</v>
      </c>
      <c r="D22" s="28" t="s">
        <v>160</v>
      </c>
      <c r="E22" s="28" t="str">
        <f>[2]sales!C24</f>
        <v>Chorizo</v>
      </c>
      <c r="F22" s="257">
        <f>+VLOOKUP(sales[[#This Row],[Fecha]],maestro!A:C,3,0)</f>
        <v>1</v>
      </c>
      <c r="G22" s="257"/>
      <c r="H22" s="28" t="str">
        <f>+VLOOKUP(sales[[#This Row],[Fecha]],maestro!A:D,4,0)</f>
        <v>A) Día hábil</v>
      </c>
      <c r="I22" t="str">
        <f t="shared" si="0"/>
        <v>mar</v>
      </c>
      <c r="J22" t="str">
        <f t="shared" si="1"/>
        <v>febrero</v>
      </c>
      <c r="K22" s="1">
        <f t="shared" si="2"/>
        <v>16000</v>
      </c>
      <c r="L22" s="145">
        <f>[2]sales_BI!H21</f>
        <v>40000</v>
      </c>
      <c r="M22" s="118">
        <f>[2]sales_BI!L21</f>
        <v>40000</v>
      </c>
      <c r="N22" s="91">
        <v>0</v>
      </c>
      <c r="O22" s="1"/>
    </row>
    <row r="23" spans="2:15" x14ac:dyDescent="0.2">
      <c r="B23" s="28">
        <f>[2]sales_BI!J22</f>
        <v>46077</v>
      </c>
      <c r="C23" s="28" t="str">
        <f>[2]sales_BI!$K$2</f>
        <v>04:36 p. m.</v>
      </c>
      <c r="D23" s="28" t="s">
        <v>160</v>
      </c>
      <c r="E23" s="28" t="str">
        <f>[2]sales!C25</f>
        <v>Chorizo</v>
      </c>
      <c r="F23" s="257">
        <f>+VLOOKUP(sales[[#This Row],[Fecha]],maestro!A:C,3,0)</f>
        <v>1</v>
      </c>
      <c r="G23" s="257"/>
      <c r="H23" s="28" t="str">
        <f>+VLOOKUP(sales[[#This Row],[Fecha]],maestro!A:D,4,0)</f>
        <v>A) Día hábil</v>
      </c>
      <c r="I23" t="str">
        <f t="shared" si="0"/>
        <v>mar</v>
      </c>
      <c r="J23" t="str">
        <f t="shared" si="1"/>
        <v>febrero</v>
      </c>
      <c r="K23" s="1">
        <f t="shared" si="2"/>
        <v>9600</v>
      </c>
      <c r="L23" s="145">
        <f>[2]sales_BI!H22</f>
        <v>24000</v>
      </c>
      <c r="M23" s="118">
        <f>[2]sales_BI!L22</f>
        <v>24000</v>
      </c>
      <c r="N23" s="91">
        <v>0</v>
      </c>
      <c r="O23" s="1"/>
    </row>
    <row r="24" spans="2:15" x14ac:dyDescent="0.2">
      <c r="B24" s="28">
        <f>[2]sales_BI!J23</f>
        <v>46077</v>
      </c>
      <c r="C24" s="28" t="str">
        <f>[2]sales_BI!$K$2</f>
        <v>04:36 p. m.</v>
      </c>
      <c r="D24" s="28" t="s">
        <v>160</v>
      </c>
      <c r="E24" s="28" t="str">
        <f>[2]sales!C26</f>
        <v>Chorizo</v>
      </c>
      <c r="F24" s="257">
        <f>+VLOOKUP(sales[[#This Row],[Fecha]],maestro!A:C,3,0)</f>
        <v>1</v>
      </c>
      <c r="G24" s="257"/>
      <c r="H24" s="28" t="str">
        <f>+VLOOKUP(sales[[#This Row],[Fecha]],maestro!A:D,4,0)</f>
        <v>A) Día hábil</v>
      </c>
      <c r="I24" t="str">
        <f t="shared" si="0"/>
        <v>mar</v>
      </c>
      <c r="J24" t="str">
        <f t="shared" si="1"/>
        <v>febrero</v>
      </c>
      <c r="K24" s="1">
        <f>+M24*0.4</f>
        <v>3200</v>
      </c>
      <c r="L24" s="145">
        <f>[2]sales_BI!H23</f>
        <v>8000</v>
      </c>
      <c r="M24" s="118">
        <f>[2]sales_BI!L23</f>
        <v>8000</v>
      </c>
      <c r="N24" s="91">
        <v>0</v>
      </c>
      <c r="O24" s="1"/>
    </row>
    <row r="25" spans="2:15" x14ac:dyDescent="0.2">
      <c r="B25" s="28">
        <f>[2]sales_BI!J24</f>
        <v>46077</v>
      </c>
      <c r="C25" s="28" t="str">
        <f>[2]sales_BI!$K$2</f>
        <v>04:36 p. m.</v>
      </c>
      <c r="D25" s="28" t="s">
        <v>160</v>
      </c>
      <c r="E25" s="28" t="str">
        <f>[2]sales!C27</f>
        <v>Chorizo</v>
      </c>
      <c r="F25" s="257">
        <f>+VLOOKUP(sales[[#This Row],[Fecha]],maestro!A:C,3,0)</f>
        <v>1</v>
      </c>
      <c r="G25" s="257"/>
      <c r="H25" s="28" t="str">
        <f>+VLOOKUP(sales[[#This Row],[Fecha]],maestro!A:D,4,0)</f>
        <v>A) Día hábil</v>
      </c>
      <c r="I25" t="str">
        <f t="shared" si="0"/>
        <v>mar</v>
      </c>
      <c r="J25" t="str">
        <f t="shared" si="1"/>
        <v>febrero</v>
      </c>
      <c r="K25" s="1">
        <f t="shared" ref="K25:K34" si="3">+M25*0.35</f>
        <v>2800</v>
      </c>
      <c r="L25" s="145">
        <f>[2]sales_BI!H24</f>
        <v>8000</v>
      </c>
      <c r="M25" s="118">
        <f>[2]sales_BI!L24</f>
        <v>8000</v>
      </c>
      <c r="N25" s="91">
        <v>0</v>
      </c>
      <c r="O25" s="1"/>
    </row>
    <row r="26" spans="2:15" x14ac:dyDescent="0.2">
      <c r="B26" s="28">
        <f>[2]sales_BI!J25</f>
        <v>46077</v>
      </c>
      <c r="C26" s="28" t="str">
        <f>[2]sales_BI!$K$2</f>
        <v>04:36 p. m.</v>
      </c>
      <c r="D26" s="28" t="s">
        <v>160</v>
      </c>
      <c r="E26" s="28" t="str">
        <f>[2]sales!C28</f>
        <v>Chorizo</v>
      </c>
      <c r="F26" s="257">
        <f>+VLOOKUP(sales[[#This Row],[Fecha]],maestro!A:C,3,0)</f>
        <v>1</v>
      </c>
      <c r="G26" s="257"/>
      <c r="H26" s="28" t="str">
        <f>+VLOOKUP(sales[[#This Row],[Fecha]],maestro!A:D,4,0)</f>
        <v>A) Día hábil</v>
      </c>
      <c r="I26" t="str">
        <f t="shared" si="0"/>
        <v>mar</v>
      </c>
      <c r="J26" t="str">
        <f t="shared" si="1"/>
        <v>febrero</v>
      </c>
      <c r="K26" s="1">
        <f t="shared" si="3"/>
        <v>5600</v>
      </c>
      <c r="L26" s="145">
        <f>[2]sales_BI!H25</f>
        <v>16000</v>
      </c>
      <c r="M26" s="118">
        <f>[2]sales_BI!L25</f>
        <v>16000</v>
      </c>
      <c r="N26" s="91">
        <v>0</v>
      </c>
      <c r="O26" s="1"/>
    </row>
    <row r="27" spans="2:15" x14ac:dyDescent="0.2">
      <c r="B27" s="28">
        <f>[2]sales_BI!J26</f>
        <v>46077</v>
      </c>
      <c r="C27" s="28" t="str">
        <f>[2]sales_BI!$K$2</f>
        <v>04:36 p. m.</v>
      </c>
      <c r="D27" s="28" t="s">
        <v>160</v>
      </c>
      <c r="E27" s="28" t="str">
        <f>[2]sales!C29</f>
        <v>Chorizo</v>
      </c>
      <c r="F27" s="257">
        <f>+VLOOKUP(sales[[#This Row],[Fecha]],maestro!A:C,3,0)</f>
        <v>1</v>
      </c>
      <c r="G27" s="257"/>
      <c r="H27" s="28" t="str">
        <f>+VLOOKUP(sales[[#This Row],[Fecha]],maestro!A:D,4,0)</f>
        <v>A) Día hábil</v>
      </c>
      <c r="I27" t="str">
        <f t="shared" si="0"/>
        <v>mar</v>
      </c>
      <c r="J27" t="str">
        <f t="shared" si="1"/>
        <v>febrero</v>
      </c>
      <c r="K27" s="1">
        <f t="shared" si="3"/>
        <v>2800</v>
      </c>
      <c r="L27" s="145">
        <f>[2]sales_BI!H26</f>
        <v>8000</v>
      </c>
      <c r="M27" s="118">
        <f>[2]sales_BI!L26</f>
        <v>8000</v>
      </c>
      <c r="N27" s="91">
        <v>0</v>
      </c>
      <c r="O27" s="1"/>
    </row>
    <row r="28" spans="2:15" x14ac:dyDescent="0.2">
      <c r="B28" s="28">
        <f>[2]sales_BI!J27</f>
        <v>46077</v>
      </c>
      <c r="C28" s="28" t="str">
        <f>[2]sales_BI!$K$2</f>
        <v>04:36 p. m.</v>
      </c>
      <c r="D28" s="28" t="s">
        <v>160</v>
      </c>
      <c r="E28" s="28" t="str">
        <f>[2]sales!C30</f>
        <v>Chori- CRUDO</v>
      </c>
      <c r="F28" s="257">
        <f>+VLOOKUP(sales[[#This Row],[Fecha]],maestro!A:C,3,0)</f>
        <v>1</v>
      </c>
      <c r="G28" s="257"/>
      <c r="H28" s="28" t="str">
        <f>+VLOOKUP(sales[[#This Row],[Fecha]],maestro!A:D,4,0)</f>
        <v>A) Día hábil</v>
      </c>
      <c r="I28" t="str">
        <f t="shared" si="0"/>
        <v>mar</v>
      </c>
      <c r="J28" t="str">
        <f t="shared" si="1"/>
        <v>febrero</v>
      </c>
      <c r="K28" s="1">
        <f t="shared" si="3"/>
        <v>3150</v>
      </c>
      <c r="L28" s="145">
        <f>[2]sales_BI!H27</f>
        <v>9000</v>
      </c>
      <c r="M28" s="118">
        <f>[2]sales_BI!L27</f>
        <v>9000</v>
      </c>
      <c r="N28" s="91">
        <v>0</v>
      </c>
      <c r="O28" s="1"/>
    </row>
    <row r="29" spans="2:15" x14ac:dyDescent="0.2">
      <c r="B29" s="28">
        <f>[2]sales_BI!J28</f>
        <v>46077</v>
      </c>
      <c r="C29" s="28" t="str">
        <f>[2]sales_BI!$K$2</f>
        <v>04:36 p. m.</v>
      </c>
      <c r="D29" s="28" t="s">
        <v>160</v>
      </c>
      <c r="E29" s="28" t="str">
        <f>[2]sales!C31</f>
        <v>Chorizo</v>
      </c>
      <c r="F29" s="257">
        <f>+VLOOKUP(sales[[#This Row],[Fecha]],maestro!A:C,3,0)</f>
        <v>1</v>
      </c>
      <c r="G29" s="257"/>
      <c r="H29" s="28" t="str">
        <f>+VLOOKUP(sales[[#This Row],[Fecha]],maestro!A:D,4,0)</f>
        <v>A) Día hábil</v>
      </c>
      <c r="I29" t="str">
        <f t="shared" si="0"/>
        <v>mar</v>
      </c>
      <c r="J29" t="str">
        <f t="shared" si="1"/>
        <v>febrero</v>
      </c>
      <c r="K29" s="1">
        <f t="shared" si="3"/>
        <v>2800</v>
      </c>
      <c r="L29" s="145">
        <f>[2]sales_BI!H28</f>
        <v>8000</v>
      </c>
      <c r="M29" s="118">
        <f>[2]sales_BI!L28</f>
        <v>8000</v>
      </c>
      <c r="N29" s="91">
        <v>0</v>
      </c>
      <c r="O29" s="1"/>
    </row>
    <row r="30" spans="2:15" x14ac:dyDescent="0.2">
      <c r="B30" s="28">
        <f>[2]sales_BI!J29</f>
        <v>46077</v>
      </c>
      <c r="C30" s="28" t="str">
        <f>[2]sales_BI!$K$2</f>
        <v>04:36 p. m.</v>
      </c>
      <c r="D30" s="28" t="s">
        <v>160</v>
      </c>
      <c r="E30" s="28" t="str">
        <f>[2]sales!C32</f>
        <v>Chorizo</v>
      </c>
      <c r="F30" s="257">
        <f>+VLOOKUP(sales[[#This Row],[Fecha]],maestro!A:C,3,0)</f>
        <v>1</v>
      </c>
      <c r="G30" s="257"/>
      <c r="H30" s="28" t="str">
        <f>+VLOOKUP(sales[[#This Row],[Fecha]],maestro!A:D,4,0)</f>
        <v>A) Día hábil</v>
      </c>
      <c r="I30" t="str">
        <f t="shared" si="0"/>
        <v>mar</v>
      </c>
      <c r="J30" t="str">
        <f t="shared" si="1"/>
        <v>febrero</v>
      </c>
      <c r="K30" s="1">
        <f t="shared" si="3"/>
        <v>2800</v>
      </c>
      <c r="L30" s="145">
        <f>[2]sales_BI!H29</f>
        <v>8000</v>
      </c>
      <c r="M30" s="118">
        <f>[2]sales_BI!L29</f>
        <v>8000</v>
      </c>
      <c r="N30" s="91">
        <v>0</v>
      </c>
      <c r="O30" s="1"/>
    </row>
    <row r="31" spans="2:15" x14ac:dyDescent="0.2">
      <c r="B31" s="28">
        <f>[2]sales_BI!J30</f>
        <v>46077</v>
      </c>
      <c r="C31" s="28" t="str">
        <f>[2]sales_BI!$K$2</f>
        <v>04:36 p. m.</v>
      </c>
      <c r="D31" s="28" t="s">
        <v>160</v>
      </c>
      <c r="E31" s="28" t="str">
        <f>[2]sales!C33</f>
        <v>Chorizo</v>
      </c>
      <c r="F31" s="257">
        <f>+VLOOKUP(sales[[#This Row],[Fecha]],maestro!A:C,3,0)</f>
        <v>1</v>
      </c>
      <c r="G31" s="257"/>
      <c r="H31" s="28" t="str">
        <f>+VLOOKUP(sales[[#This Row],[Fecha]],maestro!A:D,4,0)</f>
        <v>A) Día hábil</v>
      </c>
      <c r="I31" t="str">
        <f t="shared" si="0"/>
        <v>mar</v>
      </c>
      <c r="J31" t="str">
        <f t="shared" si="1"/>
        <v>febrero</v>
      </c>
      <c r="K31" s="1">
        <f t="shared" si="3"/>
        <v>0</v>
      </c>
      <c r="L31" s="145">
        <f>[2]sales_BI!H30</f>
        <v>8000</v>
      </c>
      <c r="M31" s="118">
        <f>[2]sales_BI!L30</f>
        <v>0</v>
      </c>
      <c r="N31" s="91">
        <v>0</v>
      </c>
      <c r="O31" s="1"/>
    </row>
    <row r="32" spans="2:15" x14ac:dyDescent="0.2">
      <c r="B32" s="28">
        <f>[2]sales_BI!J31</f>
        <v>46077</v>
      </c>
      <c r="C32" s="28" t="str">
        <f>[2]sales_BI!$K$2</f>
        <v>04:36 p. m.</v>
      </c>
      <c r="D32" s="28" t="s">
        <v>160</v>
      </c>
      <c r="E32" s="28" t="str">
        <f>[2]sales!C34</f>
        <v>Chorizo</v>
      </c>
      <c r="F32" s="257">
        <f>+VLOOKUP(sales[[#This Row],[Fecha]],maestro!A:C,3,0)</f>
        <v>1</v>
      </c>
      <c r="G32" s="257"/>
      <c r="H32" s="28" t="str">
        <f>+VLOOKUP(sales[[#This Row],[Fecha]],maestro!A:D,4,0)</f>
        <v>A) Día hábil</v>
      </c>
      <c r="I32" t="str">
        <f t="shared" si="0"/>
        <v>mar</v>
      </c>
      <c r="J32" t="str">
        <f t="shared" si="1"/>
        <v>febrero</v>
      </c>
      <c r="K32" s="1">
        <f t="shared" si="3"/>
        <v>2800</v>
      </c>
      <c r="L32" s="145">
        <f>[2]sales_BI!H31</f>
        <v>8000</v>
      </c>
      <c r="M32" s="118">
        <f>[2]sales_BI!L31</f>
        <v>8000</v>
      </c>
      <c r="N32" s="91">
        <v>0</v>
      </c>
      <c r="O32" s="1"/>
    </row>
    <row r="33" spans="2:15" x14ac:dyDescent="0.2">
      <c r="B33" s="28">
        <f>[2]sales_BI!J32</f>
        <v>46077</v>
      </c>
      <c r="C33" s="28" t="str">
        <f>[2]sales_BI!$K$2</f>
        <v>04:36 p. m.</v>
      </c>
      <c r="D33" s="28" t="s">
        <v>160</v>
      </c>
      <c r="E33" s="28" t="str">
        <f>[2]sales!C35</f>
        <v>Agua</v>
      </c>
      <c r="F33" s="257">
        <f>+VLOOKUP(sales[[#This Row],[Fecha]],maestro!A:C,3,0)</f>
        <v>1</v>
      </c>
      <c r="G33" s="257"/>
      <c r="H33" s="28" t="str">
        <f>+VLOOKUP(sales[[#This Row],[Fecha]],maestro!A:D,4,0)</f>
        <v>A) Día hábil</v>
      </c>
      <c r="I33" t="str">
        <f t="shared" si="0"/>
        <v>mar</v>
      </c>
      <c r="J33" t="str">
        <f t="shared" si="1"/>
        <v>febrero</v>
      </c>
      <c r="K33" s="1">
        <f t="shared" si="3"/>
        <v>1050</v>
      </c>
      <c r="L33" s="145">
        <f>[2]sales_BI!H32</f>
        <v>3000</v>
      </c>
      <c r="M33" s="118">
        <f>[2]sales_BI!L32</f>
        <v>3000</v>
      </c>
      <c r="N33" s="91">
        <v>0</v>
      </c>
      <c r="O33" s="1"/>
    </row>
    <row r="34" spans="2:15" x14ac:dyDescent="0.2">
      <c r="B34" s="28">
        <f>[2]sales_BI!J33</f>
        <v>46077</v>
      </c>
      <c r="C34" s="28" t="str">
        <f>[2]sales_BI!$K$2</f>
        <v>04:36 p. m.</v>
      </c>
      <c r="D34" s="28" t="s">
        <v>160</v>
      </c>
      <c r="E34" s="28" t="str">
        <f>[2]sales!C36</f>
        <v>Chorizo</v>
      </c>
      <c r="F34" s="257">
        <f>+VLOOKUP(sales[[#This Row],[Fecha]],maestro!A:C,3,0)</f>
        <v>1</v>
      </c>
      <c r="G34" s="257"/>
      <c r="H34" s="28" t="str">
        <f>+VLOOKUP(sales[[#This Row],[Fecha]],maestro!A:D,4,0)</f>
        <v>A) Día hábil</v>
      </c>
      <c r="I34" t="str">
        <f t="shared" si="0"/>
        <v>mar</v>
      </c>
      <c r="J34" t="str">
        <f t="shared" si="1"/>
        <v>febrero</v>
      </c>
      <c r="K34" s="1">
        <f t="shared" si="3"/>
        <v>8400</v>
      </c>
      <c r="L34" s="145">
        <f>[2]sales_BI!H33</f>
        <v>24000</v>
      </c>
      <c r="M34" s="118">
        <f>[2]sales_BI!L33</f>
        <v>24000</v>
      </c>
      <c r="N34" s="91">
        <v>0</v>
      </c>
      <c r="O34" s="1"/>
    </row>
    <row r="35" spans="2:15" x14ac:dyDescent="0.2">
      <c r="B35" s="28">
        <f>[2]sales_BI!J34</f>
        <v>46077</v>
      </c>
      <c r="C35" s="28" t="str">
        <f>[2]sales_BI!$K$2</f>
        <v>04:36 p. m.</v>
      </c>
      <c r="D35" s="28" t="s">
        <v>160</v>
      </c>
      <c r="E35" s="28" t="str">
        <f>[2]sales!C37</f>
        <v>Postobon</v>
      </c>
      <c r="F35" s="257">
        <f>+VLOOKUP(sales[[#This Row],[Fecha]],maestro!A:C,3,0)</f>
        <v>1</v>
      </c>
      <c r="G35" s="257"/>
      <c r="H35" s="28" t="str">
        <f>+VLOOKUP(sales[[#This Row],[Fecha]],maestro!A:D,4,0)</f>
        <v>A) Día hábil</v>
      </c>
      <c r="I35" t="str">
        <f t="shared" si="0"/>
        <v>mar</v>
      </c>
      <c r="J35" t="str">
        <f t="shared" si="1"/>
        <v>febrero</v>
      </c>
      <c r="K35" s="1">
        <f t="shared" ref="K35:K66" si="4">+M35*0.35</f>
        <v>1050</v>
      </c>
      <c r="L35" s="145">
        <f>[2]sales_BI!H34</f>
        <v>3000</v>
      </c>
      <c r="M35" s="118">
        <f>[2]sales_BI!L34</f>
        <v>3000</v>
      </c>
      <c r="N35" s="91">
        <v>0</v>
      </c>
      <c r="O35" s="1"/>
    </row>
    <row r="36" spans="2:15" x14ac:dyDescent="0.2">
      <c r="B36" s="28">
        <f>[2]sales_BI!J35</f>
        <v>46077</v>
      </c>
      <c r="C36" s="28" t="str">
        <f>[2]sales_BI!$K$2</f>
        <v>04:36 p. m.</v>
      </c>
      <c r="D36" s="28" t="s">
        <v>160</v>
      </c>
      <c r="E36" s="28" t="str">
        <f>[2]sales!C38</f>
        <v>Chorizo</v>
      </c>
      <c r="F36" s="257">
        <f>+VLOOKUP(sales[[#This Row],[Fecha]],maestro!A:C,3,0)</f>
        <v>1</v>
      </c>
      <c r="G36" s="257"/>
      <c r="H36" s="28" t="str">
        <f>+VLOOKUP(sales[[#This Row],[Fecha]],maestro!A:D,4,0)</f>
        <v>A) Día hábil</v>
      </c>
      <c r="I36" t="str">
        <f t="shared" si="0"/>
        <v>mar</v>
      </c>
      <c r="J36" t="str">
        <f t="shared" si="1"/>
        <v>febrero</v>
      </c>
      <c r="K36" s="1">
        <f t="shared" si="4"/>
        <v>11200</v>
      </c>
      <c r="L36" s="145">
        <f>[2]sales_BI!H35</f>
        <v>32000</v>
      </c>
      <c r="M36" s="118">
        <f>[2]sales_BI!L35</f>
        <v>32000</v>
      </c>
      <c r="N36" s="91">
        <v>0</v>
      </c>
      <c r="O36" s="1"/>
    </row>
    <row r="37" spans="2:15" x14ac:dyDescent="0.2">
      <c r="B37" s="28">
        <f>[2]sales_BI!J36</f>
        <v>46077</v>
      </c>
      <c r="C37" s="28" t="str">
        <f>[2]sales_BI!$K$2</f>
        <v>04:36 p. m.</v>
      </c>
      <c r="D37" s="28" t="s">
        <v>160</v>
      </c>
      <c r="E37" s="28" t="str">
        <f>[2]sales!C39</f>
        <v>Coca cola</v>
      </c>
      <c r="F37" s="257">
        <f>+VLOOKUP(sales[[#This Row],[Fecha]],maestro!A:C,3,0)</f>
        <v>1</v>
      </c>
      <c r="G37" s="257"/>
      <c r="H37" s="28" t="str">
        <f>+VLOOKUP(sales[[#This Row],[Fecha]],maestro!A:D,4,0)</f>
        <v>A) Día hábil</v>
      </c>
      <c r="I37" t="str">
        <f t="shared" si="0"/>
        <v>mar</v>
      </c>
      <c r="J37" t="str">
        <f t="shared" si="1"/>
        <v>febrero</v>
      </c>
      <c r="K37" s="1">
        <f t="shared" si="4"/>
        <v>2100</v>
      </c>
      <c r="L37" s="145">
        <f>[2]sales_BI!H36</f>
        <v>6000</v>
      </c>
      <c r="M37" s="118">
        <f>[2]sales_BI!L36</f>
        <v>6000</v>
      </c>
      <c r="N37" s="91">
        <v>0</v>
      </c>
      <c r="O37" s="1"/>
    </row>
    <row r="38" spans="2:15" x14ac:dyDescent="0.2">
      <c r="B38" s="28">
        <f>[2]sales_BI!J37</f>
        <v>46077</v>
      </c>
      <c r="C38" s="28" t="str">
        <f>[2]sales_BI!$K$2</f>
        <v>04:36 p. m.</v>
      </c>
      <c r="D38" s="28" t="s">
        <v>160</v>
      </c>
      <c r="E38" s="28" t="str">
        <f>[2]sales!C40</f>
        <v>Chorizo</v>
      </c>
      <c r="F38" s="257">
        <f>+VLOOKUP(sales[[#This Row],[Fecha]],maestro!A:C,3,0)</f>
        <v>1</v>
      </c>
      <c r="G38" s="257"/>
      <c r="H38" s="28" t="str">
        <f>+VLOOKUP(sales[[#This Row],[Fecha]],maestro!A:D,4,0)</f>
        <v>A) Día hábil</v>
      </c>
      <c r="I38" t="str">
        <f t="shared" si="0"/>
        <v>mar</v>
      </c>
      <c r="J38" t="str">
        <f t="shared" si="1"/>
        <v>febrero</v>
      </c>
      <c r="K38" s="1">
        <f t="shared" si="4"/>
        <v>2800</v>
      </c>
      <c r="L38" s="145">
        <f>[2]sales_BI!H37</f>
        <v>8000</v>
      </c>
      <c r="M38" s="118">
        <f>[2]sales_BI!L37</f>
        <v>8000</v>
      </c>
      <c r="N38" s="91">
        <v>0</v>
      </c>
      <c r="O38" s="1"/>
    </row>
    <row r="39" spans="2:15" x14ac:dyDescent="0.2">
      <c r="B39" s="28">
        <f>[2]sales_BI!J38</f>
        <v>46078</v>
      </c>
      <c r="C39" s="28" t="str">
        <f>[2]sales_BI!$K$2</f>
        <v>04:36 p. m.</v>
      </c>
      <c r="D39" s="28" t="s">
        <v>160</v>
      </c>
      <c r="E39" s="28" t="str">
        <f>[2]sales!C41</f>
        <v>Chorizo</v>
      </c>
      <c r="F39" s="257">
        <f>+VLOOKUP(sales[[#This Row],[Fecha]],maestro!A:C,3,0)</f>
        <v>1</v>
      </c>
      <c r="G39" s="257"/>
      <c r="H39" s="28" t="str">
        <f>+VLOOKUP(sales[[#This Row],[Fecha]],maestro!A:D,4,0)</f>
        <v>A) Día hábil</v>
      </c>
      <c r="I39" t="str">
        <f t="shared" si="0"/>
        <v>mié</v>
      </c>
      <c r="J39" t="str">
        <f t="shared" si="1"/>
        <v>febrero</v>
      </c>
      <c r="K39" s="1">
        <f t="shared" si="4"/>
        <v>2800</v>
      </c>
      <c r="L39" s="145">
        <f>[2]sales_BI!H38</f>
        <v>8000</v>
      </c>
      <c r="M39" s="118">
        <f>[2]sales_BI!L38</f>
        <v>8000</v>
      </c>
      <c r="N39" s="91">
        <v>0</v>
      </c>
      <c r="O39" s="1"/>
    </row>
    <row r="40" spans="2:15" x14ac:dyDescent="0.2">
      <c r="B40" s="28">
        <f>[2]sales_BI!J39</f>
        <v>46078</v>
      </c>
      <c r="C40" s="28" t="str">
        <f>[2]sales_BI!$K$2</f>
        <v>04:36 p. m.</v>
      </c>
      <c r="D40" s="28" t="s">
        <v>160</v>
      </c>
      <c r="E40" s="28" t="str">
        <f>[2]sales!C42</f>
        <v>Chorizo</v>
      </c>
      <c r="F40" s="257">
        <f>+VLOOKUP(sales[[#This Row],[Fecha]],maestro!A:C,3,0)</f>
        <v>1</v>
      </c>
      <c r="G40" s="257"/>
      <c r="H40" s="28" t="str">
        <f>+VLOOKUP(sales[[#This Row],[Fecha]],maestro!A:D,4,0)</f>
        <v>A) Día hábil</v>
      </c>
      <c r="I40" t="str">
        <f t="shared" si="0"/>
        <v>mié</v>
      </c>
      <c r="J40" t="str">
        <f t="shared" si="1"/>
        <v>febrero</v>
      </c>
      <c r="K40" s="1">
        <f t="shared" si="4"/>
        <v>2800</v>
      </c>
      <c r="L40" s="145">
        <f>[2]sales_BI!H39</f>
        <v>8000</v>
      </c>
      <c r="M40" s="118">
        <f>[2]sales_BI!L39</f>
        <v>8000</v>
      </c>
      <c r="N40" s="91">
        <v>0</v>
      </c>
      <c r="O40" s="1"/>
    </row>
    <row r="41" spans="2:15" x14ac:dyDescent="0.2">
      <c r="B41" s="28">
        <f>[2]sales_BI!J40</f>
        <v>46078</v>
      </c>
      <c r="C41" s="28" t="str">
        <f>[2]sales_BI!$K$2</f>
        <v>04:36 p. m.</v>
      </c>
      <c r="D41" s="28" t="s">
        <v>160</v>
      </c>
      <c r="E41" s="28" t="str">
        <f>[2]sales!C43</f>
        <v>Chorizo</v>
      </c>
      <c r="F41" s="257">
        <f>+VLOOKUP(sales[[#This Row],[Fecha]],maestro!A:C,3,0)</f>
        <v>1</v>
      </c>
      <c r="G41" s="257"/>
      <c r="H41" s="28" t="str">
        <f>+VLOOKUP(sales[[#This Row],[Fecha]],maestro!A:D,4,0)</f>
        <v>A) Día hábil</v>
      </c>
      <c r="I41" t="str">
        <f t="shared" si="0"/>
        <v>mié</v>
      </c>
      <c r="J41" t="str">
        <f t="shared" si="1"/>
        <v>febrero</v>
      </c>
      <c r="K41" s="1">
        <f t="shared" si="4"/>
        <v>2800</v>
      </c>
      <c r="L41" s="145">
        <f>[2]sales_BI!H40</f>
        <v>8000</v>
      </c>
      <c r="M41" s="118">
        <f>[2]sales_BI!L40</f>
        <v>8000</v>
      </c>
      <c r="N41" s="91">
        <v>0</v>
      </c>
      <c r="O41" s="1"/>
    </row>
    <row r="42" spans="2:15" x14ac:dyDescent="0.2">
      <c r="B42" s="28">
        <f>[2]sales_BI!J41</f>
        <v>46078</v>
      </c>
      <c r="C42" s="28" t="str">
        <f>[2]sales_BI!$K$2</f>
        <v>04:36 p. m.</v>
      </c>
      <c r="D42" s="28" t="s">
        <v>160</v>
      </c>
      <c r="E42" s="28" t="str">
        <f>[2]sales!C44</f>
        <v>parri tres carnes</v>
      </c>
      <c r="F42" s="257">
        <f>+VLOOKUP(sales[[#This Row],[Fecha]],maestro!A:C,3,0)</f>
        <v>1</v>
      </c>
      <c r="G42" s="257"/>
      <c r="H42" s="28" t="str">
        <f>+VLOOKUP(sales[[#This Row],[Fecha]],maestro!A:D,4,0)</f>
        <v>A) Día hábil</v>
      </c>
      <c r="I42" t="str">
        <f t="shared" si="0"/>
        <v>mié</v>
      </c>
      <c r="J42" t="str">
        <f t="shared" si="1"/>
        <v>febrero</v>
      </c>
      <c r="K42" s="1">
        <f t="shared" si="4"/>
        <v>12250</v>
      </c>
      <c r="L42" s="145">
        <f>[2]sales_BI!H41</f>
        <v>35000</v>
      </c>
      <c r="M42" s="118">
        <f>[2]sales_BI!L41</f>
        <v>35000</v>
      </c>
      <c r="N42" s="91">
        <v>0</v>
      </c>
      <c r="O42" s="1"/>
    </row>
    <row r="43" spans="2:15" x14ac:dyDescent="0.2">
      <c r="B43" s="28">
        <f>[2]sales_BI!J42</f>
        <v>46078</v>
      </c>
      <c r="C43" s="28" t="str">
        <f>[2]sales_BI!$K$2</f>
        <v>04:36 p. m.</v>
      </c>
      <c r="D43" s="28" t="s">
        <v>160</v>
      </c>
      <c r="E43" s="28" t="str">
        <f>[2]sales!C45</f>
        <v>parri tres carnes</v>
      </c>
      <c r="F43" s="257">
        <f>+VLOOKUP(sales[[#This Row],[Fecha]],maestro!A:C,3,0)</f>
        <v>1</v>
      </c>
      <c r="G43" s="257"/>
      <c r="H43" s="28" t="str">
        <f>+VLOOKUP(sales[[#This Row],[Fecha]],maestro!A:D,4,0)</f>
        <v>A) Día hábil</v>
      </c>
      <c r="I43" t="str">
        <f t="shared" si="0"/>
        <v>mié</v>
      </c>
      <c r="J43" t="str">
        <f t="shared" si="1"/>
        <v>febrero</v>
      </c>
      <c r="K43" s="1">
        <f t="shared" si="4"/>
        <v>12250</v>
      </c>
      <c r="L43" s="145">
        <f>[2]sales_BI!H42</f>
        <v>35000</v>
      </c>
      <c r="M43" s="118">
        <f>[2]sales_BI!L42</f>
        <v>35000</v>
      </c>
      <c r="N43" s="91">
        <v>0</v>
      </c>
      <c r="O43" s="1"/>
    </row>
    <row r="44" spans="2:15" x14ac:dyDescent="0.2">
      <c r="B44" s="28">
        <f>[2]sales_BI!J43</f>
        <v>46078</v>
      </c>
      <c r="C44" s="28" t="str">
        <f>[2]sales_BI!$K$2</f>
        <v>04:36 p. m.</v>
      </c>
      <c r="D44" s="28" t="s">
        <v>160</v>
      </c>
      <c r="E44" s="28" t="str">
        <f>[2]sales!C46</f>
        <v>Chorizo</v>
      </c>
      <c r="F44" s="257">
        <f>+VLOOKUP(sales[[#This Row],[Fecha]],maestro!A:C,3,0)</f>
        <v>1</v>
      </c>
      <c r="G44" s="257"/>
      <c r="H44" s="28" t="str">
        <f>+VLOOKUP(sales[[#This Row],[Fecha]],maestro!A:D,4,0)</f>
        <v>A) Día hábil</v>
      </c>
      <c r="I44" t="str">
        <f t="shared" si="0"/>
        <v>mié</v>
      </c>
      <c r="J44" t="str">
        <f t="shared" si="1"/>
        <v>febrero</v>
      </c>
      <c r="K44" s="1">
        <f t="shared" si="4"/>
        <v>5600</v>
      </c>
      <c r="L44" s="145">
        <f>[2]sales_BI!H43</f>
        <v>16000</v>
      </c>
      <c r="M44" s="118">
        <f>[2]sales_BI!L43</f>
        <v>16000</v>
      </c>
      <c r="N44" s="91">
        <v>0</v>
      </c>
      <c r="O44" s="1"/>
    </row>
    <row r="45" spans="2:15" x14ac:dyDescent="0.2">
      <c r="B45" s="28">
        <f>[2]sales_BI!J44</f>
        <v>46078</v>
      </c>
      <c r="C45" s="28" t="str">
        <f>[2]sales_BI!$K$2</f>
        <v>04:36 p. m.</v>
      </c>
      <c r="D45" s="28" t="s">
        <v>160</v>
      </c>
      <c r="E45" s="28" t="str">
        <f>[2]sales!C47</f>
        <v>Chorizo</v>
      </c>
      <c r="F45" s="257">
        <f>+VLOOKUP(sales[[#This Row],[Fecha]],maestro!A:C,3,0)</f>
        <v>1</v>
      </c>
      <c r="G45" s="257"/>
      <c r="H45" s="28" t="str">
        <f>+VLOOKUP(sales[[#This Row],[Fecha]],maestro!A:D,4,0)</f>
        <v>A) Día hábil</v>
      </c>
      <c r="I45" t="str">
        <f t="shared" si="0"/>
        <v>mié</v>
      </c>
      <c r="J45" t="str">
        <f t="shared" si="1"/>
        <v>febrero</v>
      </c>
      <c r="K45" s="1">
        <f t="shared" si="4"/>
        <v>2800</v>
      </c>
      <c r="L45" s="145">
        <f>[2]sales_BI!H44</f>
        <v>8000</v>
      </c>
      <c r="M45" s="118">
        <f>[2]sales_BI!L44</f>
        <v>8000</v>
      </c>
      <c r="N45" s="91">
        <v>0</v>
      </c>
      <c r="O45" s="1"/>
    </row>
    <row r="46" spans="2:15" x14ac:dyDescent="0.2">
      <c r="B46" s="28">
        <f>[2]sales_BI!J45</f>
        <v>46078</v>
      </c>
      <c r="C46" s="28" t="str">
        <f>[2]sales_BI!$K$2</f>
        <v>04:36 p. m.</v>
      </c>
      <c r="D46" s="28" t="s">
        <v>160</v>
      </c>
      <c r="E46" s="28" t="str">
        <f>[2]sales!C48</f>
        <v>Chorizo</v>
      </c>
      <c r="F46" s="257">
        <f>+VLOOKUP(sales[[#This Row],[Fecha]],maestro!A:C,3,0)</f>
        <v>1</v>
      </c>
      <c r="G46" s="257"/>
      <c r="H46" s="28" t="str">
        <f>+VLOOKUP(sales[[#This Row],[Fecha]],maestro!A:D,4,0)</f>
        <v>A) Día hábil</v>
      </c>
      <c r="I46" t="str">
        <f t="shared" si="0"/>
        <v>mié</v>
      </c>
      <c r="J46" t="str">
        <f t="shared" si="1"/>
        <v>febrero</v>
      </c>
      <c r="K46" s="1">
        <f t="shared" si="4"/>
        <v>0</v>
      </c>
      <c r="L46" s="145">
        <f>[2]sales_BI!H45</f>
        <v>8000</v>
      </c>
      <c r="M46" s="118">
        <f>[2]sales_BI!L45</f>
        <v>0</v>
      </c>
      <c r="N46" s="91">
        <v>0</v>
      </c>
      <c r="O46" s="1"/>
    </row>
    <row r="47" spans="2:15" x14ac:dyDescent="0.2">
      <c r="B47" s="28">
        <f>[2]sales_BI!J46</f>
        <v>46078</v>
      </c>
      <c r="C47" s="28" t="str">
        <f>[2]sales_BI!$K$2</f>
        <v>04:36 p. m.</v>
      </c>
      <c r="D47" s="28" t="s">
        <v>160</v>
      </c>
      <c r="E47" s="28" t="str">
        <f>[2]sales!C49</f>
        <v>Chorizo</v>
      </c>
      <c r="F47" s="257">
        <f>+VLOOKUP(sales[[#This Row],[Fecha]],maestro!A:C,3,0)</f>
        <v>1</v>
      </c>
      <c r="G47" s="257"/>
      <c r="H47" s="28" t="str">
        <f>+VLOOKUP(sales[[#This Row],[Fecha]],maestro!A:D,4,0)</f>
        <v>A) Día hábil</v>
      </c>
      <c r="I47" t="str">
        <f t="shared" si="0"/>
        <v>mié</v>
      </c>
      <c r="J47" t="str">
        <f t="shared" si="1"/>
        <v>febrero</v>
      </c>
      <c r="K47" s="1">
        <f t="shared" si="4"/>
        <v>2800</v>
      </c>
      <c r="L47" s="145">
        <f>[2]sales_BI!H46</f>
        <v>8000</v>
      </c>
      <c r="M47" s="118">
        <f>[2]sales_BI!L46</f>
        <v>8000</v>
      </c>
      <c r="N47" s="91">
        <v>0</v>
      </c>
      <c r="O47" s="1"/>
    </row>
    <row r="48" spans="2:15" x14ac:dyDescent="0.2">
      <c r="B48" s="28">
        <f>[2]sales_BI!J47</f>
        <v>46078</v>
      </c>
      <c r="C48" s="28" t="str">
        <f>[2]sales_BI!$K$2</f>
        <v>04:36 p. m.</v>
      </c>
      <c r="D48" s="28" t="s">
        <v>160</v>
      </c>
      <c r="E48" s="28" t="str">
        <f>[2]sales!C50</f>
        <v>Chorizo</v>
      </c>
      <c r="F48" s="257">
        <f>+VLOOKUP(sales[[#This Row],[Fecha]],maestro!A:C,3,0)</f>
        <v>1</v>
      </c>
      <c r="G48" s="257"/>
      <c r="H48" s="28" t="str">
        <f>+VLOOKUP(sales[[#This Row],[Fecha]],maestro!A:D,4,0)</f>
        <v>A) Día hábil</v>
      </c>
      <c r="I48" t="str">
        <f t="shared" si="0"/>
        <v>mié</v>
      </c>
      <c r="J48" t="str">
        <f t="shared" si="1"/>
        <v>febrero</v>
      </c>
      <c r="K48" s="1">
        <f t="shared" si="4"/>
        <v>2800</v>
      </c>
      <c r="L48" s="145">
        <f>[2]sales_BI!H47</f>
        <v>8000</v>
      </c>
      <c r="M48" s="118">
        <f>[2]sales_BI!L47</f>
        <v>8000</v>
      </c>
      <c r="N48" s="91">
        <v>0</v>
      </c>
      <c r="O48" s="1"/>
    </row>
    <row r="49" spans="2:15" x14ac:dyDescent="0.2">
      <c r="B49" s="28">
        <f>[2]sales_BI!J48</f>
        <v>46078</v>
      </c>
      <c r="C49" s="28" t="str">
        <f>[2]sales_BI!$K$2</f>
        <v>04:36 p. m.</v>
      </c>
      <c r="D49" s="28" t="s">
        <v>160</v>
      </c>
      <c r="E49" s="28" t="str">
        <f>[2]sales!C51</f>
        <v>Chorizo</v>
      </c>
      <c r="F49" s="257">
        <f>+VLOOKUP(sales[[#This Row],[Fecha]],maestro!A:C,3,0)</f>
        <v>1</v>
      </c>
      <c r="G49" s="257"/>
      <c r="H49" s="28" t="str">
        <f>+VLOOKUP(sales[[#This Row],[Fecha]],maestro!A:D,4,0)</f>
        <v>A) Día hábil</v>
      </c>
      <c r="I49" t="str">
        <f t="shared" si="0"/>
        <v>mié</v>
      </c>
      <c r="J49" t="str">
        <f t="shared" si="1"/>
        <v>febrero</v>
      </c>
      <c r="K49" s="1">
        <f t="shared" si="4"/>
        <v>2800</v>
      </c>
      <c r="L49" s="145">
        <f>[2]sales_BI!H48</f>
        <v>8000</v>
      </c>
      <c r="M49" s="118">
        <f>[2]sales_BI!L48</f>
        <v>8000</v>
      </c>
      <c r="N49" s="91">
        <v>0</v>
      </c>
      <c r="O49" s="1"/>
    </row>
    <row r="50" spans="2:15" x14ac:dyDescent="0.2">
      <c r="B50" s="28">
        <f>[2]sales_BI!J49</f>
        <v>46078</v>
      </c>
      <c r="C50" s="28" t="str">
        <f>[2]sales_BI!$K$2</f>
        <v>04:36 p. m.</v>
      </c>
      <c r="D50" s="28" t="s">
        <v>160</v>
      </c>
      <c r="E50" s="28" t="str">
        <f>[2]sales!C52</f>
        <v>Chorizo</v>
      </c>
      <c r="F50" s="257">
        <f>+VLOOKUP(sales[[#This Row],[Fecha]],maestro!A:C,3,0)</f>
        <v>1</v>
      </c>
      <c r="G50" s="257"/>
      <c r="H50" s="28" t="str">
        <f>+VLOOKUP(sales[[#This Row],[Fecha]],maestro!A:D,4,0)</f>
        <v>A) Día hábil</v>
      </c>
      <c r="I50" t="str">
        <f t="shared" si="0"/>
        <v>mié</v>
      </c>
      <c r="J50" t="str">
        <f t="shared" si="1"/>
        <v>febrero</v>
      </c>
      <c r="K50" s="1">
        <f t="shared" si="4"/>
        <v>14000</v>
      </c>
      <c r="L50" s="145">
        <f>[2]sales_BI!H49</f>
        <v>40000</v>
      </c>
      <c r="M50" s="118">
        <f>[2]sales_BI!L49</f>
        <v>40000</v>
      </c>
      <c r="N50" s="91">
        <v>0</v>
      </c>
      <c r="O50" s="1"/>
    </row>
    <row r="51" spans="2:15" x14ac:dyDescent="0.2">
      <c r="B51" s="28">
        <f>[2]sales_BI!J50</f>
        <v>46078</v>
      </c>
      <c r="C51" s="28" t="str">
        <f>[2]sales_BI!$K$2</f>
        <v>04:36 p. m.</v>
      </c>
      <c r="D51" s="28" t="s">
        <v>160</v>
      </c>
      <c r="E51" s="28" t="str">
        <f>[2]sales!C53</f>
        <v>Coca cola</v>
      </c>
      <c r="F51" s="257">
        <f>+VLOOKUP(sales[[#This Row],[Fecha]],maestro!A:C,3,0)</f>
        <v>1</v>
      </c>
      <c r="G51" s="257"/>
      <c r="H51" s="28" t="str">
        <f>+VLOOKUP(sales[[#This Row],[Fecha]],maestro!A:D,4,0)</f>
        <v>A) Día hábil</v>
      </c>
      <c r="I51" t="str">
        <f t="shared" si="0"/>
        <v>mié</v>
      </c>
      <c r="J51" t="str">
        <f t="shared" si="1"/>
        <v>febrero</v>
      </c>
      <c r="K51" s="1">
        <f t="shared" si="4"/>
        <v>2100</v>
      </c>
      <c r="L51" s="145">
        <f>[2]sales_BI!H50</f>
        <v>6000</v>
      </c>
      <c r="M51" s="118">
        <f>[2]sales_BI!L50</f>
        <v>6000</v>
      </c>
      <c r="N51" s="91">
        <v>0</v>
      </c>
      <c r="O51" s="1"/>
    </row>
    <row r="52" spans="2:15" x14ac:dyDescent="0.2">
      <c r="B52" s="28">
        <f>[2]sales_BI!J51</f>
        <v>46078</v>
      </c>
      <c r="C52" s="28" t="str">
        <f>[2]sales_BI!$K$2</f>
        <v>04:36 p. m.</v>
      </c>
      <c r="D52" s="28" t="s">
        <v>160</v>
      </c>
      <c r="E52" s="28" t="str">
        <f>[2]sales!C54</f>
        <v>Postobon</v>
      </c>
      <c r="F52" s="257">
        <f>+VLOOKUP(sales[[#This Row],[Fecha]],maestro!A:C,3,0)</f>
        <v>1</v>
      </c>
      <c r="G52" s="257"/>
      <c r="H52" s="28" t="str">
        <f>+VLOOKUP(sales[[#This Row],[Fecha]],maestro!A:D,4,0)</f>
        <v>A) Día hábil</v>
      </c>
      <c r="I52" t="str">
        <f t="shared" si="0"/>
        <v>mié</v>
      </c>
      <c r="J52" t="str">
        <f t="shared" si="1"/>
        <v>febrero</v>
      </c>
      <c r="K52" s="1">
        <f t="shared" si="4"/>
        <v>1050</v>
      </c>
      <c r="L52" s="145">
        <f>[2]sales_BI!H51</f>
        <v>3000</v>
      </c>
      <c r="M52" s="118">
        <f>[2]sales_BI!L51</f>
        <v>3000</v>
      </c>
      <c r="N52" s="91">
        <v>0</v>
      </c>
      <c r="O52" s="1"/>
    </row>
    <row r="53" spans="2:15" x14ac:dyDescent="0.2">
      <c r="B53" s="28">
        <f>[2]sales_BI!J52</f>
        <v>46078</v>
      </c>
      <c r="C53" s="28" t="str">
        <f>[2]sales_BI!$K$2</f>
        <v>04:36 p. m.</v>
      </c>
      <c r="D53" s="28" t="s">
        <v>160</v>
      </c>
      <c r="E53" s="28" t="str">
        <f>[2]sales!C55</f>
        <v>Chorizo</v>
      </c>
      <c r="F53" s="257">
        <f>+VLOOKUP(sales[[#This Row],[Fecha]],maestro!A:C,3,0)</f>
        <v>1</v>
      </c>
      <c r="G53" s="257"/>
      <c r="H53" s="28" t="str">
        <f>+VLOOKUP(sales[[#This Row],[Fecha]],maestro!A:D,4,0)</f>
        <v>A) Día hábil</v>
      </c>
      <c r="I53" t="str">
        <f t="shared" si="0"/>
        <v>mié</v>
      </c>
      <c r="J53" t="str">
        <f t="shared" si="1"/>
        <v>febrero</v>
      </c>
      <c r="K53" s="1">
        <f t="shared" si="4"/>
        <v>8400</v>
      </c>
      <c r="L53" s="145">
        <f>[2]sales_BI!H52</f>
        <v>24000</v>
      </c>
      <c r="M53" s="118">
        <f>[2]sales_BI!L52</f>
        <v>24000</v>
      </c>
      <c r="N53" s="91">
        <v>0</v>
      </c>
      <c r="O53" s="1"/>
    </row>
    <row r="54" spans="2:15" x14ac:dyDescent="0.2">
      <c r="B54" s="28">
        <f>[2]sales_BI!J53</f>
        <v>46078</v>
      </c>
      <c r="C54" s="28" t="str">
        <f>[2]sales_BI!$K$2</f>
        <v>04:36 p. m.</v>
      </c>
      <c r="D54" s="28" t="s">
        <v>160</v>
      </c>
      <c r="E54" s="28" t="str">
        <f>[2]sales!C56</f>
        <v>Chorizo</v>
      </c>
      <c r="F54" s="257">
        <f>+VLOOKUP(sales[[#This Row],[Fecha]],maestro!A:C,3,0)</f>
        <v>1</v>
      </c>
      <c r="G54" s="257"/>
      <c r="H54" s="28" t="str">
        <f>+VLOOKUP(sales[[#This Row],[Fecha]],maestro!A:D,4,0)</f>
        <v>A) Día hábil</v>
      </c>
      <c r="I54" t="str">
        <f t="shared" si="0"/>
        <v>mié</v>
      </c>
      <c r="J54" t="str">
        <f t="shared" si="1"/>
        <v>febrero</v>
      </c>
      <c r="K54" s="1">
        <f t="shared" si="4"/>
        <v>0</v>
      </c>
      <c r="L54" s="145">
        <f>[2]sales_BI!H53</f>
        <v>8000</v>
      </c>
      <c r="M54" s="118">
        <f>[2]sales_BI!L53</f>
        <v>0</v>
      </c>
      <c r="N54" s="91">
        <v>0</v>
      </c>
      <c r="O54" s="1"/>
    </row>
    <row r="55" spans="2:15" x14ac:dyDescent="0.2">
      <c r="B55" s="28">
        <f>[2]sales_BI!J54</f>
        <v>46078</v>
      </c>
      <c r="C55" s="28" t="str">
        <f>[2]sales_BI!$K$2</f>
        <v>04:36 p. m.</v>
      </c>
      <c r="D55" s="28" t="s">
        <v>160</v>
      </c>
      <c r="E55" s="28" t="str">
        <f>[2]sales!C57</f>
        <v>Chorizo</v>
      </c>
      <c r="F55" s="257">
        <f>+VLOOKUP(sales[[#This Row],[Fecha]],maestro!A:C,3,0)</f>
        <v>1</v>
      </c>
      <c r="G55" s="257"/>
      <c r="H55" s="28" t="str">
        <f>+VLOOKUP(sales[[#This Row],[Fecha]],maestro!A:D,4,0)</f>
        <v>A) Día hábil</v>
      </c>
      <c r="I55" t="str">
        <f t="shared" si="0"/>
        <v>mié</v>
      </c>
      <c r="J55" t="str">
        <f t="shared" si="1"/>
        <v>febrero</v>
      </c>
      <c r="K55" s="1">
        <f t="shared" si="4"/>
        <v>2800</v>
      </c>
      <c r="L55" s="145">
        <f>[2]sales_BI!H54</f>
        <v>8000</v>
      </c>
      <c r="M55" s="118">
        <f>[2]sales_BI!L54</f>
        <v>8000</v>
      </c>
      <c r="N55" s="91">
        <v>0</v>
      </c>
      <c r="O55" s="1"/>
    </row>
    <row r="56" spans="2:15" x14ac:dyDescent="0.2">
      <c r="B56" s="28">
        <f>[2]sales_BI!J55</f>
        <v>46078</v>
      </c>
      <c r="C56" s="28" t="str">
        <f>[2]sales_BI!$K$2</f>
        <v>04:36 p. m.</v>
      </c>
      <c r="D56" s="28" t="s">
        <v>160</v>
      </c>
      <c r="E56" s="28" t="str">
        <f>[2]sales!C58</f>
        <v>Coca cola</v>
      </c>
      <c r="F56" s="257">
        <f>+VLOOKUP(sales[[#This Row],[Fecha]],maestro!A:C,3,0)</f>
        <v>1</v>
      </c>
      <c r="G56" s="257"/>
      <c r="H56" s="28" t="str">
        <f>+VLOOKUP(sales[[#This Row],[Fecha]],maestro!A:D,4,0)</f>
        <v>A) Día hábil</v>
      </c>
      <c r="I56" t="str">
        <f t="shared" si="0"/>
        <v>mié</v>
      </c>
      <c r="J56" t="str">
        <f t="shared" si="1"/>
        <v>febrero</v>
      </c>
      <c r="K56" s="1">
        <f t="shared" si="4"/>
        <v>1050</v>
      </c>
      <c r="L56" s="145">
        <f>[2]sales_BI!H55</f>
        <v>3000</v>
      </c>
      <c r="M56" s="118">
        <f>[2]sales_BI!L55</f>
        <v>3000</v>
      </c>
      <c r="N56" s="91">
        <v>0</v>
      </c>
      <c r="O56" s="1"/>
    </row>
    <row r="57" spans="2:15" x14ac:dyDescent="0.2">
      <c r="B57" s="28">
        <f>[2]sales_BI!J56</f>
        <v>46078</v>
      </c>
      <c r="C57" s="28" t="str">
        <f>[2]sales_BI!$K$2</f>
        <v>04:36 p. m.</v>
      </c>
      <c r="D57" s="28" t="s">
        <v>160</v>
      </c>
      <c r="E57" s="28" t="str">
        <f>[2]sales!C59</f>
        <v>Chori- CRUDO</v>
      </c>
      <c r="F57" s="257">
        <f>+VLOOKUP(sales[[#This Row],[Fecha]],maestro!A:C,3,0)</f>
        <v>1</v>
      </c>
      <c r="G57" s="257"/>
      <c r="H57" s="28" t="str">
        <f>+VLOOKUP(sales[[#This Row],[Fecha]],maestro!A:D,4,0)</f>
        <v>A) Día hábil</v>
      </c>
      <c r="I57" t="str">
        <f t="shared" si="0"/>
        <v>mié</v>
      </c>
      <c r="J57" t="str">
        <f t="shared" si="1"/>
        <v>febrero</v>
      </c>
      <c r="K57" s="1">
        <f t="shared" si="4"/>
        <v>0</v>
      </c>
      <c r="L57" s="145">
        <f>[2]sales_BI!H56</f>
        <v>22500</v>
      </c>
      <c r="M57" s="118">
        <f>[2]sales_BI!L56</f>
        <v>0</v>
      </c>
      <c r="N57" s="91">
        <v>0</v>
      </c>
      <c r="O57" s="1"/>
    </row>
    <row r="58" spans="2:15" x14ac:dyDescent="0.2">
      <c r="B58" s="28">
        <f>[2]sales_BI!J57</f>
        <v>46078</v>
      </c>
      <c r="C58" s="28" t="str">
        <f>[2]sales_BI!$K$2</f>
        <v>04:36 p. m.</v>
      </c>
      <c r="D58" s="28" t="s">
        <v>160</v>
      </c>
      <c r="E58" s="28" t="str">
        <f>[2]sales!C60</f>
        <v>parri tres carnes</v>
      </c>
      <c r="F58" s="257">
        <f>+VLOOKUP(sales[[#This Row],[Fecha]],maestro!A:C,3,0)</f>
        <v>1</v>
      </c>
      <c r="G58" s="257"/>
      <c r="H58" s="28" t="str">
        <f>+VLOOKUP(sales[[#This Row],[Fecha]],maestro!A:D,4,0)</f>
        <v>A) Día hábil</v>
      </c>
      <c r="I58" t="str">
        <f t="shared" si="0"/>
        <v>mié</v>
      </c>
      <c r="J58" t="str">
        <f t="shared" si="1"/>
        <v>febrero</v>
      </c>
      <c r="K58" s="1">
        <f t="shared" si="4"/>
        <v>12250</v>
      </c>
      <c r="L58" s="145">
        <f>[2]sales_BI!H57</f>
        <v>35000</v>
      </c>
      <c r="M58" s="118">
        <f>[2]sales_BI!L57</f>
        <v>35000</v>
      </c>
      <c r="N58" s="91">
        <v>0</v>
      </c>
      <c r="O58" s="1"/>
    </row>
    <row r="59" spans="2:15" x14ac:dyDescent="0.2">
      <c r="B59" s="28">
        <f>[2]sales_BI!J58</f>
        <v>46078</v>
      </c>
      <c r="C59" s="28" t="str">
        <f>[2]sales_BI!$K$2</f>
        <v>04:36 p. m.</v>
      </c>
      <c r="D59" s="28" t="s">
        <v>160</v>
      </c>
      <c r="E59" s="28" t="str">
        <f>[2]sales!C61</f>
        <v>Postobon</v>
      </c>
      <c r="F59" s="257">
        <f>+VLOOKUP(sales[[#This Row],[Fecha]],maestro!A:C,3,0)</f>
        <v>1</v>
      </c>
      <c r="G59" s="257"/>
      <c r="H59" s="28" t="str">
        <f>+VLOOKUP(sales[[#This Row],[Fecha]],maestro!A:D,4,0)</f>
        <v>A) Día hábil</v>
      </c>
      <c r="I59" t="str">
        <f t="shared" si="0"/>
        <v>mié</v>
      </c>
      <c r="J59" t="str">
        <f t="shared" si="1"/>
        <v>febrero</v>
      </c>
      <c r="K59" s="1">
        <f t="shared" si="4"/>
        <v>1050</v>
      </c>
      <c r="L59" s="145">
        <f>[2]sales_BI!H58</f>
        <v>3000</v>
      </c>
      <c r="M59" s="118">
        <f>[2]sales_BI!L58</f>
        <v>3000</v>
      </c>
      <c r="N59" s="91">
        <v>0</v>
      </c>
      <c r="O59" s="1"/>
    </row>
    <row r="60" spans="2:15" x14ac:dyDescent="0.2">
      <c r="B60" s="28">
        <f>[2]sales_BI!J59</f>
        <v>46078</v>
      </c>
      <c r="C60" s="28" t="str">
        <f>[2]sales_BI!$K$2</f>
        <v>04:36 p. m.</v>
      </c>
      <c r="D60" s="28" t="s">
        <v>160</v>
      </c>
      <c r="E60" s="28" t="str">
        <f>[2]sales!C62</f>
        <v>Chorizo</v>
      </c>
      <c r="F60" s="257">
        <f>+VLOOKUP(sales[[#This Row],[Fecha]],maestro!A:C,3,0)</f>
        <v>1</v>
      </c>
      <c r="G60" s="257"/>
      <c r="H60" s="28" t="str">
        <f>+VLOOKUP(sales[[#This Row],[Fecha]],maestro!A:D,4,0)</f>
        <v>A) Día hábil</v>
      </c>
      <c r="I60" t="str">
        <f t="shared" si="0"/>
        <v>mié</v>
      </c>
      <c r="J60" t="str">
        <f t="shared" si="1"/>
        <v>febrero</v>
      </c>
      <c r="K60" s="1">
        <f t="shared" si="4"/>
        <v>5600</v>
      </c>
      <c r="L60" s="145">
        <f>[2]sales_BI!H59</f>
        <v>16000</v>
      </c>
      <c r="M60" s="118">
        <f>[2]sales_BI!L59</f>
        <v>16000</v>
      </c>
      <c r="N60" s="91">
        <v>0</v>
      </c>
      <c r="O60" s="1"/>
    </row>
    <row r="61" spans="2:15" x14ac:dyDescent="0.2">
      <c r="B61" s="28">
        <f>[2]sales_BI!J60</f>
        <v>46078</v>
      </c>
      <c r="C61" s="28" t="str">
        <f>[2]sales_BI!$K$2</f>
        <v>04:36 p. m.</v>
      </c>
      <c r="D61" s="28" t="s">
        <v>160</v>
      </c>
      <c r="E61" s="28" t="str">
        <f>[2]sales!C63</f>
        <v>Chorizo</v>
      </c>
      <c r="F61" s="257">
        <f>+VLOOKUP(sales[[#This Row],[Fecha]],maestro!A:C,3,0)</f>
        <v>1</v>
      </c>
      <c r="G61" s="257"/>
      <c r="H61" s="28" t="str">
        <f>+VLOOKUP(sales[[#This Row],[Fecha]],maestro!A:D,4,0)</f>
        <v>A) Día hábil</v>
      </c>
      <c r="I61" t="str">
        <f t="shared" si="0"/>
        <v>mié</v>
      </c>
      <c r="J61" t="str">
        <f t="shared" si="1"/>
        <v>febrero</v>
      </c>
      <c r="K61" s="1">
        <f t="shared" si="4"/>
        <v>5600</v>
      </c>
      <c r="L61" s="145">
        <f>[2]sales_BI!H60</f>
        <v>16000</v>
      </c>
      <c r="M61" s="118">
        <f>[2]sales_BI!L60</f>
        <v>16000</v>
      </c>
      <c r="N61" s="91">
        <v>0</v>
      </c>
      <c r="O61" s="1"/>
    </row>
    <row r="62" spans="2:15" x14ac:dyDescent="0.2">
      <c r="B62" s="28">
        <f>[2]sales_BI!J61</f>
        <v>46078</v>
      </c>
      <c r="C62" s="28" t="str">
        <f>[2]sales_BI!$K$2</f>
        <v>04:36 p. m.</v>
      </c>
      <c r="D62" s="28" t="s">
        <v>160</v>
      </c>
      <c r="E62" s="28" t="str">
        <f>[2]sales!C64</f>
        <v>Chorizo</v>
      </c>
      <c r="F62" s="257">
        <f>+VLOOKUP(sales[[#This Row],[Fecha]],maestro!A:C,3,0)</f>
        <v>1</v>
      </c>
      <c r="G62" s="257"/>
      <c r="H62" s="28" t="str">
        <f>+VLOOKUP(sales[[#This Row],[Fecha]],maestro!A:D,4,0)</f>
        <v>A) Día hábil</v>
      </c>
      <c r="I62" t="str">
        <f t="shared" si="0"/>
        <v>mié</v>
      </c>
      <c r="J62" t="str">
        <f t="shared" si="1"/>
        <v>febrero</v>
      </c>
      <c r="K62" s="1">
        <f t="shared" si="4"/>
        <v>11200</v>
      </c>
      <c r="L62" s="145">
        <f>[2]sales_BI!H61</f>
        <v>32000</v>
      </c>
      <c r="M62" s="118">
        <f>[2]sales_BI!L61</f>
        <v>32000</v>
      </c>
      <c r="N62" s="91">
        <v>0</v>
      </c>
      <c r="O62" s="1"/>
    </row>
    <row r="63" spans="2:15" x14ac:dyDescent="0.2">
      <c r="B63" s="28">
        <f>[2]sales_BI!J62</f>
        <v>46078</v>
      </c>
      <c r="C63" s="28" t="str">
        <f>[2]sales_BI!$K$2</f>
        <v>04:36 p. m.</v>
      </c>
      <c r="D63" s="28" t="s">
        <v>160</v>
      </c>
      <c r="E63" s="28" t="str">
        <f>[2]sales!C65</f>
        <v>Chorizo</v>
      </c>
      <c r="F63" s="257">
        <f>+VLOOKUP(sales[[#This Row],[Fecha]],maestro!A:C,3,0)</f>
        <v>1</v>
      </c>
      <c r="G63" s="257"/>
      <c r="H63" s="28" t="str">
        <f>+VLOOKUP(sales[[#This Row],[Fecha]],maestro!A:D,4,0)</f>
        <v>A) Día hábil</v>
      </c>
      <c r="I63" t="str">
        <f t="shared" si="0"/>
        <v>mié</v>
      </c>
      <c r="J63" t="str">
        <f t="shared" si="1"/>
        <v>febrero</v>
      </c>
      <c r="K63" s="1">
        <f t="shared" si="4"/>
        <v>0</v>
      </c>
      <c r="L63" s="145">
        <f>[2]sales_BI!H62</f>
        <v>8000</v>
      </c>
      <c r="M63" s="118">
        <f>[2]sales_BI!L62</f>
        <v>0</v>
      </c>
      <c r="N63" s="91">
        <v>0</v>
      </c>
      <c r="O63" s="1"/>
    </row>
    <row r="64" spans="2:15" x14ac:dyDescent="0.2">
      <c r="B64" s="28">
        <f>[2]sales_BI!J63</f>
        <v>46078</v>
      </c>
      <c r="C64" s="28" t="str">
        <f>[2]sales_BI!$K$2</f>
        <v>04:36 p. m.</v>
      </c>
      <c r="D64" s="28" t="s">
        <v>160</v>
      </c>
      <c r="E64" s="28" t="str">
        <f>[2]sales!C66</f>
        <v>Chorizo</v>
      </c>
      <c r="F64" s="257">
        <f>+VLOOKUP(sales[[#This Row],[Fecha]],maestro!A:C,3,0)</f>
        <v>1</v>
      </c>
      <c r="G64" s="257"/>
      <c r="H64" s="28" t="str">
        <f>+VLOOKUP(sales[[#This Row],[Fecha]],maestro!A:D,4,0)</f>
        <v>A) Día hábil</v>
      </c>
      <c r="I64" t="str">
        <f t="shared" si="0"/>
        <v>mié</v>
      </c>
      <c r="J64" t="str">
        <f t="shared" si="1"/>
        <v>febrero</v>
      </c>
      <c r="K64" s="1">
        <f t="shared" si="4"/>
        <v>5600</v>
      </c>
      <c r="L64" s="145">
        <f>[2]sales_BI!H63</f>
        <v>16000</v>
      </c>
      <c r="M64" s="118">
        <f>[2]sales_BI!L63</f>
        <v>16000</v>
      </c>
      <c r="N64" s="91">
        <v>0</v>
      </c>
      <c r="O64" s="1"/>
    </row>
    <row r="65" spans="2:15" x14ac:dyDescent="0.2">
      <c r="B65" s="28">
        <f>[2]sales_BI!J64</f>
        <v>46079</v>
      </c>
      <c r="C65" s="28" t="str">
        <f>[2]sales_BI!$K$2</f>
        <v>04:36 p. m.</v>
      </c>
      <c r="D65" s="28" t="s">
        <v>160</v>
      </c>
      <c r="E65" s="28" t="str">
        <f>[2]sales!C67</f>
        <v>Chori- CRUDO</v>
      </c>
      <c r="F65" s="257">
        <f>+VLOOKUP(sales[[#This Row],[Fecha]],maestro!A:C,3,0)</f>
        <v>1</v>
      </c>
      <c r="G65" s="257"/>
      <c r="H65" s="28" t="str">
        <f>+VLOOKUP(sales[[#This Row],[Fecha]],maestro!A:D,4,0)</f>
        <v>A) Día hábil</v>
      </c>
      <c r="I65" t="str">
        <f t="shared" si="0"/>
        <v>jue</v>
      </c>
      <c r="J65" t="str">
        <f t="shared" si="1"/>
        <v>febrero</v>
      </c>
      <c r="K65" s="1">
        <f t="shared" si="4"/>
        <v>3150</v>
      </c>
      <c r="L65" s="145">
        <f>[2]sales_BI!H64</f>
        <v>9000</v>
      </c>
      <c r="M65" s="118">
        <f>[2]sales_BI!L64</f>
        <v>9000</v>
      </c>
      <c r="N65" s="91">
        <v>0</v>
      </c>
      <c r="O65" s="1"/>
    </row>
    <row r="66" spans="2:15" x14ac:dyDescent="0.2">
      <c r="B66" s="28">
        <f>[2]sales_BI!J65</f>
        <v>46079</v>
      </c>
      <c r="C66" s="28" t="str">
        <f>[2]sales_BI!$K$2</f>
        <v>04:36 p. m.</v>
      </c>
      <c r="D66" s="28" t="s">
        <v>160</v>
      </c>
      <c r="E66" s="28" t="str">
        <f>[2]sales!C68</f>
        <v>Chorizo</v>
      </c>
      <c r="F66" s="257">
        <f>+VLOOKUP(sales[[#This Row],[Fecha]],maestro!A:C,3,0)</f>
        <v>1</v>
      </c>
      <c r="G66" s="257"/>
      <c r="H66" s="28" t="str">
        <f>+VLOOKUP(sales[[#This Row],[Fecha]],maestro!A:D,4,0)</f>
        <v>A) Día hábil</v>
      </c>
      <c r="I66" t="str">
        <f t="shared" si="0"/>
        <v>jue</v>
      </c>
      <c r="J66" t="str">
        <f t="shared" si="1"/>
        <v>febrero</v>
      </c>
      <c r="K66" s="1">
        <f t="shared" si="4"/>
        <v>5600</v>
      </c>
      <c r="L66" s="145">
        <f>[2]sales_BI!H65</f>
        <v>16000</v>
      </c>
      <c r="M66" s="118">
        <f>[2]sales_BI!L65</f>
        <v>16000</v>
      </c>
      <c r="N66" s="91">
        <v>0</v>
      </c>
      <c r="O66" s="1"/>
    </row>
    <row r="67" spans="2:15" x14ac:dyDescent="0.2">
      <c r="B67" s="28">
        <f>[2]sales_BI!J66</f>
        <v>46079</v>
      </c>
      <c r="C67" s="28" t="str">
        <f>[2]sales_BI!$K$2</f>
        <v>04:36 p. m.</v>
      </c>
      <c r="D67" s="28" t="s">
        <v>160</v>
      </c>
      <c r="E67" s="28" t="str">
        <f>[2]sales!C69</f>
        <v>carne + chorizo</v>
      </c>
      <c r="F67" s="257">
        <f>+VLOOKUP(sales[[#This Row],[Fecha]],maestro!A:C,3,0)</f>
        <v>1</v>
      </c>
      <c r="G67" s="257"/>
      <c r="H67" s="28" t="str">
        <f>+VLOOKUP(sales[[#This Row],[Fecha]],maestro!A:D,4,0)</f>
        <v>A) Día hábil</v>
      </c>
      <c r="I67" t="str">
        <f t="shared" ref="I67:I122" si="5">+TEXT(B67,"ddd")</f>
        <v>jue</v>
      </c>
      <c r="J67" t="str">
        <f t="shared" ref="J67:J122" si="6">+TEXT(B67,"mmmm")</f>
        <v>febrero</v>
      </c>
      <c r="K67" s="1">
        <f t="shared" ref="K67:K92" si="7">+M67*0.35</f>
        <v>0</v>
      </c>
      <c r="L67" s="145">
        <f>[2]sales_BI!H66</f>
        <v>25000</v>
      </c>
      <c r="M67" s="118">
        <f>[2]sales_BI!L66</f>
        <v>0</v>
      </c>
      <c r="N67" s="91">
        <v>0</v>
      </c>
      <c r="O67" s="1"/>
    </row>
    <row r="68" spans="2:15" x14ac:dyDescent="0.2">
      <c r="B68" s="28">
        <f>[2]sales_BI!J67</f>
        <v>46079</v>
      </c>
      <c r="C68" s="28" t="str">
        <f>[2]sales_BI!$K$2</f>
        <v>04:36 p. m.</v>
      </c>
      <c r="D68" s="28" t="s">
        <v>160</v>
      </c>
      <c r="E68" s="28" t="str">
        <f>[2]sales!C70</f>
        <v>Chorizo</v>
      </c>
      <c r="F68" s="257">
        <f>+VLOOKUP(sales[[#This Row],[Fecha]],maestro!A:C,3,0)</f>
        <v>1</v>
      </c>
      <c r="G68" s="257"/>
      <c r="H68" s="28" t="str">
        <f>+VLOOKUP(sales[[#This Row],[Fecha]],maestro!A:D,4,0)</f>
        <v>A) Día hábil</v>
      </c>
      <c r="I68" t="str">
        <f t="shared" si="5"/>
        <v>jue</v>
      </c>
      <c r="J68" t="str">
        <f t="shared" si="6"/>
        <v>febrero</v>
      </c>
      <c r="K68" s="1">
        <f t="shared" si="7"/>
        <v>0</v>
      </c>
      <c r="L68" s="145">
        <f>[2]sales_BI!H67</f>
        <v>40000</v>
      </c>
      <c r="M68" s="118">
        <f>[2]sales_BI!L67</f>
        <v>0</v>
      </c>
      <c r="N68" s="91">
        <v>0</v>
      </c>
      <c r="O68" s="1"/>
    </row>
    <row r="69" spans="2:15" x14ac:dyDescent="0.2">
      <c r="B69" s="28">
        <f>[2]sales_BI!J68</f>
        <v>46079</v>
      </c>
      <c r="C69" s="28" t="str">
        <f>[2]sales_BI!$K$2</f>
        <v>04:36 p. m.</v>
      </c>
      <c r="D69" s="28" t="s">
        <v>160</v>
      </c>
      <c r="E69" s="28" t="str">
        <f>[2]sales!C71</f>
        <v>Postobon</v>
      </c>
      <c r="F69" s="257">
        <f>+VLOOKUP(sales[[#This Row],[Fecha]],maestro!A:C,3,0)</f>
        <v>1</v>
      </c>
      <c r="G69" s="257"/>
      <c r="H69" s="28" t="str">
        <f>+VLOOKUP(sales[[#This Row],[Fecha]],maestro!A:D,4,0)</f>
        <v>A) Día hábil</v>
      </c>
      <c r="I69" t="str">
        <f t="shared" si="5"/>
        <v>jue</v>
      </c>
      <c r="J69" t="str">
        <f t="shared" si="6"/>
        <v>febrero</v>
      </c>
      <c r="K69" s="1">
        <f t="shared" si="7"/>
        <v>0</v>
      </c>
      <c r="L69" s="145">
        <f>[2]sales_BI!H68</f>
        <v>9000</v>
      </c>
      <c r="M69" s="118">
        <f>[2]sales_BI!L68</f>
        <v>0</v>
      </c>
      <c r="N69" s="91">
        <v>0</v>
      </c>
      <c r="O69" s="1"/>
    </row>
    <row r="70" spans="2:15" x14ac:dyDescent="0.2">
      <c r="B70" s="28">
        <f>[2]sales_BI!J69</f>
        <v>46079</v>
      </c>
      <c r="C70" s="28" t="str">
        <f>[2]sales_BI!$K$2</f>
        <v>04:36 p. m.</v>
      </c>
      <c r="D70" s="28" t="s">
        <v>160</v>
      </c>
      <c r="E70" s="28" t="str">
        <f>[2]sales!C72</f>
        <v>Chorizo</v>
      </c>
      <c r="F70" s="257">
        <f>+VLOOKUP(sales[[#This Row],[Fecha]],maestro!A:C,3,0)</f>
        <v>1</v>
      </c>
      <c r="G70" s="257"/>
      <c r="H70" s="28" t="str">
        <f>+VLOOKUP(sales[[#This Row],[Fecha]],maestro!A:D,4,0)</f>
        <v>A) Día hábil</v>
      </c>
      <c r="I70" t="str">
        <f t="shared" si="5"/>
        <v>jue</v>
      </c>
      <c r="J70" t="str">
        <f t="shared" si="6"/>
        <v>febrero</v>
      </c>
      <c r="K70" s="1">
        <f t="shared" si="7"/>
        <v>2800</v>
      </c>
      <c r="L70" s="145">
        <f>[2]sales_BI!H69</f>
        <v>8000</v>
      </c>
      <c r="M70" s="118">
        <f>[2]sales_BI!L69</f>
        <v>8000</v>
      </c>
      <c r="N70" s="91">
        <v>0</v>
      </c>
      <c r="O70" s="1"/>
    </row>
    <row r="71" spans="2:15" x14ac:dyDescent="0.2">
      <c r="B71" s="28">
        <f>[2]sales_BI!J70</f>
        <v>46079</v>
      </c>
      <c r="C71" s="28" t="str">
        <f>[2]sales_BI!$K$2</f>
        <v>04:36 p. m.</v>
      </c>
      <c r="D71" s="28" t="s">
        <v>160</v>
      </c>
      <c r="E71" s="28" t="str">
        <f>[2]sales!C73</f>
        <v>Chorizo</v>
      </c>
      <c r="F71" s="257">
        <f>+VLOOKUP(sales[[#This Row],[Fecha]],maestro!A:C,3,0)</f>
        <v>1</v>
      </c>
      <c r="G71" s="257"/>
      <c r="H71" s="28" t="str">
        <f>+VLOOKUP(sales[[#This Row],[Fecha]],maestro!A:D,4,0)</f>
        <v>A) Día hábil</v>
      </c>
      <c r="I71" t="str">
        <f t="shared" si="5"/>
        <v>jue</v>
      </c>
      <c r="J71" t="str">
        <f t="shared" si="6"/>
        <v>febrero</v>
      </c>
      <c r="K71" s="1">
        <f t="shared" si="7"/>
        <v>0</v>
      </c>
      <c r="L71" s="145">
        <f>[2]sales_BI!H70</f>
        <v>8000</v>
      </c>
      <c r="M71" s="118">
        <f>[2]sales_BI!L70</f>
        <v>0</v>
      </c>
      <c r="N71" s="91">
        <v>0</v>
      </c>
      <c r="O71" s="1"/>
    </row>
    <row r="72" spans="2:15" x14ac:dyDescent="0.2">
      <c r="B72" s="28">
        <f>[2]sales_BI!J71</f>
        <v>46079</v>
      </c>
      <c r="C72" s="28" t="str">
        <f>[2]sales_BI!$K$2</f>
        <v>04:36 p. m.</v>
      </c>
      <c r="D72" s="28" t="s">
        <v>160</v>
      </c>
      <c r="E72" s="28" t="str">
        <f>[2]sales!C74</f>
        <v>Chorizo</v>
      </c>
      <c r="F72" s="257">
        <f>+VLOOKUP(sales[[#This Row],[Fecha]],maestro!A:C,3,0)</f>
        <v>1</v>
      </c>
      <c r="G72" s="257"/>
      <c r="H72" s="28" t="str">
        <f>+VLOOKUP(sales[[#This Row],[Fecha]],maestro!A:D,4,0)</f>
        <v>A) Día hábil</v>
      </c>
      <c r="I72" t="str">
        <f t="shared" si="5"/>
        <v>jue</v>
      </c>
      <c r="J72" t="str">
        <f t="shared" si="6"/>
        <v>febrero</v>
      </c>
      <c r="K72" s="1">
        <f t="shared" si="7"/>
        <v>2800</v>
      </c>
      <c r="L72" s="145">
        <f>[2]sales_BI!H71</f>
        <v>8000</v>
      </c>
      <c r="M72" s="118">
        <f>[2]sales_BI!L71</f>
        <v>8000</v>
      </c>
      <c r="N72" s="91">
        <v>0</v>
      </c>
      <c r="O72" s="1"/>
    </row>
    <row r="73" spans="2:15" x14ac:dyDescent="0.2">
      <c r="B73" s="28">
        <f>[2]sales_BI!J72</f>
        <v>46079</v>
      </c>
      <c r="C73" s="28" t="str">
        <f>[2]sales_BI!$K$2</f>
        <v>04:36 p. m.</v>
      </c>
      <c r="D73" s="28" t="s">
        <v>160</v>
      </c>
      <c r="E73" s="28" t="str">
        <f>[2]sales!C75</f>
        <v>Chorizo</v>
      </c>
      <c r="F73" s="257">
        <f>+VLOOKUP(sales[[#This Row],[Fecha]],maestro!A:C,3,0)</f>
        <v>1</v>
      </c>
      <c r="G73" s="257"/>
      <c r="H73" s="28" t="str">
        <f>+VLOOKUP(sales[[#This Row],[Fecha]],maestro!A:D,4,0)</f>
        <v>A) Día hábil</v>
      </c>
      <c r="I73" t="str">
        <f t="shared" si="5"/>
        <v>jue</v>
      </c>
      <c r="J73" t="str">
        <f t="shared" si="6"/>
        <v>febrero</v>
      </c>
      <c r="K73" s="1">
        <f>+M73*0.35</f>
        <v>0</v>
      </c>
      <c r="L73" s="145">
        <f>[2]sales_BI!H72</f>
        <v>8000</v>
      </c>
      <c r="M73" s="118">
        <f>[2]sales_BI!L72</f>
        <v>0</v>
      </c>
      <c r="N73" s="91">
        <v>0</v>
      </c>
      <c r="O73" s="1"/>
    </row>
    <row r="74" spans="2:15" x14ac:dyDescent="0.2">
      <c r="B74" s="28">
        <f>[2]sales_BI!J73</f>
        <v>46079</v>
      </c>
      <c r="C74" s="28" t="str">
        <f>[2]sales_BI!$K$2</f>
        <v>04:36 p. m.</v>
      </c>
      <c r="D74" s="28" t="s">
        <v>160</v>
      </c>
      <c r="E74" s="28" t="str">
        <f>[2]sales!C76</f>
        <v>Chorizo</v>
      </c>
      <c r="F74" s="257">
        <f>+VLOOKUP(sales[[#This Row],[Fecha]],maestro!A:C,3,0)</f>
        <v>1</v>
      </c>
      <c r="G74" s="257"/>
      <c r="H74" s="28" t="str">
        <f>+VLOOKUP(sales[[#This Row],[Fecha]],maestro!A:D,4,0)</f>
        <v>A) Día hábil</v>
      </c>
      <c r="I74" t="str">
        <f t="shared" si="5"/>
        <v>jue</v>
      </c>
      <c r="J74" t="str">
        <f t="shared" si="6"/>
        <v>febrero</v>
      </c>
      <c r="K74" s="1">
        <f t="shared" si="7"/>
        <v>5600</v>
      </c>
      <c r="L74" s="145">
        <f>[2]sales_BI!H73</f>
        <v>16000</v>
      </c>
      <c r="M74" s="118">
        <f>[2]sales_BI!L73</f>
        <v>16000</v>
      </c>
      <c r="N74" s="91">
        <v>0</v>
      </c>
      <c r="O74" s="1"/>
    </row>
    <row r="75" spans="2:15" x14ac:dyDescent="0.2">
      <c r="B75" s="28">
        <f>[2]sales_BI!J74</f>
        <v>46079</v>
      </c>
      <c r="C75" s="28" t="str">
        <f>[2]sales_BI!$K$2</f>
        <v>04:36 p. m.</v>
      </c>
      <c r="D75" s="28" t="s">
        <v>160</v>
      </c>
      <c r="E75" s="28" t="str">
        <f>[2]sales!C77</f>
        <v>Chorizo</v>
      </c>
      <c r="F75" s="257">
        <f>+VLOOKUP(sales[[#This Row],[Fecha]],maestro!A:C,3,0)</f>
        <v>1</v>
      </c>
      <c r="G75" s="257"/>
      <c r="H75" s="28" t="str">
        <f>+VLOOKUP(sales[[#This Row],[Fecha]],maestro!A:D,4,0)</f>
        <v>A) Día hábil</v>
      </c>
      <c r="I75" t="str">
        <f t="shared" si="5"/>
        <v>jue</v>
      </c>
      <c r="J75" t="str">
        <f t="shared" si="6"/>
        <v>febrero</v>
      </c>
      <c r="K75" s="1">
        <f t="shared" si="7"/>
        <v>0</v>
      </c>
      <c r="L75" s="145">
        <f>[2]sales_BI!H74</f>
        <v>16000</v>
      </c>
      <c r="M75" s="118">
        <f>[2]sales_BI!L74</f>
        <v>0</v>
      </c>
      <c r="N75" s="91">
        <v>0</v>
      </c>
      <c r="O75" s="1"/>
    </row>
    <row r="76" spans="2:15" x14ac:dyDescent="0.2">
      <c r="B76" s="28">
        <f>[2]sales_BI!J75</f>
        <v>46079</v>
      </c>
      <c r="C76" s="28" t="str">
        <f>[2]sales_BI!$K$2</f>
        <v>04:36 p. m.</v>
      </c>
      <c r="D76" s="28" t="s">
        <v>160</v>
      </c>
      <c r="E76" s="28" t="str">
        <f>[2]sales!C78</f>
        <v>Coca cola</v>
      </c>
      <c r="F76" s="257">
        <f>+VLOOKUP(sales[[#This Row],[Fecha]],maestro!A:C,3,0)</f>
        <v>1</v>
      </c>
      <c r="G76" s="257"/>
      <c r="H76" s="28" t="str">
        <f>+VLOOKUP(sales[[#This Row],[Fecha]],maestro!A:D,4,0)</f>
        <v>A) Día hábil</v>
      </c>
      <c r="I76" t="str">
        <f t="shared" si="5"/>
        <v>jue</v>
      </c>
      <c r="J76" t="str">
        <f t="shared" si="6"/>
        <v>febrero</v>
      </c>
      <c r="K76" s="1">
        <f t="shared" si="7"/>
        <v>0</v>
      </c>
      <c r="L76" s="145">
        <f>[2]sales_BI!H75</f>
        <v>3000</v>
      </c>
      <c r="M76" s="118">
        <f>[2]sales_BI!L75</f>
        <v>0</v>
      </c>
      <c r="N76" s="91">
        <v>0</v>
      </c>
      <c r="O76" s="1"/>
    </row>
    <row r="77" spans="2:15" x14ac:dyDescent="0.2">
      <c r="B77" s="28">
        <f>[2]sales_BI!J76</f>
        <v>46079</v>
      </c>
      <c r="C77" s="28" t="str">
        <f>[2]sales_BI!$K$2</f>
        <v>04:36 p. m.</v>
      </c>
      <c r="D77" s="28" t="s">
        <v>160</v>
      </c>
      <c r="E77" s="28" t="str">
        <f>[2]sales!C79</f>
        <v>Chorizo</v>
      </c>
      <c r="F77" s="257">
        <f>+VLOOKUP(sales[[#This Row],[Fecha]],maestro!A:C,3,0)</f>
        <v>1</v>
      </c>
      <c r="G77" s="257"/>
      <c r="H77" s="28" t="str">
        <f>+VLOOKUP(sales[[#This Row],[Fecha]],maestro!A:D,4,0)</f>
        <v>A) Día hábil</v>
      </c>
      <c r="I77" t="str">
        <f t="shared" si="5"/>
        <v>jue</v>
      </c>
      <c r="J77" t="str">
        <f t="shared" si="6"/>
        <v>febrero</v>
      </c>
      <c r="K77" s="1">
        <f t="shared" si="7"/>
        <v>2800</v>
      </c>
      <c r="L77" s="145">
        <f>[2]sales_BI!H76</f>
        <v>8000</v>
      </c>
      <c r="M77" s="118">
        <f>[2]sales_BI!L76</f>
        <v>8000</v>
      </c>
      <c r="N77" s="91">
        <v>0</v>
      </c>
      <c r="O77" s="1"/>
    </row>
    <row r="78" spans="2:15" x14ac:dyDescent="0.2">
      <c r="B78" s="28">
        <f>[2]sales_BI!J77</f>
        <v>46079</v>
      </c>
      <c r="C78" s="28" t="str">
        <f>[2]sales_BI!$K$2</f>
        <v>04:36 p. m.</v>
      </c>
      <c r="D78" s="28" t="s">
        <v>160</v>
      </c>
      <c r="E78" s="28" t="str">
        <f>[2]sales!C80</f>
        <v>Chorizo</v>
      </c>
      <c r="F78" s="257">
        <f>+VLOOKUP(sales[[#This Row],[Fecha]],maestro!A:C,3,0)</f>
        <v>1</v>
      </c>
      <c r="G78" s="257"/>
      <c r="H78" s="28" t="str">
        <f>+VLOOKUP(sales[[#This Row],[Fecha]],maestro!A:D,4,0)</f>
        <v>A) Día hábil</v>
      </c>
      <c r="I78" t="str">
        <f t="shared" si="5"/>
        <v>jue</v>
      </c>
      <c r="J78" t="str">
        <f t="shared" si="6"/>
        <v>febrero</v>
      </c>
      <c r="K78" s="1">
        <f t="shared" si="7"/>
        <v>2800</v>
      </c>
      <c r="L78" s="145">
        <f>[2]sales_BI!H77</f>
        <v>8000</v>
      </c>
      <c r="M78" s="118">
        <f>[2]sales_BI!L77</f>
        <v>8000</v>
      </c>
      <c r="N78" s="91">
        <v>0</v>
      </c>
      <c r="O78" s="1"/>
    </row>
    <row r="79" spans="2:15" x14ac:dyDescent="0.2">
      <c r="B79" s="28">
        <f>[2]sales_BI!J78</f>
        <v>46079</v>
      </c>
      <c r="C79" s="28" t="str">
        <f>[2]sales_BI!$K$2</f>
        <v>04:36 p. m.</v>
      </c>
      <c r="D79" s="28" t="s">
        <v>160</v>
      </c>
      <c r="E79" s="28" t="str">
        <f>[2]sales!C81</f>
        <v>Chorizo</v>
      </c>
      <c r="F79" s="257">
        <f>+VLOOKUP(sales[[#This Row],[Fecha]],maestro!A:C,3,0)</f>
        <v>1</v>
      </c>
      <c r="G79" s="257"/>
      <c r="H79" s="28" t="str">
        <f>+VLOOKUP(sales[[#This Row],[Fecha]],maestro!A:D,4,0)</f>
        <v>A) Día hábil</v>
      </c>
      <c r="I79" t="str">
        <f t="shared" si="5"/>
        <v>jue</v>
      </c>
      <c r="J79" t="str">
        <f t="shared" si="6"/>
        <v>febrero</v>
      </c>
      <c r="K79" s="1">
        <f t="shared" si="7"/>
        <v>2800</v>
      </c>
      <c r="L79" s="145">
        <f>[2]sales_BI!H78</f>
        <v>8000</v>
      </c>
      <c r="M79" s="118">
        <f>[2]sales_BI!L78</f>
        <v>8000</v>
      </c>
      <c r="N79" s="91">
        <v>0</v>
      </c>
      <c r="O79" s="1"/>
    </row>
    <row r="80" spans="2:15" x14ac:dyDescent="0.2">
      <c r="B80" s="28">
        <f>[2]sales_BI!J79</f>
        <v>46079</v>
      </c>
      <c r="C80" s="28" t="str">
        <f>[2]sales_BI!$K$2</f>
        <v>04:36 p. m.</v>
      </c>
      <c r="D80" s="28" t="s">
        <v>160</v>
      </c>
      <c r="E80" s="28" t="str">
        <f>[2]sales!C82</f>
        <v>Postobon</v>
      </c>
      <c r="F80" s="257">
        <f>+VLOOKUP(sales[[#This Row],[Fecha]],maestro!A:C,3,0)</f>
        <v>1</v>
      </c>
      <c r="G80" s="257"/>
      <c r="H80" s="28" t="str">
        <f>+VLOOKUP(sales[[#This Row],[Fecha]],maestro!A:D,4,0)</f>
        <v>A) Día hábil</v>
      </c>
      <c r="I80" t="str">
        <f t="shared" si="5"/>
        <v>jue</v>
      </c>
      <c r="J80" t="str">
        <f t="shared" si="6"/>
        <v>febrero</v>
      </c>
      <c r="K80" s="1">
        <f t="shared" si="7"/>
        <v>1050</v>
      </c>
      <c r="L80" s="145">
        <f>[2]sales_BI!H79</f>
        <v>3000</v>
      </c>
      <c r="M80" s="118">
        <f>[2]sales_BI!L79</f>
        <v>3000</v>
      </c>
      <c r="N80" s="91">
        <v>0</v>
      </c>
      <c r="O80" s="1"/>
    </row>
    <row r="81" spans="2:15" x14ac:dyDescent="0.2">
      <c r="B81" s="28">
        <f>[2]sales_BI!J80</f>
        <v>46079</v>
      </c>
      <c r="C81" s="28" t="str">
        <f>[2]sales_BI!$K$2</f>
        <v>04:36 p. m.</v>
      </c>
      <c r="D81" s="28" t="s">
        <v>160</v>
      </c>
      <c r="E81" s="28" t="str">
        <f>[2]sales!C83</f>
        <v>Chorizo</v>
      </c>
      <c r="F81" s="257">
        <f>+VLOOKUP(sales[[#This Row],[Fecha]],maestro!A:C,3,0)</f>
        <v>1</v>
      </c>
      <c r="G81" s="257"/>
      <c r="H81" s="28" t="str">
        <f>+VLOOKUP(sales[[#This Row],[Fecha]],maestro!A:D,4,0)</f>
        <v>A) Día hábil</v>
      </c>
      <c r="I81" t="str">
        <f t="shared" si="5"/>
        <v>jue</v>
      </c>
      <c r="J81" t="str">
        <f t="shared" si="6"/>
        <v>febrero</v>
      </c>
      <c r="K81" s="1">
        <f t="shared" si="7"/>
        <v>0</v>
      </c>
      <c r="L81" s="145">
        <f>[2]sales_BI!H80</f>
        <v>8000</v>
      </c>
      <c r="M81" s="118">
        <f>[2]sales_BI!L80</f>
        <v>0</v>
      </c>
      <c r="N81" s="91">
        <v>0</v>
      </c>
      <c r="O81" s="1"/>
    </row>
    <row r="82" spans="2:15" x14ac:dyDescent="0.2">
      <c r="B82" s="28">
        <f>[2]sales_BI!J81</f>
        <v>46079</v>
      </c>
      <c r="C82" s="28" t="str">
        <f>[2]sales_BI!$K$2</f>
        <v>04:36 p. m.</v>
      </c>
      <c r="D82" s="28" t="s">
        <v>160</v>
      </c>
      <c r="E82" s="28" t="str">
        <f>[2]sales!C84</f>
        <v>Chorizo</v>
      </c>
      <c r="F82" s="257">
        <f>+VLOOKUP(sales[[#This Row],[Fecha]],maestro!A:C,3,0)</f>
        <v>1</v>
      </c>
      <c r="G82" s="257"/>
      <c r="H82" s="28" t="str">
        <f>+VLOOKUP(sales[[#This Row],[Fecha]],maestro!A:D,4,0)</f>
        <v>A) Día hábil</v>
      </c>
      <c r="I82" t="str">
        <f t="shared" si="5"/>
        <v>jue</v>
      </c>
      <c r="J82" t="str">
        <f t="shared" si="6"/>
        <v>febrero</v>
      </c>
      <c r="K82" s="1">
        <f t="shared" si="7"/>
        <v>0</v>
      </c>
      <c r="L82" s="145">
        <f>[2]sales_BI!H81</f>
        <v>8000</v>
      </c>
      <c r="M82" s="118">
        <f>[2]sales_BI!L81</f>
        <v>0</v>
      </c>
      <c r="N82" s="91">
        <v>0</v>
      </c>
      <c r="O82" s="1"/>
    </row>
    <row r="83" spans="2:15" x14ac:dyDescent="0.2">
      <c r="B83" s="28">
        <f>[2]sales_BI!J82</f>
        <v>46080</v>
      </c>
      <c r="C83" s="28" t="str">
        <f>[2]sales_BI!$K$2</f>
        <v>04:36 p. m.</v>
      </c>
      <c r="D83" s="28" t="s">
        <v>160</v>
      </c>
      <c r="E83" s="28" t="str">
        <f>[2]sales!C85</f>
        <v>Chorizo</v>
      </c>
      <c r="F83" s="257">
        <f>+VLOOKUP(sales[[#This Row],[Fecha]],maestro!A:C,3,0)</f>
        <v>1</v>
      </c>
      <c r="G83" s="257"/>
      <c r="H83" s="28" t="str">
        <f>+VLOOKUP(sales[[#This Row],[Fecha]],maestro!A:D,4,0)</f>
        <v>C) Viernes</v>
      </c>
      <c r="I83" t="str">
        <f t="shared" si="5"/>
        <v>vie</v>
      </c>
      <c r="J83" t="str">
        <f t="shared" si="6"/>
        <v>febrero</v>
      </c>
      <c r="K83" s="1">
        <f t="shared" si="7"/>
        <v>0</v>
      </c>
      <c r="L83" s="145">
        <f>[2]sales_BI!H82</f>
        <v>8000</v>
      </c>
      <c r="M83" s="118">
        <f>[2]sales_BI!L82</f>
        <v>0</v>
      </c>
      <c r="N83" s="91">
        <v>0</v>
      </c>
      <c r="O83" s="1"/>
    </row>
    <row r="84" spans="2:15" x14ac:dyDescent="0.2">
      <c r="B84" s="28">
        <f>[2]sales_BI!J83</f>
        <v>46080</v>
      </c>
      <c r="C84" s="28" t="str">
        <f>[2]sales_BI!$K$2</f>
        <v>04:36 p. m.</v>
      </c>
      <c r="D84" s="28" t="s">
        <v>160</v>
      </c>
      <c r="E84" s="28" t="str">
        <f>[2]sales!C86</f>
        <v>Postobon</v>
      </c>
      <c r="F84" s="257">
        <f>+VLOOKUP(sales[[#This Row],[Fecha]],maestro!A:C,3,0)</f>
        <v>1</v>
      </c>
      <c r="G84" s="257"/>
      <c r="H84" s="28" t="str">
        <f>+VLOOKUP(sales[[#This Row],[Fecha]],maestro!A:D,4,0)</f>
        <v>C) Viernes</v>
      </c>
      <c r="I84" t="str">
        <f t="shared" si="5"/>
        <v>vie</v>
      </c>
      <c r="J84" t="str">
        <f t="shared" si="6"/>
        <v>febrero</v>
      </c>
      <c r="K84" s="1">
        <f t="shared" si="7"/>
        <v>0</v>
      </c>
      <c r="L84" s="145">
        <f>[2]sales_BI!H83</f>
        <v>3000</v>
      </c>
      <c r="M84" s="118">
        <f>[2]sales_BI!L83</f>
        <v>0</v>
      </c>
      <c r="N84" s="91">
        <v>0</v>
      </c>
      <c r="O84" s="1"/>
    </row>
    <row r="85" spans="2:15" x14ac:dyDescent="0.2">
      <c r="B85" s="28">
        <f>[2]sales_BI!J84</f>
        <v>46080</v>
      </c>
      <c r="C85" s="28" t="str">
        <f>[2]sales_BI!$K$2</f>
        <v>04:36 p. m.</v>
      </c>
      <c r="D85" s="28" t="s">
        <v>160</v>
      </c>
      <c r="E85" s="28" t="str">
        <f>[2]sales!C87</f>
        <v>Chorizo</v>
      </c>
      <c r="F85" s="257">
        <f>+VLOOKUP(sales[[#This Row],[Fecha]],maestro!A:C,3,0)</f>
        <v>1</v>
      </c>
      <c r="G85" s="257"/>
      <c r="H85" s="28" t="str">
        <f>+VLOOKUP(sales[[#This Row],[Fecha]],maestro!A:D,4,0)</f>
        <v>C) Viernes</v>
      </c>
      <c r="I85" t="str">
        <f t="shared" si="5"/>
        <v>vie</v>
      </c>
      <c r="J85" t="str">
        <f t="shared" si="6"/>
        <v>febrero</v>
      </c>
      <c r="K85" s="1">
        <f t="shared" si="7"/>
        <v>2800</v>
      </c>
      <c r="L85" s="145">
        <f>[2]sales_BI!H84</f>
        <v>8000</v>
      </c>
      <c r="M85" s="118">
        <f>[2]sales_BI!L84</f>
        <v>8000</v>
      </c>
      <c r="N85" s="91">
        <v>0</v>
      </c>
      <c r="O85" s="1"/>
    </row>
    <row r="86" spans="2:15" x14ac:dyDescent="0.2">
      <c r="B86" s="28">
        <f>[2]sales_BI!J85</f>
        <v>46080</v>
      </c>
      <c r="C86" s="28" t="str">
        <f>[2]sales_BI!$K$2</f>
        <v>04:36 p. m.</v>
      </c>
      <c r="D86" s="28" t="s">
        <v>160</v>
      </c>
      <c r="E86" s="28" t="str">
        <f>[2]sales!C88</f>
        <v>Chorizo</v>
      </c>
      <c r="F86" s="257">
        <f>+VLOOKUP(sales[[#This Row],[Fecha]],maestro!A:C,3,0)</f>
        <v>1</v>
      </c>
      <c r="G86" s="257"/>
      <c r="H86" s="28" t="str">
        <f>+VLOOKUP(sales[[#This Row],[Fecha]],maestro!A:D,4,0)</f>
        <v>C) Viernes</v>
      </c>
      <c r="I86" t="str">
        <f t="shared" si="5"/>
        <v>vie</v>
      </c>
      <c r="J86" t="str">
        <f t="shared" si="6"/>
        <v>febrero</v>
      </c>
      <c r="K86" s="1">
        <f t="shared" si="7"/>
        <v>2800</v>
      </c>
      <c r="L86" s="145">
        <f>[2]sales_BI!H85</f>
        <v>8000</v>
      </c>
      <c r="M86" s="118">
        <f>[2]sales_BI!L85</f>
        <v>8000</v>
      </c>
      <c r="N86" s="91">
        <v>0</v>
      </c>
      <c r="O86" s="1"/>
    </row>
    <row r="87" spans="2:15" x14ac:dyDescent="0.2">
      <c r="B87" s="28">
        <f>[2]sales_BI!J86</f>
        <v>46080</v>
      </c>
      <c r="C87" s="28" t="str">
        <f>[2]sales_BI!$K$2</f>
        <v>04:36 p. m.</v>
      </c>
      <c r="D87" s="28" t="s">
        <v>160</v>
      </c>
      <c r="E87" s="28" t="str">
        <f>[2]sales!C89</f>
        <v>parri tres carnes</v>
      </c>
      <c r="F87" s="257">
        <f>+VLOOKUP(sales[[#This Row],[Fecha]],maestro!A:C,3,0)</f>
        <v>1</v>
      </c>
      <c r="G87" s="257"/>
      <c r="H87" s="28" t="str">
        <f>+VLOOKUP(sales[[#This Row],[Fecha]],maestro!A:D,4,0)</f>
        <v>C) Viernes</v>
      </c>
      <c r="I87" t="str">
        <f t="shared" si="5"/>
        <v>vie</v>
      </c>
      <c r="J87" t="str">
        <f t="shared" si="6"/>
        <v>febrero</v>
      </c>
      <c r="K87" s="1">
        <f t="shared" si="7"/>
        <v>12250</v>
      </c>
      <c r="L87" s="145">
        <f>[2]sales_BI!H86</f>
        <v>35000</v>
      </c>
      <c r="M87" s="118">
        <f>[2]sales_BI!L86</f>
        <v>35000</v>
      </c>
      <c r="N87" s="91">
        <v>0</v>
      </c>
      <c r="O87" s="1"/>
    </row>
    <row r="88" spans="2:15" x14ac:dyDescent="0.2">
      <c r="B88" s="28">
        <f>[2]sales_BI!J87</f>
        <v>46080</v>
      </c>
      <c r="C88" s="28" t="str">
        <f>[2]sales_BI!$K$2</f>
        <v>04:36 p. m.</v>
      </c>
      <c r="D88" s="28" t="s">
        <v>160</v>
      </c>
      <c r="E88" s="28" t="str">
        <f>[2]sales!C90</f>
        <v>tinto</v>
      </c>
      <c r="F88" s="257">
        <f>+VLOOKUP(sales[[#This Row],[Fecha]],maestro!A:C,3,0)</f>
        <v>1</v>
      </c>
      <c r="G88" s="257"/>
      <c r="H88" s="28" t="str">
        <f>+VLOOKUP(sales[[#This Row],[Fecha]],maestro!A:D,4,0)</f>
        <v>C) Viernes</v>
      </c>
      <c r="I88" t="str">
        <f t="shared" si="5"/>
        <v>vie</v>
      </c>
      <c r="J88" t="str">
        <f t="shared" si="6"/>
        <v>febrero</v>
      </c>
      <c r="K88" s="1">
        <f t="shared" si="7"/>
        <v>700</v>
      </c>
      <c r="L88" s="145">
        <f>[2]sales_BI!H87</f>
        <v>2000</v>
      </c>
      <c r="M88" s="118">
        <f>[2]sales_BI!L87</f>
        <v>2000</v>
      </c>
      <c r="N88" s="91">
        <v>0</v>
      </c>
      <c r="O88" s="1"/>
    </row>
    <row r="89" spans="2:15" x14ac:dyDescent="0.2">
      <c r="B89" s="28">
        <f>[2]sales_BI!J88</f>
        <v>46080</v>
      </c>
      <c r="C89" s="28" t="str">
        <f>[2]sales_BI!$K$2</f>
        <v>04:36 p. m.</v>
      </c>
      <c r="D89" s="28" t="s">
        <v>160</v>
      </c>
      <c r="E89" s="28" t="str">
        <f>[2]sales!C91</f>
        <v>Chorizo</v>
      </c>
      <c r="F89" s="257">
        <f>+VLOOKUP(sales[[#This Row],[Fecha]],maestro!A:C,3,0)</f>
        <v>1</v>
      </c>
      <c r="G89" s="257"/>
      <c r="H89" s="28" t="str">
        <f>+VLOOKUP(sales[[#This Row],[Fecha]],maestro!A:D,4,0)</f>
        <v>C) Viernes</v>
      </c>
      <c r="I89" t="str">
        <f t="shared" si="5"/>
        <v>vie</v>
      </c>
      <c r="J89" t="str">
        <f t="shared" si="6"/>
        <v>febrero</v>
      </c>
      <c r="K89" s="1">
        <f t="shared" si="7"/>
        <v>8400</v>
      </c>
      <c r="L89" s="145">
        <f>[2]sales_BI!H88</f>
        <v>24000</v>
      </c>
      <c r="M89" s="118">
        <f>[2]sales_BI!L88</f>
        <v>24000</v>
      </c>
      <c r="N89" s="91">
        <v>30000</v>
      </c>
      <c r="O89" s="1"/>
    </row>
    <row r="90" spans="2:15" x14ac:dyDescent="0.2">
      <c r="B90" s="28">
        <f>[2]sales_BI!J89</f>
        <v>46080</v>
      </c>
      <c r="C90" s="28" t="str">
        <f>[2]sales_BI!$K$2</f>
        <v>04:36 p. m.</v>
      </c>
      <c r="D90" s="28" t="s">
        <v>160</v>
      </c>
      <c r="E90" s="28" t="str">
        <f>[2]sales!C92</f>
        <v>Coca cola</v>
      </c>
      <c r="F90" s="257">
        <f>+VLOOKUP(sales[[#This Row],[Fecha]],maestro!A:C,3,0)</f>
        <v>1</v>
      </c>
      <c r="G90" s="257"/>
      <c r="H90" s="28" t="str">
        <f>+VLOOKUP(sales[[#This Row],[Fecha]],maestro!A:D,4,0)</f>
        <v>C) Viernes</v>
      </c>
      <c r="I90" t="str">
        <f t="shared" si="5"/>
        <v>vie</v>
      </c>
      <c r="J90" t="str">
        <f t="shared" si="6"/>
        <v>febrero</v>
      </c>
      <c r="K90" s="1">
        <f t="shared" si="7"/>
        <v>2100</v>
      </c>
      <c r="L90" s="145">
        <f>[2]sales_BI!H89</f>
        <v>6000</v>
      </c>
      <c r="M90" s="118">
        <f>[2]sales_BI!L89</f>
        <v>6000</v>
      </c>
      <c r="N90" s="91">
        <v>0</v>
      </c>
      <c r="O90" s="1"/>
    </row>
    <row r="91" spans="2:15" x14ac:dyDescent="0.2">
      <c r="B91" s="28">
        <f>[2]sales_BI!J90</f>
        <v>46080</v>
      </c>
      <c r="C91" s="28" t="str">
        <f>[2]sales_BI!$K$2</f>
        <v>04:36 p. m.</v>
      </c>
      <c r="D91" s="28" t="s">
        <v>160</v>
      </c>
      <c r="E91" s="28" t="str">
        <f>[2]sales!C93</f>
        <v>parri tres carnes</v>
      </c>
      <c r="F91" s="257">
        <f>+VLOOKUP(sales[[#This Row],[Fecha]],maestro!A:C,3,0)</f>
        <v>1</v>
      </c>
      <c r="G91" s="257"/>
      <c r="H91" s="28" t="str">
        <f>+VLOOKUP(sales[[#This Row],[Fecha]],maestro!A:D,4,0)</f>
        <v>C) Viernes</v>
      </c>
      <c r="I91" t="str">
        <f t="shared" si="5"/>
        <v>vie</v>
      </c>
      <c r="J91" t="str">
        <f t="shared" si="6"/>
        <v>febrero</v>
      </c>
      <c r="K91" s="1">
        <f t="shared" si="7"/>
        <v>12250</v>
      </c>
      <c r="L91" s="145">
        <f>[2]sales_BI!H90</f>
        <v>35000</v>
      </c>
      <c r="M91" s="118">
        <f>[2]sales_BI!L90</f>
        <v>35000</v>
      </c>
      <c r="N91" s="91">
        <v>0</v>
      </c>
      <c r="O91" s="1"/>
    </row>
    <row r="92" spans="2:15" x14ac:dyDescent="0.2">
      <c r="B92" s="28">
        <f>[2]sales_BI!J91</f>
        <v>46080</v>
      </c>
      <c r="C92" s="28" t="str">
        <f>[2]sales_BI!$K$2</f>
        <v>04:36 p. m.</v>
      </c>
      <c r="D92" s="28" t="s">
        <v>160</v>
      </c>
      <c r="E92" s="28" t="str">
        <f>[2]sales!C94</f>
        <v>Chorizo</v>
      </c>
      <c r="F92" s="257">
        <f>+VLOOKUP(sales[[#This Row],[Fecha]],maestro!A:C,3,0)</f>
        <v>1</v>
      </c>
      <c r="G92" s="257"/>
      <c r="H92" s="28" t="str">
        <f>+VLOOKUP(sales[[#This Row],[Fecha]],maestro!A:D,4,0)</f>
        <v>C) Viernes</v>
      </c>
      <c r="I92" t="str">
        <f t="shared" si="5"/>
        <v>vie</v>
      </c>
      <c r="J92" t="str">
        <f t="shared" si="6"/>
        <v>febrero</v>
      </c>
      <c r="K92" s="1">
        <f t="shared" si="7"/>
        <v>5600</v>
      </c>
      <c r="L92" s="145">
        <f>[2]sales_BI!H91</f>
        <v>16000</v>
      </c>
      <c r="M92" s="118">
        <f>[2]sales_BI!L91</f>
        <v>16000</v>
      </c>
      <c r="N92" s="91">
        <v>0</v>
      </c>
      <c r="O92" s="1"/>
    </row>
    <row r="93" spans="2:15" x14ac:dyDescent="0.2">
      <c r="B93" s="28">
        <f>[2]sales_BI!J92</f>
        <v>46080</v>
      </c>
      <c r="C93" s="28" t="str">
        <f>[2]sales_BI!$K$2</f>
        <v>04:36 p. m.</v>
      </c>
      <c r="D93" s="28" t="s">
        <v>160</v>
      </c>
      <c r="E93" s="28" t="str">
        <f>[2]sales!C95</f>
        <v>Coca cola</v>
      </c>
      <c r="F93" s="257">
        <f>+VLOOKUP(sales[[#This Row],[Fecha]],maestro!A:C,3,0)</f>
        <v>1</v>
      </c>
      <c r="G93" s="257"/>
      <c r="H93" s="28" t="str">
        <f>+VLOOKUP(sales[[#This Row],[Fecha]],maestro!A:D,4,0)</f>
        <v>C) Viernes</v>
      </c>
      <c r="I93" t="str">
        <f t="shared" si="5"/>
        <v>vie</v>
      </c>
      <c r="J93" t="str">
        <f t="shared" si="6"/>
        <v>febrero</v>
      </c>
      <c r="K93" s="1">
        <f t="shared" ref="K93:K98" si="8">+M93*0.35</f>
        <v>1050</v>
      </c>
      <c r="L93" s="145">
        <f>[2]sales_BI!H92</f>
        <v>3000</v>
      </c>
      <c r="M93" s="118">
        <f>[2]sales_BI!L92</f>
        <v>3000</v>
      </c>
      <c r="N93" s="91">
        <v>0</v>
      </c>
      <c r="O93" s="1"/>
    </row>
    <row r="94" spans="2:15" x14ac:dyDescent="0.2">
      <c r="B94" s="28">
        <f>[2]sales_BI!J93</f>
        <v>46080</v>
      </c>
      <c r="C94" s="28" t="str">
        <f>[2]sales_BI!$K$2</f>
        <v>04:36 p. m.</v>
      </c>
      <c r="D94" s="28" t="s">
        <v>160</v>
      </c>
      <c r="E94" s="28" t="str">
        <f>[2]sales!C96</f>
        <v>Chorizo</v>
      </c>
      <c r="F94" s="257">
        <f>+VLOOKUP(sales[[#This Row],[Fecha]],maestro!A:C,3,0)</f>
        <v>1</v>
      </c>
      <c r="G94" s="257"/>
      <c r="H94" s="28" t="str">
        <f>+VLOOKUP(sales[[#This Row],[Fecha]],maestro!A:D,4,0)</f>
        <v>C) Viernes</v>
      </c>
      <c r="I94" t="str">
        <f t="shared" si="5"/>
        <v>vie</v>
      </c>
      <c r="J94" t="str">
        <f t="shared" si="6"/>
        <v>febrero</v>
      </c>
      <c r="K94" s="1">
        <f t="shared" si="8"/>
        <v>0</v>
      </c>
      <c r="L94" s="145">
        <f>[2]sales_BI!H93</f>
        <v>24000</v>
      </c>
      <c r="M94" s="118">
        <f>[2]sales_BI!L93</f>
        <v>0</v>
      </c>
      <c r="N94" s="91">
        <v>0</v>
      </c>
      <c r="O94" s="1"/>
    </row>
    <row r="95" spans="2:15" x14ac:dyDescent="0.2">
      <c r="B95" s="28">
        <f>[2]sales_BI!J94</f>
        <v>46080</v>
      </c>
      <c r="C95" s="28" t="str">
        <f>[2]sales_BI!$K$2</f>
        <v>04:36 p. m.</v>
      </c>
      <c r="D95" s="28" t="s">
        <v>160</v>
      </c>
      <c r="E95" s="28" t="str">
        <f>[2]sales!C97</f>
        <v>Agua</v>
      </c>
      <c r="F95" s="257">
        <f>+VLOOKUP(sales[[#This Row],[Fecha]],maestro!A:C,3,0)</f>
        <v>1</v>
      </c>
      <c r="G95" s="257"/>
      <c r="H95" s="28" t="str">
        <f>+VLOOKUP(sales[[#This Row],[Fecha]],maestro!A:D,4,0)</f>
        <v>C) Viernes</v>
      </c>
      <c r="I95" t="str">
        <f t="shared" si="5"/>
        <v>vie</v>
      </c>
      <c r="J95" t="str">
        <f t="shared" si="6"/>
        <v>febrero</v>
      </c>
      <c r="K95" s="1">
        <f t="shared" si="8"/>
        <v>0</v>
      </c>
      <c r="L95" s="145">
        <f>[2]sales_BI!H94</f>
        <v>3000</v>
      </c>
      <c r="M95" s="118">
        <f>[2]sales_BI!L94</f>
        <v>0</v>
      </c>
      <c r="N95" s="91">
        <v>0</v>
      </c>
      <c r="O95" s="184">
        <f>'Cuentas x Pagar'!$L$26</f>
        <v>0</v>
      </c>
    </row>
    <row r="96" spans="2:15" x14ac:dyDescent="0.2">
      <c r="B96" s="28">
        <f>[2]sales_BI!J95</f>
        <v>46080</v>
      </c>
      <c r="C96" s="28" t="str">
        <f>[2]sales_BI!$K$2</f>
        <v>04:36 p. m.</v>
      </c>
      <c r="D96" s="28" t="s">
        <v>160</v>
      </c>
      <c r="E96" s="28" t="str">
        <f>[2]sales!C98</f>
        <v>Chorizo</v>
      </c>
      <c r="F96" s="257">
        <f>+VLOOKUP(sales[[#This Row],[Fecha]],maestro!A:C,3,0)</f>
        <v>1</v>
      </c>
      <c r="G96" s="257"/>
      <c r="H96" s="28" t="str">
        <f>+VLOOKUP(sales[[#This Row],[Fecha]],maestro!A:D,4,0)</f>
        <v>C) Viernes</v>
      </c>
      <c r="I96" t="str">
        <f t="shared" si="5"/>
        <v>vie</v>
      </c>
      <c r="J96" t="str">
        <f t="shared" si="6"/>
        <v>febrero</v>
      </c>
      <c r="K96" s="1">
        <f t="shared" si="8"/>
        <v>0</v>
      </c>
      <c r="L96" s="145">
        <f>[2]sales_BI!H95</f>
        <v>8000</v>
      </c>
      <c r="M96" s="118">
        <f>[2]sales_BI!L95</f>
        <v>0</v>
      </c>
      <c r="N96" s="146">
        <v>0</v>
      </c>
      <c r="O96" s="1"/>
    </row>
    <row r="97" spans="2:15" x14ac:dyDescent="0.2">
      <c r="B97" s="28">
        <f>[2]sales_BI!J96</f>
        <v>46080</v>
      </c>
      <c r="C97" s="28" t="str">
        <f>[2]sales_BI!$K$2</f>
        <v>04:36 p. m.</v>
      </c>
      <c r="D97" s="28" t="s">
        <v>160</v>
      </c>
      <c r="E97" s="28" t="str">
        <f>[2]sales!C99</f>
        <v>Chorizo</v>
      </c>
      <c r="F97" s="257">
        <f>+VLOOKUP(sales[[#This Row],[Fecha]],maestro!A:C,3,0)</f>
        <v>1</v>
      </c>
      <c r="G97" s="257"/>
      <c r="H97" s="28" t="str">
        <f>+VLOOKUP(sales[[#This Row],[Fecha]],maestro!A:D,4,0)</f>
        <v>C) Viernes</v>
      </c>
      <c r="I97" t="str">
        <f t="shared" si="5"/>
        <v>vie</v>
      </c>
      <c r="J97" t="str">
        <f t="shared" si="6"/>
        <v>febrero</v>
      </c>
      <c r="K97" s="1">
        <f t="shared" si="8"/>
        <v>0</v>
      </c>
      <c r="L97" s="145">
        <f>[2]sales_BI!H96</f>
        <v>16000</v>
      </c>
      <c r="M97" s="118">
        <f>[2]sales_BI!L96</f>
        <v>0</v>
      </c>
      <c r="N97" s="91">
        <v>0</v>
      </c>
      <c r="O97" s="1"/>
    </row>
    <row r="98" spans="2:15" x14ac:dyDescent="0.2">
      <c r="B98" s="28">
        <f>[2]sales_BI!J97</f>
        <v>46080</v>
      </c>
      <c r="C98" s="28" t="str">
        <f>[2]sales_BI!$K$2</f>
        <v>04:36 p. m.</v>
      </c>
      <c r="D98" s="28" t="s">
        <v>160</v>
      </c>
      <c r="E98" s="28" t="str">
        <f>[2]sales!C100</f>
        <v>Chorizo</v>
      </c>
      <c r="F98" s="257">
        <f>+VLOOKUP(sales[[#This Row],[Fecha]],maestro!A:C,3,0)</f>
        <v>1</v>
      </c>
      <c r="G98" s="257"/>
      <c r="H98" s="28" t="str">
        <f>+VLOOKUP(sales[[#This Row],[Fecha]],maestro!A:D,4,0)</f>
        <v>C) Viernes</v>
      </c>
      <c r="I98" t="str">
        <f t="shared" si="5"/>
        <v>vie</v>
      </c>
      <c r="J98" t="str">
        <f t="shared" si="6"/>
        <v>febrero</v>
      </c>
      <c r="K98" s="1">
        <f t="shared" si="8"/>
        <v>11200</v>
      </c>
      <c r="L98" s="145">
        <f>[2]sales_BI!H97</f>
        <v>32000</v>
      </c>
      <c r="M98" s="118">
        <f>[2]sales_BI!L97</f>
        <v>32000</v>
      </c>
      <c r="N98" s="91">
        <v>0</v>
      </c>
      <c r="O98" s="1"/>
    </row>
    <row r="99" spans="2:15" x14ac:dyDescent="0.2">
      <c r="B99" s="28">
        <f>[2]sales_BI!J98</f>
        <v>46080</v>
      </c>
      <c r="C99" s="28" t="str">
        <f>[2]sales_BI!$K$2</f>
        <v>04:36 p. m.</v>
      </c>
      <c r="D99" s="28" t="s">
        <v>160</v>
      </c>
      <c r="E99" s="28" t="str">
        <f>[2]sales!C101</f>
        <v>Coca cola</v>
      </c>
      <c r="F99" s="257">
        <f>+VLOOKUP(sales[[#This Row],[Fecha]],maestro!A:C,3,0)</f>
        <v>1</v>
      </c>
      <c r="G99" s="257"/>
      <c r="H99" s="28" t="str">
        <f>+VLOOKUP(sales[[#This Row],[Fecha]],maestro!A:D,4,0)</f>
        <v>C) Viernes</v>
      </c>
      <c r="I99" t="str">
        <f t="shared" si="5"/>
        <v>vie</v>
      </c>
      <c r="J99" t="str">
        <f t="shared" si="6"/>
        <v>febrero</v>
      </c>
      <c r="K99" s="1">
        <f>+M99*0.35</f>
        <v>3150</v>
      </c>
      <c r="L99" s="145">
        <f>[2]sales_BI!H98</f>
        <v>9000</v>
      </c>
      <c r="M99" s="118">
        <f>[2]sales_BI!L98</f>
        <v>9000</v>
      </c>
      <c r="N99" s="91">
        <v>0</v>
      </c>
      <c r="O99" s="1"/>
    </row>
    <row r="100" spans="2:15" x14ac:dyDescent="0.2">
      <c r="B100" s="28">
        <f>[2]sales_BI!J99</f>
        <v>46080</v>
      </c>
      <c r="C100" s="28" t="str">
        <f>[2]sales_BI!$K$2</f>
        <v>04:36 p. m.</v>
      </c>
      <c r="D100" s="28" t="s">
        <v>160</v>
      </c>
      <c r="E100" s="28" t="str">
        <f>[2]sales!C102</f>
        <v>Chorizo</v>
      </c>
      <c r="F100" s="257">
        <f>+VLOOKUP(sales[[#This Row],[Fecha]],maestro!A:C,3,0)</f>
        <v>1</v>
      </c>
      <c r="G100" s="257"/>
      <c r="H100" s="28" t="str">
        <f>+VLOOKUP(sales[[#This Row],[Fecha]],maestro!A:D,4,0)</f>
        <v>C) Viernes</v>
      </c>
      <c r="I100" t="str">
        <f t="shared" si="5"/>
        <v>vie</v>
      </c>
      <c r="J100" t="str">
        <f t="shared" si="6"/>
        <v>febrero</v>
      </c>
      <c r="K100" s="1">
        <f>+M100*0.35</f>
        <v>2800</v>
      </c>
      <c r="L100" s="145">
        <f>[2]sales_BI!H99</f>
        <v>8000</v>
      </c>
      <c r="M100" s="118">
        <f>[2]sales_BI!L99</f>
        <v>8000</v>
      </c>
      <c r="N100" s="91">
        <v>0</v>
      </c>
      <c r="O100" s="1"/>
    </row>
    <row r="101" spans="2:15" x14ac:dyDescent="0.2">
      <c r="B101" s="28">
        <f>[2]sales_BI!J100</f>
        <v>46081</v>
      </c>
      <c r="C101" s="28" t="str">
        <f>[2]sales_BI!$K$2</f>
        <v>04:36 p. m.</v>
      </c>
      <c r="D101" s="28" t="s">
        <v>160</v>
      </c>
      <c r="E101" s="28" t="str">
        <f>[2]sales!C103</f>
        <v>Chori- CRUDO</v>
      </c>
      <c r="F101" s="257">
        <f>+VLOOKUP(sales[[#This Row],[Fecha]],maestro!A:C,3,0)</f>
        <v>1</v>
      </c>
      <c r="G101" s="257"/>
      <c r="H101" s="28" t="str">
        <f>+VLOOKUP(sales[[#This Row],[Fecha]],maestro!A:D,4,0)</f>
        <v>C) Sábado</v>
      </c>
      <c r="I101" t="str">
        <f t="shared" si="5"/>
        <v>sáb</v>
      </c>
      <c r="J101" t="str">
        <f t="shared" si="6"/>
        <v>febrero</v>
      </c>
      <c r="K101" s="1">
        <f>+M101*0.35</f>
        <v>9450</v>
      </c>
      <c r="L101" s="145">
        <f>[2]sales_BI!H100</f>
        <v>27000</v>
      </c>
      <c r="M101" s="118">
        <f>[2]sales_BI!L100</f>
        <v>27000</v>
      </c>
      <c r="N101" s="91">
        <v>0</v>
      </c>
      <c r="O101" s="1"/>
    </row>
    <row r="102" spans="2:15" x14ac:dyDescent="0.2">
      <c r="B102" s="28">
        <f>[2]sales_BI!J101</f>
        <v>46081</v>
      </c>
      <c r="C102" s="28" t="str">
        <f>[2]sales_BI!$K$2</f>
        <v>04:36 p. m.</v>
      </c>
      <c r="D102" s="28" t="s">
        <v>160</v>
      </c>
      <c r="E102" s="28" t="str">
        <f>[2]sales!C104</f>
        <v>Chorizo</v>
      </c>
      <c r="F102" s="257">
        <f>+VLOOKUP(sales[[#This Row],[Fecha]],maestro!A:C,3,0)</f>
        <v>1</v>
      </c>
      <c r="G102" s="257"/>
      <c r="H102" s="28" t="str">
        <f>+VLOOKUP(sales[[#This Row],[Fecha]],maestro!A:D,4,0)</f>
        <v>C) Sábado</v>
      </c>
      <c r="I102" t="str">
        <f t="shared" si="5"/>
        <v>sáb</v>
      </c>
      <c r="J102" t="str">
        <f t="shared" si="6"/>
        <v>febrero</v>
      </c>
      <c r="K102" s="1">
        <f t="shared" ref="K102:K122" si="9">+M102*0.35</f>
        <v>0</v>
      </c>
      <c r="L102" s="145">
        <f>[2]sales_BI!H101</f>
        <v>16000</v>
      </c>
      <c r="M102" s="118">
        <f>[2]sales_BI!L101</f>
        <v>0</v>
      </c>
      <c r="N102" s="91">
        <v>0</v>
      </c>
      <c r="O102" s="1"/>
    </row>
    <row r="103" spans="2:15" x14ac:dyDescent="0.2">
      <c r="B103" s="28">
        <f>[2]sales_BI!J102</f>
        <v>46081</v>
      </c>
      <c r="C103" s="28" t="str">
        <f>[2]sales_BI!$K$2</f>
        <v>04:36 p. m.</v>
      </c>
      <c r="D103" s="28" t="s">
        <v>160</v>
      </c>
      <c r="E103" s="28" t="str">
        <f>[2]sales!C105</f>
        <v>Agua</v>
      </c>
      <c r="F103" s="257">
        <f>+VLOOKUP(sales[[#This Row],[Fecha]],maestro!A:C,3,0)</f>
        <v>1</v>
      </c>
      <c r="G103" s="257"/>
      <c r="H103" s="28" t="str">
        <f>+VLOOKUP(sales[[#This Row],[Fecha]],maestro!A:D,4,0)</f>
        <v>C) Sábado</v>
      </c>
      <c r="I103" t="str">
        <f t="shared" si="5"/>
        <v>sáb</v>
      </c>
      <c r="J103" t="str">
        <f t="shared" si="6"/>
        <v>febrero</v>
      </c>
      <c r="K103" s="1">
        <f t="shared" si="9"/>
        <v>0</v>
      </c>
      <c r="L103" s="145">
        <f>[2]sales_BI!H102</f>
        <v>3000</v>
      </c>
      <c r="M103" s="118">
        <f>[2]sales_BI!L102</f>
        <v>0</v>
      </c>
      <c r="N103" s="91">
        <v>0</v>
      </c>
      <c r="O103" s="1"/>
    </row>
    <row r="104" spans="2:15" x14ac:dyDescent="0.2">
      <c r="B104" s="28">
        <f>[2]sales_BI!J103</f>
        <v>46081</v>
      </c>
      <c r="C104" s="28" t="str">
        <f>[2]sales_BI!$K$2</f>
        <v>04:36 p. m.</v>
      </c>
      <c r="D104" s="28" t="s">
        <v>160</v>
      </c>
      <c r="E104" s="28" t="str">
        <f>[2]sales!C106</f>
        <v>Chorizo</v>
      </c>
      <c r="F104" s="257">
        <f>+VLOOKUP(sales[[#This Row],[Fecha]],maestro!A:C,3,0)</f>
        <v>1</v>
      </c>
      <c r="G104" s="257"/>
      <c r="H104" s="28" t="str">
        <f>+VLOOKUP(sales[[#This Row],[Fecha]],maestro!A:D,4,0)</f>
        <v>C) Sábado</v>
      </c>
      <c r="I104" t="str">
        <f t="shared" si="5"/>
        <v>sáb</v>
      </c>
      <c r="J104" t="str">
        <f t="shared" si="6"/>
        <v>febrero</v>
      </c>
      <c r="K104" s="1">
        <f t="shared" si="9"/>
        <v>0</v>
      </c>
      <c r="L104" s="145">
        <f>[2]sales_BI!H103</f>
        <v>8000</v>
      </c>
      <c r="M104" s="118">
        <f>[2]sales_BI!L103</f>
        <v>0</v>
      </c>
      <c r="N104" s="91">
        <v>0</v>
      </c>
      <c r="O104" s="1"/>
    </row>
    <row r="105" spans="2:15" x14ac:dyDescent="0.2">
      <c r="B105" s="28">
        <f>[2]sales_BI!J104</f>
        <v>46081</v>
      </c>
      <c r="C105" s="28" t="str">
        <f>[2]sales_BI!$K$2</f>
        <v>04:36 p. m.</v>
      </c>
      <c r="D105" s="28" t="s">
        <v>160</v>
      </c>
      <c r="E105" s="28" t="str">
        <f>[2]sales!C107</f>
        <v>tinto</v>
      </c>
      <c r="F105" s="257">
        <f>+VLOOKUP(sales[[#This Row],[Fecha]],maestro!A:C,3,0)</f>
        <v>1</v>
      </c>
      <c r="G105" s="257"/>
      <c r="H105" s="28" t="str">
        <f>+VLOOKUP(sales[[#This Row],[Fecha]],maestro!A:D,4,0)</f>
        <v>C) Sábado</v>
      </c>
      <c r="I105" t="str">
        <f t="shared" si="5"/>
        <v>sáb</v>
      </c>
      <c r="J105" t="str">
        <f t="shared" si="6"/>
        <v>febrero</v>
      </c>
      <c r="K105" s="1">
        <f t="shared" si="9"/>
        <v>0</v>
      </c>
      <c r="L105" s="145">
        <f>[2]sales_BI!H104</f>
        <v>2000</v>
      </c>
      <c r="M105" s="118">
        <f>[2]sales_BI!L104</f>
        <v>0</v>
      </c>
      <c r="N105" s="91">
        <v>0</v>
      </c>
      <c r="O105" s="1"/>
    </row>
    <row r="106" spans="2:15" x14ac:dyDescent="0.2">
      <c r="B106" s="28">
        <f>[2]sales_BI!J105</f>
        <v>46081</v>
      </c>
      <c r="C106" s="28" t="str">
        <f>[2]sales_BI!$K$2</f>
        <v>04:36 p. m.</v>
      </c>
      <c r="D106" s="28" t="s">
        <v>160</v>
      </c>
      <c r="E106" s="28" t="str">
        <f>[2]sales!C108</f>
        <v>Chorizo</v>
      </c>
      <c r="F106" s="257">
        <f>+VLOOKUP(sales[[#This Row],[Fecha]],maestro!A:C,3,0)</f>
        <v>1</v>
      </c>
      <c r="G106" s="257"/>
      <c r="H106" s="28" t="str">
        <f>+VLOOKUP(sales[[#This Row],[Fecha]],maestro!A:D,4,0)</f>
        <v>C) Sábado</v>
      </c>
      <c r="I106" t="str">
        <f t="shared" si="5"/>
        <v>sáb</v>
      </c>
      <c r="J106" t="str">
        <f t="shared" si="6"/>
        <v>febrero</v>
      </c>
      <c r="K106" s="1">
        <f t="shared" si="9"/>
        <v>5600</v>
      </c>
      <c r="L106" s="145">
        <f>[2]sales_BI!H105</f>
        <v>16000</v>
      </c>
      <c r="M106" s="118">
        <f>[2]sales_BI!L105</f>
        <v>16000</v>
      </c>
      <c r="N106" s="91">
        <v>0</v>
      </c>
      <c r="O106" s="1"/>
    </row>
    <row r="107" spans="2:15" x14ac:dyDescent="0.2">
      <c r="B107" s="28">
        <f>[2]sales_BI!J106</f>
        <v>46081</v>
      </c>
      <c r="C107" s="28" t="str">
        <f>[2]sales_BI!$K$2</f>
        <v>04:36 p. m.</v>
      </c>
      <c r="D107" s="28" t="s">
        <v>160</v>
      </c>
      <c r="E107" s="28" t="str">
        <f>[2]sales!C109</f>
        <v>Coca cola</v>
      </c>
      <c r="F107" s="257">
        <f>+VLOOKUP(sales[[#This Row],[Fecha]],maestro!A:C,3,0)</f>
        <v>1</v>
      </c>
      <c r="G107" s="257"/>
      <c r="H107" s="28" t="str">
        <f>+VLOOKUP(sales[[#This Row],[Fecha]],maestro!A:D,4,0)</f>
        <v>C) Sábado</v>
      </c>
      <c r="I107" t="str">
        <f t="shared" si="5"/>
        <v>sáb</v>
      </c>
      <c r="J107" t="str">
        <f t="shared" si="6"/>
        <v>febrero</v>
      </c>
      <c r="K107" s="1">
        <f t="shared" si="9"/>
        <v>1050</v>
      </c>
      <c r="L107" s="145">
        <f>[2]sales_BI!H106</f>
        <v>3000</v>
      </c>
      <c r="M107" s="118">
        <f>[2]sales_BI!L106</f>
        <v>3000</v>
      </c>
      <c r="N107" s="91">
        <v>0</v>
      </c>
      <c r="O107" s="1"/>
    </row>
    <row r="108" spans="2:15" x14ac:dyDescent="0.2">
      <c r="B108" s="28">
        <f>[2]sales_BI!J107</f>
        <v>46081</v>
      </c>
      <c r="C108" s="28" t="str">
        <f>[2]sales_BI!$K$2</f>
        <v>04:36 p. m.</v>
      </c>
      <c r="D108" s="28" t="s">
        <v>160</v>
      </c>
      <c r="E108" s="28" t="str">
        <f>[2]sales!C110</f>
        <v>Chorizo</v>
      </c>
      <c r="F108" s="257">
        <f>+VLOOKUP(sales[[#This Row],[Fecha]],maestro!A:C,3,0)</f>
        <v>1</v>
      </c>
      <c r="G108" s="257"/>
      <c r="H108" s="28" t="str">
        <f>+VLOOKUP(sales[[#This Row],[Fecha]],maestro!A:D,4,0)</f>
        <v>C) Sábado</v>
      </c>
      <c r="I108" t="str">
        <f t="shared" si="5"/>
        <v>sáb</v>
      </c>
      <c r="J108" t="str">
        <f t="shared" si="6"/>
        <v>febrero</v>
      </c>
      <c r="K108" s="1">
        <f t="shared" si="9"/>
        <v>5600</v>
      </c>
      <c r="L108" s="145">
        <f>[2]sales_BI!H107</f>
        <v>16000</v>
      </c>
      <c r="M108" s="118">
        <f>[2]sales_BI!L107</f>
        <v>16000</v>
      </c>
      <c r="N108" s="91">
        <v>0</v>
      </c>
      <c r="O108" s="1"/>
    </row>
    <row r="109" spans="2:15" x14ac:dyDescent="0.2">
      <c r="B109" s="28">
        <f>[2]sales_BI!J108</f>
        <v>46081</v>
      </c>
      <c r="C109" s="28" t="str">
        <f>[2]sales_BI!$K$2</f>
        <v>04:36 p. m.</v>
      </c>
      <c r="D109" s="28" t="s">
        <v>160</v>
      </c>
      <c r="E109" s="28" t="str">
        <f>[2]sales!C111</f>
        <v>Coca cola</v>
      </c>
      <c r="F109" s="257">
        <f>+VLOOKUP(sales[[#This Row],[Fecha]],maestro!A:C,3,0)</f>
        <v>1</v>
      </c>
      <c r="G109" s="257"/>
      <c r="H109" s="28" t="str">
        <f>+VLOOKUP(sales[[#This Row],[Fecha]],maestro!A:D,4,0)</f>
        <v>C) Sábado</v>
      </c>
      <c r="I109" t="str">
        <f t="shared" si="5"/>
        <v>sáb</v>
      </c>
      <c r="J109" t="str">
        <f t="shared" si="6"/>
        <v>febrero</v>
      </c>
      <c r="K109" s="1">
        <f>+VLOOKUP(sales[[#This Row],[nombre_producto]],products!A:C,3,0)</f>
        <v>1200</v>
      </c>
      <c r="L109" s="145">
        <f>[2]sales_BI!H108</f>
        <v>3000</v>
      </c>
      <c r="M109" s="118">
        <f>[2]sales_BI!L108</f>
        <v>3000</v>
      </c>
      <c r="N109" s="91">
        <v>0</v>
      </c>
      <c r="O109" s="1"/>
    </row>
    <row r="110" spans="2:15" x14ac:dyDescent="0.2">
      <c r="B110" s="28">
        <f>[2]sales_BI!J109</f>
        <v>46081</v>
      </c>
      <c r="C110" s="28" t="str">
        <f>[2]sales_BI!$K$2</f>
        <v>04:36 p. m.</v>
      </c>
      <c r="D110" s="28" t="s">
        <v>160</v>
      </c>
      <c r="E110" s="28" t="str">
        <f>[2]sales!C112</f>
        <v>Chorizo</v>
      </c>
      <c r="F110" s="257">
        <f>+VLOOKUP(sales[[#This Row],[Fecha]],maestro!A:C,3,0)</f>
        <v>1</v>
      </c>
      <c r="G110" s="257"/>
      <c r="H110" s="28" t="str">
        <f>+VLOOKUP(sales[[#This Row],[Fecha]],maestro!A:D,4,0)</f>
        <v>C) Sábado</v>
      </c>
      <c r="I110" t="str">
        <f t="shared" si="5"/>
        <v>sáb</v>
      </c>
      <c r="J110" t="str">
        <f t="shared" si="6"/>
        <v>febrero</v>
      </c>
      <c r="K110" s="1">
        <f t="shared" si="9"/>
        <v>2800</v>
      </c>
      <c r="L110" s="145">
        <f>[2]sales_BI!H109</f>
        <v>8000</v>
      </c>
      <c r="M110" s="118">
        <f>[2]sales_BI!L109</f>
        <v>8000</v>
      </c>
      <c r="N110" s="91">
        <v>0</v>
      </c>
      <c r="O110" s="1"/>
    </row>
    <row r="111" spans="2:15" x14ac:dyDescent="0.2">
      <c r="B111" s="28">
        <f>[2]sales_BI!J110</f>
        <v>46081</v>
      </c>
      <c r="C111" s="28" t="str">
        <f>[2]sales_BI!$K$2</f>
        <v>04:36 p. m.</v>
      </c>
      <c r="D111" s="28" t="s">
        <v>160</v>
      </c>
      <c r="E111" s="28" t="str">
        <f>[2]sales!C113</f>
        <v>Coca cola</v>
      </c>
      <c r="F111" s="257">
        <f>+VLOOKUP(sales[[#This Row],[Fecha]],maestro!A:C,3,0)</f>
        <v>1</v>
      </c>
      <c r="G111" s="257"/>
      <c r="H111" s="28" t="str">
        <f>+VLOOKUP(sales[[#This Row],[Fecha]],maestro!A:D,4,0)</f>
        <v>C) Sábado</v>
      </c>
      <c r="I111" t="str">
        <f t="shared" si="5"/>
        <v>sáb</v>
      </c>
      <c r="J111" t="str">
        <f t="shared" si="6"/>
        <v>febrero</v>
      </c>
      <c r="K111" s="1">
        <f t="shared" si="9"/>
        <v>1050</v>
      </c>
      <c r="L111" s="145">
        <f>[2]sales_BI!H110</f>
        <v>3000</v>
      </c>
      <c r="M111" s="118">
        <f>[2]sales_BI!L110</f>
        <v>3000</v>
      </c>
      <c r="N111" s="91">
        <v>0</v>
      </c>
      <c r="O111" s="1"/>
    </row>
    <row r="112" spans="2:15" x14ac:dyDescent="0.2">
      <c r="B112" s="28">
        <f>[2]sales_BI!J111</f>
        <v>46081</v>
      </c>
      <c r="C112" s="28" t="str">
        <f>[2]sales_BI!$K$2</f>
        <v>04:36 p. m.</v>
      </c>
      <c r="D112" s="28" t="s">
        <v>160</v>
      </c>
      <c r="E112" s="28" t="str">
        <f>[2]sales!C114</f>
        <v>Chorizo</v>
      </c>
      <c r="F112" s="257">
        <f>+VLOOKUP(sales[[#This Row],[Fecha]],maestro!A:C,3,0)</f>
        <v>1</v>
      </c>
      <c r="G112" s="257"/>
      <c r="H112" s="28" t="str">
        <f>+VLOOKUP(sales[[#This Row],[Fecha]],maestro!A:D,4,0)</f>
        <v>C) Sábado</v>
      </c>
      <c r="I112" t="str">
        <f t="shared" si="5"/>
        <v>sáb</v>
      </c>
      <c r="J112" t="str">
        <f t="shared" si="6"/>
        <v>febrero</v>
      </c>
      <c r="K112" s="1">
        <f t="shared" si="9"/>
        <v>11200</v>
      </c>
      <c r="L112" s="145">
        <f>[2]sales_BI!H111</f>
        <v>32000</v>
      </c>
      <c r="M112" s="118">
        <f>[2]sales_BI!L111</f>
        <v>32000</v>
      </c>
      <c r="N112" s="91">
        <v>0</v>
      </c>
      <c r="O112" s="1"/>
    </row>
    <row r="113" spans="2:29" x14ac:dyDescent="0.2">
      <c r="B113" s="28">
        <f>[2]sales_BI!J112</f>
        <v>46081</v>
      </c>
      <c r="C113" s="28" t="str">
        <f>[2]sales_BI!$K$2</f>
        <v>04:36 p. m.</v>
      </c>
      <c r="D113" s="28" t="s">
        <v>160</v>
      </c>
      <c r="E113" s="28" t="str">
        <f>[2]sales!C115</f>
        <v>Coca cola</v>
      </c>
      <c r="F113" s="257">
        <f>+VLOOKUP(sales[[#This Row],[Fecha]],maestro!A:C,3,0)</f>
        <v>1</v>
      </c>
      <c r="G113" s="257"/>
      <c r="H113" s="28" t="str">
        <f>+VLOOKUP(sales[[#This Row],[Fecha]],maestro!A:D,4,0)</f>
        <v>C) Sábado</v>
      </c>
      <c r="I113" t="str">
        <f t="shared" si="5"/>
        <v>sáb</v>
      </c>
      <c r="J113" t="str">
        <f t="shared" si="6"/>
        <v>febrero</v>
      </c>
      <c r="K113" s="1">
        <f t="shared" si="9"/>
        <v>2100</v>
      </c>
      <c r="L113" s="145">
        <f>[2]sales_BI!H112</f>
        <v>6000</v>
      </c>
      <c r="M113" s="118">
        <f>[2]sales_BI!L112</f>
        <v>6000</v>
      </c>
      <c r="N113" s="91">
        <v>25000</v>
      </c>
      <c r="O113" s="1"/>
    </row>
    <row r="114" spans="2:29" x14ac:dyDescent="0.2">
      <c r="B114" s="28">
        <f>[2]sales_BI!J113</f>
        <v>46081</v>
      </c>
      <c r="C114" s="28" t="str">
        <f>[2]sales_BI!$K$2</f>
        <v>04:36 p. m.</v>
      </c>
      <c r="D114" s="28" t="s">
        <v>160</v>
      </c>
      <c r="E114" s="28" t="str">
        <f>[2]sales!C116</f>
        <v>Chorizo</v>
      </c>
      <c r="F114" s="257">
        <f>+VLOOKUP(sales[[#This Row],[Fecha]],maestro!A:C,3,0)</f>
        <v>1</v>
      </c>
      <c r="G114" s="257"/>
      <c r="H114" s="28" t="str">
        <f>+VLOOKUP(sales[[#This Row],[Fecha]],maestro!A:D,4,0)</f>
        <v>C) Sábado</v>
      </c>
      <c r="I114" t="str">
        <f t="shared" si="5"/>
        <v>sáb</v>
      </c>
      <c r="J114" t="str">
        <f t="shared" si="6"/>
        <v>febrero</v>
      </c>
      <c r="K114" s="1">
        <f t="shared" si="9"/>
        <v>5600</v>
      </c>
      <c r="L114" s="145">
        <f>[2]sales_BI!H113</f>
        <v>16000</v>
      </c>
      <c r="M114" s="118">
        <f>[2]sales_BI!L113</f>
        <v>16000</v>
      </c>
      <c r="N114" s="91">
        <v>0</v>
      </c>
      <c r="O114" s="1"/>
    </row>
    <row r="115" spans="2:29" x14ac:dyDescent="0.2">
      <c r="B115" s="28">
        <f>[2]sales_BI!J114</f>
        <v>46081</v>
      </c>
      <c r="C115" s="28" t="str">
        <f>[2]sales_BI!$K$2</f>
        <v>04:36 p. m.</v>
      </c>
      <c r="D115" s="28" t="s">
        <v>160</v>
      </c>
      <c r="E115" s="28" t="str">
        <f>[2]sales!C117</f>
        <v>Chorizo</v>
      </c>
      <c r="F115" s="257">
        <f>+VLOOKUP(sales[[#This Row],[Fecha]],maestro!A:C,3,0)</f>
        <v>1</v>
      </c>
      <c r="G115" s="257"/>
      <c r="H115" s="28" t="str">
        <f>+VLOOKUP(sales[[#This Row],[Fecha]],maestro!A:D,4,0)</f>
        <v>C) Sábado</v>
      </c>
      <c r="I115" t="str">
        <f t="shared" si="5"/>
        <v>sáb</v>
      </c>
      <c r="J115" t="str">
        <f t="shared" si="6"/>
        <v>febrero</v>
      </c>
      <c r="K115" s="1">
        <f t="shared" si="9"/>
        <v>8400</v>
      </c>
      <c r="L115" s="145">
        <f>[2]sales_BI!H114</f>
        <v>24000</v>
      </c>
      <c r="M115" s="118">
        <f>[2]sales_BI!L114</f>
        <v>24000</v>
      </c>
      <c r="N115" s="91">
        <v>0</v>
      </c>
      <c r="O115" s="1"/>
    </row>
    <row r="116" spans="2:29" x14ac:dyDescent="0.2">
      <c r="B116" s="28">
        <f>[2]sales_BI!J115</f>
        <v>46081</v>
      </c>
      <c r="C116" s="28" t="str">
        <f>[2]sales_BI!$K$2</f>
        <v>04:36 p. m.</v>
      </c>
      <c r="D116" s="28" t="s">
        <v>160</v>
      </c>
      <c r="E116" s="28" t="str">
        <f>[2]sales!C118</f>
        <v>Hit</v>
      </c>
      <c r="F116" s="257">
        <f>+VLOOKUP(sales[[#This Row],[Fecha]],maestro!A:C,3,0)</f>
        <v>1</v>
      </c>
      <c r="G116" s="257"/>
      <c r="H116" s="28" t="str">
        <f>+VLOOKUP(sales[[#This Row],[Fecha]],maestro!A:D,4,0)</f>
        <v>C) Sábado</v>
      </c>
      <c r="I116" t="str">
        <f t="shared" si="5"/>
        <v>sáb</v>
      </c>
      <c r="J116" t="str">
        <f t="shared" si="6"/>
        <v>febrero</v>
      </c>
      <c r="K116" s="1">
        <f t="shared" si="9"/>
        <v>1575</v>
      </c>
      <c r="L116" s="145">
        <f>[2]sales_BI!H115</f>
        <v>4500</v>
      </c>
      <c r="M116" s="118">
        <f>[2]sales_BI!L115</f>
        <v>4500</v>
      </c>
      <c r="N116" s="91">
        <v>0</v>
      </c>
      <c r="O116" s="1"/>
    </row>
    <row r="117" spans="2:29" x14ac:dyDescent="0.2">
      <c r="B117" s="28">
        <f>[2]sales_BI!J116</f>
        <v>46081</v>
      </c>
      <c r="C117" s="28" t="str">
        <f>[2]sales_BI!$K$2</f>
        <v>04:36 p. m.</v>
      </c>
      <c r="D117" s="28" t="s">
        <v>160</v>
      </c>
      <c r="E117" s="28" t="str">
        <f>[2]sales!C119</f>
        <v>parri tres carnes</v>
      </c>
      <c r="F117" s="257">
        <f>+VLOOKUP(sales[[#This Row],[Fecha]],maestro!A:C,3,0)</f>
        <v>1</v>
      </c>
      <c r="G117" s="257"/>
      <c r="H117" s="28" t="str">
        <f>+VLOOKUP(sales[[#This Row],[Fecha]],maestro!A:D,4,0)</f>
        <v>C) Sábado</v>
      </c>
      <c r="I117" t="str">
        <f t="shared" si="5"/>
        <v>sáb</v>
      </c>
      <c r="J117" t="str">
        <f t="shared" si="6"/>
        <v>febrero</v>
      </c>
      <c r="K117" s="1">
        <f t="shared" si="9"/>
        <v>12250</v>
      </c>
      <c r="L117" s="145">
        <f>[2]sales_BI!H116</f>
        <v>35000</v>
      </c>
      <c r="M117" s="118">
        <f>[2]sales_BI!L116</f>
        <v>35000</v>
      </c>
      <c r="N117" s="91">
        <v>0</v>
      </c>
      <c r="O117" s="1"/>
    </row>
    <row r="118" spans="2:29" x14ac:dyDescent="0.2">
      <c r="B118" s="28">
        <f>[2]sales_BI!J117</f>
        <v>46081</v>
      </c>
      <c r="C118" s="28" t="str">
        <f>[2]sales_BI!$K$2</f>
        <v>04:36 p. m.</v>
      </c>
      <c r="D118" s="28" t="s">
        <v>160</v>
      </c>
      <c r="E118" s="28" t="str">
        <f>[2]sales!C120</f>
        <v>parri tres carnes</v>
      </c>
      <c r="F118" s="257">
        <f>+VLOOKUP(sales[[#This Row],[Fecha]],maestro!A:C,3,0)</f>
        <v>1</v>
      </c>
      <c r="G118" s="257"/>
      <c r="H118" s="28" t="str">
        <f>+VLOOKUP(sales[[#This Row],[Fecha]],maestro!A:D,4,0)</f>
        <v>C) Sábado</v>
      </c>
      <c r="I118" t="str">
        <f t="shared" si="5"/>
        <v>sáb</v>
      </c>
      <c r="J118" t="str">
        <f t="shared" si="6"/>
        <v>febrero</v>
      </c>
      <c r="K118" s="1">
        <f t="shared" si="9"/>
        <v>12250</v>
      </c>
      <c r="L118" s="145">
        <f>[2]sales_BI!H117</f>
        <v>35000</v>
      </c>
      <c r="M118" s="118">
        <f>[2]sales_BI!L117</f>
        <v>35000</v>
      </c>
      <c r="N118" s="91">
        <v>0</v>
      </c>
      <c r="O118" s="1"/>
    </row>
    <row r="119" spans="2:29" x14ac:dyDescent="0.2">
      <c r="B119" s="28">
        <f>[2]sales_BI!J118</f>
        <v>46081</v>
      </c>
      <c r="C119" s="28" t="str">
        <f>[2]sales_BI!$K$2</f>
        <v>04:36 p. m.</v>
      </c>
      <c r="D119" s="28" t="s">
        <v>160</v>
      </c>
      <c r="E119" s="28" t="str">
        <f>[2]sales!C121</f>
        <v>parri 48</v>
      </c>
      <c r="F119" s="257">
        <f>+VLOOKUP(sales[[#This Row],[Fecha]],maestro!A:C,3,0)</f>
        <v>1</v>
      </c>
      <c r="G119" s="257"/>
      <c r="H119" s="28" t="str">
        <f>+VLOOKUP(sales[[#This Row],[Fecha]],maestro!A:D,4,0)</f>
        <v>C) Sábado</v>
      </c>
      <c r="I119" t="str">
        <f t="shared" si="5"/>
        <v>sáb</v>
      </c>
      <c r="J119" t="str">
        <f t="shared" si="6"/>
        <v>febrero</v>
      </c>
      <c r="K119" s="1">
        <f t="shared" si="9"/>
        <v>16800</v>
      </c>
      <c r="L119" s="145">
        <f>[2]sales_BI!H118</f>
        <v>48000</v>
      </c>
      <c r="M119" s="118">
        <f>[2]sales_BI!L118</f>
        <v>48000</v>
      </c>
      <c r="N119" s="91">
        <v>0</v>
      </c>
      <c r="O119" s="1"/>
    </row>
    <row r="120" spans="2:29" x14ac:dyDescent="0.2">
      <c r="B120" s="28">
        <f>[2]sales_BI!J119</f>
        <v>46081</v>
      </c>
      <c r="C120" s="28" t="str">
        <f>[2]sales_BI!$K$2</f>
        <v>04:36 p. m.</v>
      </c>
      <c r="D120" s="28" t="s">
        <v>160</v>
      </c>
      <c r="E120" s="28" t="str">
        <f>[2]sales!C122</f>
        <v>parri 70</v>
      </c>
      <c r="F120" s="257">
        <f>+VLOOKUP(sales[[#This Row],[Fecha]],maestro!A:C,3,0)</f>
        <v>1</v>
      </c>
      <c r="G120" s="257"/>
      <c r="H120" s="28" t="str">
        <f>+VLOOKUP(sales[[#This Row],[Fecha]],maestro!A:D,4,0)</f>
        <v>C) Sábado</v>
      </c>
      <c r="I120" t="str">
        <f t="shared" si="5"/>
        <v>sáb</v>
      </c>
      <c r="J120" t="str">
        <f t="shared" si="6"/>
        <v>febrero</v>
      </c>
      <c r="K120" s="1">
        <f t="shared" si="9"/>
        <v>49000</v>
      </c>
      <c r="L120" s="145">
        <f>[2]sales_BI!H119</f>
        <v>140000</v>
      </c>
      <c r="M120" s="118">
        <f>[2]sales_BI!L119</f>
        <v>140000</v>
      </c>
      <c r="N120" s="91">
        <v>0</v>
      </c>
      <c r="O120" s="1"/>
    </row>
    <row r="121" spans="2:29" x14ac:dyDescent="0.2">
      <c r="B121" s="28">
        <f>[2]sales_BI!J120</f>
        <v>46081</v>
      </c>
      <c r="C121" s="28" t="str">
        <f>[2]sales_BI!$K$2</f>
        <v>04:36 p. m.</v>
      </c>
      <c r="D121" s="28" t="s">
        <v>160</v>
      </c>
      <c r="E121" s="28" t="str">
        <f>[2]sales!C123</f>
        <v>parri 40</v>
      </c>
      <c r="F121" s="257">
        <f>+VLOOKUP(sales[[#This Row],[Fecha]],maestro!A:C,3,0)</f>
        <v>1</v>
      </c>
      <c r="G121" s="257"/>
      <c r="H121" s="28" t="str">
        <f>+VLOOKUP(sales[[#This Row],[Fecha]],maestro!A:D,4,0)</f>
        <v>C) Sábado</v>
      </c>
      <c r="I121" t="str">
        <f t="shared" si="5"/>
        <v>sáb</v>
      </c>
      <c r="J121" t="str">
        <f t="shared" si="6"/>
        <v>febrero</v>
      </c>
      <c r="K121" s="1">
        <f t="shared" si="9"/>
        <v>14000</v>
      </c>
      <c r="L121" s="145">
        <f>[2]sales_BI!H120</f>
        <v>40000</v>
      </c>
      <c r="M121" s="118">
        <f>[2]sales_BI!L120</f>
        <v>40000</v>
      </c>
      <c r="N121" s="91">
        <v>0</v>
      </c>
      <c r="O121" s="1"/>
    </row>
    <row r="122" spans="2:29" x14ac:dyDescent="0.2">
      <c r="B122" s="28">
        <f>[2]sales_BI!J121</f>
        <v>46081</v>
      </c>
      <c r="C122" s="28" t="str">
        <f>[2]sales_BI!$K$2</f>
        <v>04:36 p. m.</v>
      </c>
      <c r="D122" s="28" t="s">
        <v>160</v>
      </c>
      <c r="E122" s="28" t="str">
        <f>[2]sales!C124</f>
        <v>Chori- CRUDO</v>
      </c>
      <c r="F122" s="257">
        <f>+VLOOKUP(sales[[#This Row],[Fecha]],maestro!A:C,3,0)</f>
        <v>1</v>
      </c>
      <c r="G122" s="257"/>
      <c r="H122" s="28" t="str">
        <f>+VLOOKUP(sales[[#This Row],[Fecha]],maestro!A:D,4,0)</f>
        <v>C) Sábado</v>
      </c>
      <c r="I122" t="str">
        <f t="shared" si="5"/>
        <v>sáb</v>
      </c>
      <c r="J122" t="str">
        <f t="shared" si="6"/>
        <v>febrero</v>
      </c>
      <c r="K122" s="1">
        <f t="shared" si="9"/>
        <v>0</v>
      </c>
      <c r="L122" s="145">
        <f>[2]sales_BI!H121</f>
        <v>18000</v>
      </c>
      <c r="M122" s="118">
        <f>[2]sales_BI!L121</f>
        <v>0</v>
      </c>
      <c r="N122" s="91">
        <v>0</v>
      </c>
      <c r="O122" s="1"/>
    </row>
    <row r="123" spans="2:29" x14ac:dyDescent="0.2">
      <c r="AC123" s="98"/>
    </row>
    <row r="124" spans="2:29" x14ac:dyDescent="0.2">
      <c r="AC124" s="98"/>
    </row>
  </sheetData>
  <conditionalFormatting sqref="F3:G122">
    <cfRule type="containsText" dxfId="27" priority="134" operator="containsText" text="D) Domingo">
      <formula>NOT(ISERROR(SEARCH("D) Domingo",F3)))</formula>
    </cfRule>
    <cfRule type="containsText" dxfId="26" priority="135" operator="containsText" text="viernes">
      <formula>NOT(ISERROR(SEARCH("viernes",F3)))</formula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A3"/>
  </sheetPr>
  <dimension ref="A1:I13"/>
  <sheetViews>
    <sheetView tabSelected="1" workbookViewId="0">
      <selection sqref="A1:I13"/>
    </sheetView>
  </sheetViews>
  <sheetFormatPr baseColWidth="10" defaultRowHeight="14.25" x14ac:dyDescent="0.2"/>
  <cols>
    <col min="1" max="1" width="14.75" bestFit="1" customWidth="1"/>
    <col min="2" max="2" width="14.75" customWidth="1"/>
    <col min="3" max="3" width="13.75" style="4" bestFit="1" customWidth="1"/>
    <col min="7" max="7" width="11.375" bestFit="1" customWidth="1"/>
  </cols>
  <sheetData>
    <row r="1" spans="1:9" x14ac:dyDescent="0.2">
      <c r="A1" s="179" t="s">
        <v>411</v>
      </c>
      <c r="B1" s="179" t="s">
        <v>441</v>
      </c>
      <c r="C1" s="271" t="s">
        <v>440</v>
      </c>
    </row>
    <row r="2" spans="1:9" x14ac:dyDescent="0.2">
      <c r="A2" s="260" t="s">
        <v>425</v>
      </c>
      <c r="B2" s="273">
        <v>8000</v>
      </c>
      <c r="C2" s="272">
        <f>3500+8000</f>
        <v>11500</v>
      </c>
    </row>
    <row r="3" spans="1:9" x14ac:dyDescent="0.2">
      <c r="A3" s="261" t="s">
        <v>436</v>
      </c>
      <c r="B3" s="273">
        <v>4500</v>
      </c>
      <c r="C3" s="272">
        <v>2416.6666666666665</v>
      </c>
    </row>
    <row r="4" spans="1:9" x14ac:dyDescent="0.2">
      <c r="A4" s="261" t="s">
        <v>430</v>
      </c>
      <c r="B4" s="273">
        <v>3000</v>
      </c>
      <c r="C4" s="272">
        <v>1200</v>
      </c>
    </row>
    <row r="5" spans="1:9" x14ac:dyDescent="0.2">
      <c r="A5" s="261" t="s">
        <v>340</v>
      </c>
      <c r="B5" s="273">
        <v>3000</v>
      </c>
      <c r="C5" s="272">
        <v>1200</v>
      </c>
    </row>
    <row r="6" spans="1:9" x14ac:dyDescent="0.2">
      <c r="A6" s="260" t="s">
        <v>431</v>
      </c>
      <c r="B6" s="273">
        <v>3000</v>
      </c>
      <c r="C6" s="272">
        <v>1166.6666666666667</v>
      </c>
      <c r="F6" t="s">
        <v>427</v>
      </c>
      <c r="G6" s="270">
        <v>33000</v>
      </c>
      <c r="H6">
        <v>24</v>
      </c>
      <c r="I6" s="270">
        <f t="shared" ref="I6:I8" si="0">+G6/H6</f>
        <v>1375</v>
      </c>
    </row>
    <row r="7" spans="1:9" x14ac:dyDescent="0.2">
      <c r="A7" s="261" t="s">
        <v>432</v>
      </c>
      <c r="B7" s="273">
        <v>4500</v>
      </c>
      <c r="C7" s="272">
        <v>3500</v>
      </c>
      <c r="F7" t="s">
        <v>426</v>
      </c>
      <c r="G7" s="270">
        <v>29000</v>
      </c>
      <c r="H7">
        <v>12</v>
      </c>
      <c r="I7" s="270">
        <f t="shared" si="0"/>
        <v>2416.6666666666665</v>
      </c>
    </row>
    <row r="8" spans="1:9" x14ac:dyDescent="0.2">
      <c r="A8" s="261" t="s">
        <v>433</v>
      </c>
      <c r="B8" s="273">
        <v>35000</v>
      </c>
      <c r="C8" s="4">
        <v>25000</v>
      </c>
      <c r="F8" t="s">
        <v>428</v>
      </c>
      <c r="G8" s="270">
        <v>35000</v>
      </c>
      <c r="H8">
        <v>30</v>
      </c>
      <c r="I8" s="270">
        <f t="shared" si="0"/>
        <v>1166.6666666666667</v>
      </c>
    </row>
    <row r="9" spans="1:9" x14ac:dyDescent="0.2">
      <c r="A9" s="260" t="s">
        <v>434</v>
      </c>
      <c r="B9" s="273">
        <v>25000</v>
      </c>
      <c r="C9" s="4">
        <v>15000</v>
      </c>
      <c r="F9" t="s">
        <v>429</v>
      </c>
      <c r="G9" s="270">
        <v>36000</v>
      </c>
      <c r="H9">
        <v>30</v>
      </c>
      <c r="I9" s="270">
        <f>+G9/H9</f>
        <v>1200</v>
      </c>
    </row>
    <row r="10" spans="1:9" x14ac:dyDescent="0.2">
      <c r="A10" s="261" t="s">
        <v>435</v>
      </c>
      <c r="B10" s="273">
        <v>2000</v>
      </c>
      <c r="C10" s="4">
        <v>800</v>
      </c>
    </row>
    <row r="11" spans="1:9" x14ac:dyDescent="0.2">
      <c r="A11" s="260" t="s">
        <v>437</v>
      </c>
      <c r="B11" s="273">
        <v>48000</v>
      </c>
      <c r="C11" s="4">
        <v>30000</v>
      </c>
    </row>
    <row r="12" spans="1:9" x14ac:dyDescent="0.2">
      <c r="A12" s="261" t="s">
        <v>438</v>
      </c>
      <c r="B12" s="273">
        <v>70000</v>
      </c>
      <c r="C12" s="4">
        <v>45000</v>
      </c>
    </row>
    <row r="13" spans="1:9" x14ac:dyDescent="0.2">
      <c r="A13" s="260" t="s">
        <v>439</v>
      </c>
      <c r="B13" s="273">
        <v>40000</v>
      </c>
      <c r="C13" s="4">
        <v>25000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A3"/>
  </sheetPr>
  <dimension ref="B1:U124"/>
  <sheetViews>
    <sheetView showGridLines="0" zoomScaleNormal="100" workbookViewId="0">
      <pane ySplit="2" topLeftCell="A6" activePane="bottomLeft" state="frozen"/>
      <selection pane="bottomLeft" activeCell="E10" sqref="E10"/>
    </sheetView>
  </sheetViews>
  <sheetFormatPr baseColWidth="10" defaultRowHeight="14.25" x14ac:dyDescent="0.2"/>
  <cols>
    <col min="1" max="1" width="4.625" customWidth="1"/>
    <col min="2" max="2" width="11" customWidth="1"/>
    <col min="3" max="3" width="9.5" bestFit="1" customWidth="1"/>
    <col min="4" max="6" width="11" customWidth="1"/>
    <col min="7" max="7" width="8.375" customWidth="1"/>
    <col min="10" max="10" width="11.25" customWidth="1"/>
    <col min="11" max="13" width="12.25" customWidth="1"/>
    <col min="14" max="14" width="12.25" bestFit="1" customWidth="1"/>
    <col min="18" max="18" width="15.75" bestFit="1" customWidth="1"/>
    <col min="19" max="19" width="13.25" bestFit="1" customWidth="1"/>
    <col min="20" max="20" width="13.25" customWidth="1"/>
  </cols>
  <sheetData>
    <row r="1" spans="2:18" x14ac:dyDescent="0.2">
      <c r="E1" s="3"/>
      <c r="F1" s="3"/>
    </row>
    <row r="2" spans="2:18" x14ac:dyDescent="0.2">
      <c r="B2" s="10" t="s">
        <v>149</v>
      </c>
      <c r="C2" s="10" t="s">
        <v>420</v>
      </c>
      <c r="D2" s="128" t="s">
        <v>259</v>
      </c>
      <c r="E2" s="127" t="s">
        <v>316</v>
      </c>
      <c r="F2" s="127" t="s">
        <v>423</v>
      </c>
      <c r="G2" s="2" t="s">
        <v>317</v>
      </c>
      <c r="H2" s="119" t="s">
        <v>340</v>
      </c>
      <c r="I2" s="119" t="s">
        <v>424</v>
      </c>
      <c r="J2" s="103" t="s">
        <v>342</v>
      </c>
      <c r="K2" s="127" t="s">
        <v>343</v>
      </c>
      <c r="L2" s="143" t="s">
        <v>421</v>
      </c>
      <c r="M2" s="143" t="s">
        <v>422</v>
      </c>
      <c r="N2" s="143" t="s">
        <v>346</v>
      </c>
      <c r="O2" s="10"/>
      <c r="R2" s="21"/>
    </row>
    <row r="3" spans="2:18" x14ac:dyDescent="0.2">
      <c r="B3" s="28">
        <v>46068</v>
      </c>
      <c r="C3" s="28" t="str">
        <f>+TEXT(sales2[[#This Row],[Fecha]],"ddd")</f>
        <v>dom</v>
      </c>
      <c r="D3" s="178">
        <f>+sales2[[#This Row],[Arriendo]]+sales2[[#This Row],[Gas]]+sales2[[#This Row],[Agua]]+sales2[[#This Row],[Electricidad]]+sales2[[#This Row],[Nomina]]</f>
        <v>0</v>
      </c>
      <c r="E3" s="177">
        <f>+VLOOKUP(sales2[[#This Row],[Fecha]],Opex!C:J,8,1)</f>
        <v>0</v>
      </c>
      <c r="F3" s="177">
        <f>+SUM(sales2[[#This Row],[Gas]:[Electricidad]])</f>
        <v>0</v>
      </c>
      <c r="G3" s="1"/>
      <c r="H3" s="1"/>
      <c r="I3" s="1"/>
      <c r="J3" s="1"/>
      <c r="K3" s="177">
        <f>+SUM(sales2[[#This Row],[Cajero]:[Domiciliario]])</f>
        <v>0</v>
      </c>
      <c r="L3" s="1">
        <v>0</v>
      </c>
      <c r="M3" s="1">
        <v>0</v>
      </c>
      <c r="N3" s="1">
        <v>0</v>
      </c>
      <c r="O3" s="1"/>
      <c r="Q3" t="e">
        <f>+#REF!</f>
        <v>#REF!</v>
      </c>
    </row>
    <row r="4" spans="2:18" x14ac:dyDescent="0.2">
      <c r="B4" s="28">
        <f>+B3+1</f>
        <v>46069</v>
      </c>
      <c r="C4" s="28" t="str">
        <f>+TEXT(sales2[[#This Row],[Fecha]],"ddd")</f>
        <v>lun</v>
      </c>
      <c r="D4" s="178">
        <f>+sales2[[#This Row],[Arriendo]]+sales2[[#This Row],[Gas]]+sales2[[#This Row],[Agua]]+sales2[[#This Row],[Electricidad]]+sales2[[#This Row],[Nomina]]</f>
        <v>0</v>
      </c>
      <c r="E4" s="177">
        <f>+VLOOKUP(sales2[[#This Row],[Fecha]],Opex!C:J,8,1)</f>
        <v>0</v>
      </c>
      <c r="F4" s="177">
        <f>+SUM(sales2[[#This Row],[Gas]:[Electricidad]])</f>
        <v>0</v>
      </c>
      <c r="G4" s="1"/>
      <c r="H4" s="1"/>
      <c r="I4" s="1"/>
      <c r="J4" s="1"/>
      <c r="K4" s="177">
        <f>+SUM(sales2[[#This Row],[Cajero]:[Domiciliario]])</f>
        <v>0</v>
      </c>
      <c r="L4" s="1">
        <v>0</v>
      </c>
      <c r="M4" s="1">
        <v>0</v>
      </c>
      <c r="N4" s="1">
        <v>0</v>
      </c>
      <c r="O4" s="1"/>
    </row>
    <row r="5" spans="2:18" x14ac:dyDescent="0.2">
      <c r="B5" s="28">
        <f t="shared" ref="B5:B68" si="0">+B4+1</f>
        <v>46070</v>
      </c>
      <c r="C5" s="28" t="str">
        <f>+TEXT(sales2[[#This Row],[Fecha]],"ddd")</f>
        <v>mar</v>
      </c>
      <c r="D5" s="178">
        <f>+sales2[[#This Row],[Arriendo]]+sales2[[#This Row],[Gas]]+sales2[[#This Row],[Agua]]+sales2[[#This Row],[Electricidad]]+sales2[[#This Row],[Nomina]]</f>
        <v>0</v>
      </c>
      <c r="E5" s="177">
        <f>+VLOOKUP(sales2[[#This Row],[Fecha]],Opex!C:J,8,1)</f>
        <v>0</v>
      </c>
      <c r="F5" s="177">
        <f>+SUM(sales2[[#This Row],[Gas]:[Electricidad]])</f>
        <v>0</v>
      </c>
      <c r="G5" s="1"/>
      <c r="H5" s="1"/>
      <c r="I5" s="1"/>
      <c r="J5" s="1"/>
      <c r="K5" s="177">
        <f>+SUM(sales2[[#This Row],[Cajero]:[Domiciliario]])</f>
        <v>0</v>
      </c>
      <c r="L5" s="1">
        <v>0</v>
      </c>
      <c r="M5" s="1">
        <v>0</v>
      </c>
      <c r="N5" s="1">
        <v>0</v>
      </c>
      <c r="O5" s="1"/>
    </row>
    <row r="6" spans="2:18" x14ac:dyDescent="0.2">
      <c r="B6" s="28">
        <f t="shared" si="0"/>
        <v>46071</v>
      </c>
      <c r="C6" s="28" t="str">
        <f>+TEXT(sales2[[#This Row],[Fecha]],"ddd")</f>
        <v>mié</v>
      </c>
      <c r="D6" s="178">
        <f>+sales2[[#This Row],[Arriendo]]+sales2[[#This Row],[Gas]]+sales2[[#This Row],[Agua]]+sales2[[#This Row],[Electricidad]]+sales2[[#This Row],[Nomina]]</f>
        <v>0</v>
      </c>
      <c r="E6" s="177">
        <f>+VLOOKUP(sales2[[#This Row],[Fecha]],Opex!C:J,8,1)</f>
        <v>0</v>
      </c>
      <c r="F6" s="177">
        <f>+SUM(sales2[[#This Row],[Gas]:[Electricidad]])</f>
        <v>0</v>
      </c>
      <c r="G6" s="1"/>
      <c r="H6" s="1"/>
      <c r="I6" s="1"/>
      <c r="J6" s="1"/>
      <c r="K6" s="177">
        <f>+SUM(sales2[[#This Row],[Cajero]:[Domiciliario]])</f>
        <v>0</v>
      </c>
      <c r="L6" s="1">
        <v>0</v>
      </c>
      <c r="M6" s="1">
        <v>0</v>
      </c>
      <c r="N6" s="1">
        <v>0</v>
      </c>
      <c r="O6" s="1"/>
    </row>
    <row r="7" spans="2:18" x14ac:dyDescent="0.2">
      <c r="B7" s="28">
        <f t="shared" si="0"/>
        <v>46072</v>
      </c>
      <c r="C7" s="28" t="str">
        <f>+TEXT(sales2[[#This Row],[Fecha]],"ddd")</f>
        <v>jue</v>
      </c>
      <c r="D7" s="178">
        <f>+sales2[[#This Row],[Arriendo]]+sales2[[#This Row],[Gas]]+sales2[[#This Row],[Agua]]+sales2[[#This Row],[Electricidad]]+sales2[[#This Row],[Nomina]]</f>
        <v>0</v>
      </c>
      <c r="E7" s="177">
        <f>+VLOOKUP(sales2[[#This Row],[Fecha]],Opex!C:J,8,1)</f>
        <v>0</v>
      </c>
      <c r="F7" s="177">
        <f>+SUM(sales2[[#This Row],[Gas]:[Electricidad]])</f>
        <v>0</v>
      </c>
      <c r="G7" s="1"/>
      <c r="H7" s="1"/>
      <c r="I7" s="1"/>
      <c r="J7" s="1"/>
      <c r="K7" s="177">
        <f>+SUM(sales2[[#This Row],[Cajero]:[Domiciliario]])</f>
        <v>0</v>
      </c>
      <c r="L7" s="1">
        <v>0</v>
      </c>
      <c r="M7" s="1">
        <v>0</v>
      </c>
      <c r="N7" s="1">
        <v>0</v>
      </c>
      <c r="O7" s="1"/>
    </row>
    <row r="8" spans="2:18" x14ac:dyDescent="0.2">
      <c r="B8" s="28">
        <f t="shared" si="0"/>
        <v>46073</v>
      </c>
      <c r="C8" s="28" t="str">
        <f>+TEXT(sales2[[#This Row],[Fecha]],"ddd")</f>
        <v>vie</v>
      </c>
      <c r="D8" s="178">
        <f>+sales2[[#This Row],[Arriendo]]+sales2[[#This Row],[Gas]]+sales2[[#This Row],[Agua]]+sales2[[#This Row],[Electricidad]]+sales2[[#This Row],[Nomina]]</f>
        <v>0</v>
      </c>
      <c r="E8" s="177">
        <f>+VLOOKUP(sales2[[#This Row],[Fecha]],Opex!C:J,8,1)</f>
        <v>0</v>
      </c>
      <c r="F8" s="177">
        <f>+SUM(sales2[[#This Row],[Gas]:[Electricidad]])</f>
        <v>0</v>
      </c>
      <c r="G8" s="1"/>
      <c r="H8" s="1"/>
      <c r="I8" s="1"/>
      <c r="J8" s="1"/>
      <c r="K8" s="177">
        <f>+SUM(sales2[[#This Row],[Cajero]:[Domiciliario]])</f>
        <v>0</v>
      </c>
      <c r="L8" s="1">
        <v>0</v>
      </c>
      <c r="M8" s="1">
        <v>0</v>
      </c>
      <c r="N8" s="1">
        <v>0</v>
      </c>
      <c r="O8" s="1"/>
      <c r="Q8">
        <f>25000*30</f>
        <v>750000</v>
      </c>
    </row>
    <row r="9" spans="2:18" x14ac:dyDescent="0.2">
      <c r="B9" s="28">
        <f t="shared" si="0"/>
        <v>46074</v>
      </c>
      <c r="C9" s="28" t="str">
        <f>+TEXT(sales2[[#This Row],[Fecha]],"ddd")</f>
        <v>sáb</v>
      </c>
      <c r="D9" s="178">
        <f>+sales2[[#This Row],[Arriendo]]+sales2[[#This Row],[Gas]]+sales2[[#This Row],[Agua]]+sales2[[#This Row],[Electricidad]]+sales2[[#This Row],[Nomina]]</f>
        <v>0</v>
      </c>
      <c r="E9" s="177">
        <f>+VLOOKUP(sales2[[#This Row],[Fecha]],Opex!C:J,8,1)</f>
        <v>0</v>
      </c>
      <c r="F9" s="177">
        <f>+SUM(sales2[[#This Row],[Gas]:[Electricidad]])</f>
        <v>0</v>
      </c>
      <c r="G9" s="1"/>
      <c r="H9" s="1"/>
      <c r="I9" s="1"/>
      <c r="J9" s="1"/>
      <c r="K9" s="177">
        <f>+SUM(sales2[[#This Row],[Cajero]:[Domiciliario]])</f>
        <v>0</v>
      </c>
      <c r="L9" s="1">
        <v>0</v>
      </c>
      <c r="M9" s="1">
        <v>0</v>
      </c>
      <c r="N9" s="1">
        <v>0</v>
      </c>
      <c r="O9" s="1"/>
    </row>
    <row r="10" spans="2:18" x14ac:dyDescent="0.2">
      <c r="B10" s="28">
        <f t="shared" si="0"/>
        <v>46075</v>
      </c>
      <c r="C10" s="28" t="str">
        <f>+TEXT(sales2[[#This Row],[Fecha]],"ddd")</f>
        <v>dom</v>
      </c>
      <c r="D10" s="178">
        <f>+sales2[[#This Row],[Arriendo]]+sales2[[#This Row],[Gas]]+sales2[[#This Row],[Agua]]+sales2[[#This Row],[Electricidad]]+sales2[[#This Row],[Nomina]]</f>
        <v>0</v>
      </c>
      <c r="E10" s="177">
        <f>+VLOOKUP(sales2[[#This Row],[Fecha]],Opex!C:J,8,1)</f>
        <v>0</v>
      </c>
      <c r="F10" s="177">
        <f>+SUM(sales2[[#This Row],[Gas]:[Electricidad]])</f>
        <v>0</v>
      </c>
      <c r="G10" s="1"/>
      <c r="H10" s="1"/>
      <c r="I10" s="1"/>
      <c r="J10" s="1"/>
      <c r="K10" s="177">
        <f>+SUM(sales2[[#This Row],[Cajero]:[Domiciliario]])</f>
        <v>0</v>
      </c>
      <c r="L10" s="1">
        <v>0</v>
      </c>
      <c r="M10" s="1">
        <v>0</v>
      </c>
      <c r="N10" s="1">
        <v>0</v>
      </c>
      <c r="O10" s="1"/>
    </row>
    <row r="11" spans="2:18" x14ac:dyDescent="0.2">
      <c r="B11" s="28">
        <f t="shared" si="0"/>
        <v>46076</v>
      </c>
      <c r="C11" s="28" t="str">
        <f>+TEXT(sales2[[#This Row],[Fecha]],"ddd")</f>
        <v>lun</v>
      </c>
      <c r="D11" s="178">
        <f>+sales2[[#This Row],[Arriendo]]+sales2[[#This Row],[Gas]]+sales2[[#This Row],[Agua]]+sales2[[#This Row],[Electricidad]]+sales2[[#This Row],[Nomina]]</f>
        <v>60000</v>
      </c>
      <c r="E11" s="177">
        <f>+VLOOKUP(sales2[[#This Row],[Fecha]],Opex!C:J,8,1)</f>
        <v>0</v>
      </c>
      <c r="F11" s="177">
        <f>+SUM(sales2[[#This Row],[Gas]:[Electricidad]])</f>
        <v>0</v>
      </c>
      <c r="G11" s="1"/>
      <c r="H11" s="1"/>
      <c r="I11" s="1"/>
      <c r="J11" s="1"/>
      <c r="K11" s="177">
        <f>+SUM(sales2[[#This Row],[Cajero]:[Domiciliario]])</f>
        <v>60000</v>
      </c>
      <c r="L11" s="1">
        <v>60000</v>
      </c>
      <c r="M11" s="1">
        <v>0</v>
      </c>
      <c r="N11" s="1">
        <v>0</v>
      </c>
      <c r="O11" s="1"/>
    </row>
    <row r="12" spans="2:18" x14ac:dyDescent="0.2">
      <c r="B12" s="28">
        <f t="shared" si="0"/>
        <v>46077</v>
      </c>
      <c r="C12" s="28" t="str">
        <f>+TEXT(sales2[[#This Row],[Fecha]],"ddd")</f>
        <v>mar</v>
      </c>
      <c r="D12" s="178">
        <f>+sales2[[#This Row],[Arriendo]]+sales2[[#This Row],[Gas]]+sales2[[#This Row],[Agua]]+sales2[[#This Row],[Electricidad]]+sales2[[#This Row],[Nomina]]</f>
        <v>70000</v>
      </c>
      <c r="E12" s="177">
        <f>+VLOOKUP(sales2[[#This Row],[Fecha]],Opex!C:J,8,1)</f>
        <v>0</v>
      </c>
      <c r="F12" s="177">
        <f>+SUM(sales2[[#This Row],[Gas]:[Electricidad]])</f>
        <v>0</v>
      </c>
      <c r="G12" s="1"/>
      <c r="H12" s="1"/>
      <c r="I12" s="1"/>
      <c r="J12" s="1"/>
      <c r="K12" s="177">
        <f>+SUM(sales2[[#This Row],[Cajero]:[Domiciliario]])</f>
        <v>70000</v>
      </c>
      <c r="L12" s="1">
        <v>70000</v>
      </c>
      <c r="M12" s="1">
        <v>0</v>
      </c>
      <c r="N12" s="1">
        <v>0</v>
      </c>
      <c r="O12" s="1"/>
    </row>
    <row r="13" spans="2:18" x14ac:dyDescent="0.2">
      <c r="B13" s="28">
        <f t="shared" si="0"/>
        <v>46078</v>
      </c>
      <c r="C13" s="28" t="str">
        <f>+TEXT(sales2[[#This Row],[Fecha]],"ddd")</f>
        <v>mié</v>
      </c>
      <c r="D13" s="178">
        <f>+sales2[[#This Row],[Arriendo]]+sales2[[#This Row],[Gas]]+sales2[[#This Row],[Agua]]+sales2[[#This Row],[Electricidad]]+sales2[[#This Row],[Nomina]]</f>
        <v>70000</v>
      </c>
      <c r="E13" s="177">
        <f>+VLOOKUP(sales2[[#This Row],[Fecha]],Opex!C:J,8,1)</f>
        <v>0</v>
      </c>
      <c r="F13" s="177">
        <f>+SUM(sales2[[#This Row],[Gas]:[Electricidad]])</f>
        <v>0</v>
      </c>
      <c r="G13" s="1"/>
      <c r="H13" s="1"/>
      <c r="I13" s="1"/>
      <c r="J13" s="1"/>
      <c r="K13" s="177">
        <f>+SUM(sales2[[#This Row],[Cajero]:[Domiciliario]])</f>
        <v>70000</v>
      </c>
      <c r="L13" s="1">
        <v>70000</v>
      </c>
      <c r="M13" s="1">
        <v>0</v>
      </c>
      <c r="N13" s="1">
        <v>0</v>
      </c>
      <c r="O13" s="1"/>
    </row>
    <row r="14" spans="2:18" x14ac:dyDescent="0.2">
      <c r="B14" s="28">
        <f t="shared" si="0"/>
        <v>46079</v>
      </c>
      <c r="C14" s="28" t="str">
        <f>+TEXT(sales2[[#This Row],[Fecha]],"ddd")</f>
        <v>jue</v>
      </c>
      <c r="D14" s="178">
        <f>+sales2[[#This Row],[Arriendo]]+sales2[[#This Row],[Gas]]+sales2[[#This Row],[Agua]]+sales2[[#This Row],[Electricidad]]+sales2[[#This Row],[Nomina]]</f>
        <v>70000</v>
      </c>
      <c r="E14" s="177">
        <f>+VLOOKUP(sales2[[#This Row],[Fecha]],Opex!C:J,8,1)</f>
        <v>0</v>
      </c>
      <c r="F14" s="177">
        <f>+SUM(sales2[[#This Row],[Gas]:[Electricidad]])</f>
        <v>0</v>
      </c>
      <c r="G14" s="1"/>
      <c r="H14" s="1"/>
      <c r="I14" s="1"/>
      <c r="J14" s="1"/>
      <c r="K14" s="177">
        <f>+SUM(sales2[[#This Row],[Cajero]:[Domiciliario]])</f>
        <v>70000</v>
      </c>
      <c r="L14" s="1">
        <v>70000</v>
      </c>
      <c r="M14" s="1">
        <v>0</v>
      </c>
      <c r="N14" s="1">
        <v>0</v>
      </c>
      <c r="O14" s="1"/>
    </row>
    <row r="15" spans="2:18" x14ac:dyDescent="0.2">
      <c r="B15" s="28">
        <f t="shared" si="0"/>
        <v>46080</v>
      </c>
      <c r="C15" s="28" t="str">
        <f>+TEXT(sales2[[#This Row],[Fecha]],"ddd")</f>
        <v>vie</v>
      </c>
      <c r="D15" s="178">
        <f>+sales2[[#This Row],[Arriendo]]+sales2[[#This Row],[Gas]]+sales2[[#This Row],[Agua]]+sales2[[#This Row],[Electricidad]]+sales2[[#This Row],[Nomina]]</f>
        <v>70000</v>
      </c>
      <c r="E15" s="177">
        <f>+VLOOKUP(sales2[[#This Row],[Fecha]],Opex!C:J,8,1)</f>
        <v>0</v>
      </c>
      <c r="F15" s="177">
        <f>+SUM(sales2[[#This Row],[Gas]:[Electricidad]])</f>
        <v>0</v>
      </c>
      <c r="G15" s="1"/>
      <c r="H15" s="1"/>
      <c r="I15" s="1"/>
      <c r="J15" s="1"/>
      <c r="K15" s="177">
        <f>+SUM(sales2[[#This Row],[Cajero]:[Domiciliario]])</f>
        <v>70000</v>
      </c>
      <c r="L15" s="1">
        <v>70000</v>
      </c>
      <c r="M15" s="1">
        <v>0</v>
      </c>
      <c r="N15" s="1">
        <v>0</v>
      </c>
      <c r="O15" s="1"/>
      <c r="P15" s="28"/>
    </row>
    <row r="16" spans="2:18" x14ac:dyDescent="0.2">
      <c r="B16" s="28">
        <f t="shared" si="0"/>
        <v>46081</v>
      </c>
      <c r="C16" s="28" t="str">
        <f>+TEXT(sales2[[#This Row],[Fecha]],"ddd")</f>
        <v>sáb</v>
      </c>
      <c r="D16" s="178">
        <f>+sales2[[#This Row],[Arriendo]]+sales2[[#This Row],[Gas]]+sales2[[#This Row],[Agua]]+sales2[[#This Row],[Electricidad]]+sales2[[#This Row],[Nomina]]</f>
        <v>70000</v>
      </c>
      <c r="E16" s="177">
        <f>+VLOOKUP(sales2[[#This Row],[Fecha]],Opex!C:J,8,1)</f>
        <v>0</v>
      </c>
      <c r="F16" s="177">
        <f>+SUM(sales2[[#This Row],[Gas]:[Electricidad]])</f>
        <v>0</v>
      </c>
      <c r="G16" s="1"/>
      <c r="H16" s="1"/>
      <c r="I16" s="1"/>
      <c r="J16" s="1"/>
      <c r="K16" s="177">
        <f>+SUM(sales2[[#This Row],[Cajero]:[Domiciliario]])</f>
        <v>70000</v>
      </c>
      <c r="L16" s="1">
        <v>70000</v>
      </c>
      <c r="M16" s="1">
        <v>0</v>
      </c>
      <c r="N16" s="1">
        <v>0</v>
      </c>
      <c r="O16" s="1"/>
    </row>
    <row r="17" spans="2:15" x14ac:dyDescent="0.2">
      <c r="B17" s="28">
        <f t="shared" si="0"/>
        <v>46082</v>
      </c>
      <c r="C17" s="28" t="str">
        <f>+TEXT(sales2[[#This Row],[Fecha]],"ddd")</f>
        <v>dom</v>
      </c>
      <c r="D17" s="178">
        <f>+sales2[[#This Row],[Arriendo]]+sales2[[#This Row],[Gas]]+sales2[[#This Row],[Agua]]+sales2[[#This Row],[Electricidad]]+sales2[[#This Row],[Nomina]]</f>
        <v>0</v>
      </c>
      <c r="E17" s="177">
        <f>+VLOOKUP(sales2[[#This Row],[Fecha]],Opex!C:J,8,1)</f>
        <v>0</v>
      </c>
      <c r="F17" s="177">
        <f>+SUM(sales2[[#This Row],[Gas]:[Electricidad]])</f>
        <v>0</v>
      </c>
      <c r="G17" s="1"/>
      <c r="H17" s="1"/>
      <c r="I17" s="1"/>
      <c r="J17" s="1"/>
      <c r="K17" s="177">
        <f>+SUM(sales2[[#This Row],[Cajero]:[Domiciliario]])</f>
        <v>0</v>
      </c>
      <c r="L17" s="1">
        <v>0</v>
      </c>
      <c r="M17" s="1">
        <v>0</v>
      </c>
      <c r="N17" s="1">
        <v>0</v>
      </c>
      <c r="O17" s="1"/>
    </row>
    <row r="18" spans="2:15" x14ac:dyDescent="0.2">
      <c r="B18" s="28">
        <f t="shared" si="0"/>
        <v>46083</v>
      </c>
      <c r="C18" s="28" t="str">
        <f>+TEXT(sales2[[#This Row],[Fecha]],"ddd")</f>
        <v>lun</v>
      </c>
      <c r="D18" s="178">
        <f>+sales2[[#This Row],[Arriendo]]+sales2[[#This Row],[Gas]]+sales2[[#This Row],[Agua]]+sales2[[#This Row],[Electricidad]]+sales2[[#This Row],[Nomina]]</f>
        <v>0</v>
      </c>
      <c r="E18" s="177">
        <f>+VLOOKUP(sales2[[#This Row],[Fecha]],Opex!C:J,8,1)</f>
        <v>0</v>
      </c>
      <c r="F18" s="177">
        <f>+SUM(sales2[[#This Row],[Gas]:[Electricidad]])</f>
        <v>0</v>
      </c>
      <c r="G18" s="1"/>
      <c r="H18" s="1"/>
      <c r="I18" s="1"/>
      <c r="J18" s="1"/>
      <c r="K18" s="177">
        <f>+SUM(sales2[[#This Row],[Cajero]:[Domiciliario]])</f>
        <v>0</v>
      </c>
      <c r="L18" s="1">
        <v>0</v>
      </c>
      <c r="M18" s="1">
        <v>0</v>
      </c>
      <c r="N18" s="1">
        <v>0</v>
      </c>
      <c r="O18" s="1"/>
    </row>
    <row r="19" spans="2:15" x14ac:dyDescent="0.2">
      <c r="B19" s="28">
        <f t="shared" si="0"/>
        <v>46084</v>
      </c>
      <c r="C19" s="28" t="str">
        <f>+TEXT(sales2[[#This Row],[Fecha]],"ddd")</f>
        <v>mar</v>
      </c>
      <c r="D19" s="178">
        <f>+sales2[[#This Row],[Arriendo]]+sales2[[#This Row],[Gas]]+sales2[[#This Row],[Agua]]+sales2[[#This Row],[Electricidad]]+sales2[[#This Row],[Nomina]]</f>
        <v>0</v>
      </c>
      <c r="E19" s="177">
        <f>+VLOOKUP(sales2[[#This Row],[Fecha]],Opex!C:J,8,1)</f>
        <v>0</v>
      </c>
      <c r="F19" s="177">
        <f>+SUM(sales2[[#This Row],[Gas]:[Electricidad]])</f>
        <v>0</v>
      </c>
      <c r="G19" s="1"/>
      <c r="H19" s="1"/>
      <c r="I19" s="1"/>
      <c r="J19" s="1"/>
      <c r="K19" s="177">
        <f>+SUM(sales2[[#This Row],[Cajero]:[Domiciliario]])</f>
        <v>0</v>
      </c>
      <c r="L19" s="1">
        <v>0</v>
      </c>
      <c r="M19" s="1">
        <v>0</v>
      </c>
      <c r="N19" s="1">
        <v>0</v>
      </c>
      <c r="O19" s="1"/>
    </row>
    <row r="20" spans="2:15" x14ac:dyDescent="0.2">
      <c r="B20" s="28">
        <f t="shared" si="0"/>
        <v>46085</v>
      </c>
      <c r="C20" s="28" t="str">
        <f>+TEXT(sales2[[#This Row],[Fecha]],"ddd")</f>
        <v>mié</v>
      </c>
      <c r="D20" s="178">
        <f>+sales2[[#This Row],[Arriendo]]+sales2[[#This Row],[Gas]]+sales2[[#This Row],[Agua]]+sales2[[#This Row],[Electricidad]]+sales2[[#This Row],[Nomina]]</f>
        <v>0</v>
      </c>
      <c r="E20" s="177">
        <f>+VLOOKUP(sales2[[#This Row],[Fecha]],Opex!C:J,8,1)</f>
        <v>0</v>
      </c>
      <c r="F20" s="177">
        <f>+SUM(sales2[[#This Row],[Gas]:[Electricidad]])</f>
        <v>0</v>
      </c>
      <c r="G20" s="1"/>
      <c r="H20" s="1"/>
      <c r="I20" s="1"/>
      <c r="J20" s="1"/>
      <c r="K20" s="177">
        <f>+SUM(sales2[[#This Row],[Cajero]:[Domiciliario]])</f>
        <v>0</v>
      </c>
      <c r="L20" s="1">
        <v>0</v>
      </c>
      <c r="M20" s="1">
        <v>0</v>
      </c>
      <c r="N20" s="1">
        <v>0</v>
      </c>
      <c r="O20" s="1"/>
    </row>
    <row r="21" spans="2:15" x14ac:dyDescent="0.2">
      <c r="B21" s="28">
        <f t="shared" si="0"/>
        <v>46086</v>
      </c>
      <c r="C21" s="28" t="str">
        <f>+TEXT(sales2[[#This Row],[Fecha]],"ddd")</f>
        <v>jue</v>
      </c>
      <c r="D21" s="178">
        <f>+sales2[[#This Row],[Arriendo]]+sales2[[#This Row],[Gas]]+sales2[[#This Row],[Agua]]+sales2[[#This Row],[Electricidad]]+sales2[[#This Row],[Nomina]]</f>
        <v>0</v>
      </c>
      <c r="E21" s="177">
        <f>+VLOOKUP(sales2[[#This Row],[Fecha]],Opex!C:J,8,1)</f>
        <v>0</v>
      </c>
      <c r="F21" s="177">
        <f>+SUM(sales2[[#This Row],[Gas]:[Electricidad]])</f>
        <v>0</v>
      </c>
      <c r="G21" s="1"/>
      <c r="H21" s="1"/>
      <c r="I21" s="1"/>
      <c r="J21" s="1"/>
      <c r="K21" s="177">
        <f>+SUM(sales2[[#This Row],[Cajero]:[Domiciliario]])</f>
        <v>0</v>
      </c>
      <c r="L21" s="1">
        <v>0</v>
      </c>
      <c r="M21" s="1">
        <v>0</v>
      </c>
      <c r="N21" s="1">
        <v>0</v>
      </c>
      <c r="O21" s="1"/>
    </row>
    <row r="22" spans="2:15" x14ac:dyDescent="0.2">
      <c r="B22" s="28">
        <f t="shared" si="0"/>
        <v>46087</v>
      </c>
      <c r="C22" s="28" t="str">
        <f>+TEXT(sales2[[#This Row],[Fecha]],"ddd")</f>
        <v>vie</v>
      </c>
      <c r="D22" s="178">
        <f>+sales2[[#This Row],[Arriendo]]+sales2[[#This Row],[Gas]]+sales2[[#This Row],[Agua]]+sales2[[#This Row],[Electricidad]]+sales2[[#This Row],[Nomina]]</f>
        <v>0</v>
      </c>
      <c r="E22" s="177">
        <f>+VLOOKUP(sales2[[#This Row],[Fecha]],Opex!C:J,8,1)</f>
        <v>0</v>
      </c>
      <c r="F22" s="177">
        <f>+SUM(sales2[[#This Row],[Gas]:[Electricidad]])</f>
        <v>0</v>
      </c>
      <c r="G22" s="1"/>
      <c r="H22" s="1"/>
      <c r="I22" s="1"/>
      <c r="J22" s="1"/>
      <c r="K22" s="177">
        <f>+SUM(sales2[[#This Row],[Cajero]:[Domiciliario]])</f>
        <v>0</v>
      </c>
      <c r="L22" s="1">
        <v>0</v>
      </c>
      <c r="M22" s="1">
        <v>0</v>
      </c>
      <c r="N22" s="1">
        <v>0</v>
      </c>
      <c r="O22" s="1"/>
    </row>
    <row r="23" spans="2:15" x14ac:dyDescent="0.2">
      <c r="B23" s="28">
        <f t="shared" si="0"/>
        <v>46088</v>
      </c>
      <c r="C23" s="28" t="str">
        <f>+TEXT(sales2[[#This Row],[Fecha]],"ddd")</f>
        <v>sáb</v>
      </c>
      <c r="D23" s="178">
        <f>+sales2[[#This Row],[Arriendo]]+sales2[[#This Row],[Gas]]+sales2[[#This Row],[Agua]]+sales2[[#This Row],[Electricidad]]+sales2[[#This Row],[Nomina]]</f>
        <v>0</v>
      </c>
      <c r="E23" s="177">
        <f>+VLOOKUP(sales2[[#This Row],[Fecha]],Opex!C:J,8,1)</f>
        <v>0</v>
      </c>
      <c r="F23" s="177">
        <f>+SUM(sales2[[#This Row],[Gas]:[Electricidad]])</f>
        <v>0</v>
      </c>
      <c r="G23" s="1"/>
      <c r="H23" s="1"/>
      <c r="I23" s="1"/>
      <c r="J23" s="1"/>
      <c r="K23" s="177">
        <f>+SUM(sales2[[#This Row],[Cajero]:[Domiciliario]])</f>
        <v>0</v>
      </c>
      <c r="L23" s="1">
        <v>0</v>
      </c>
      <c r="M23" s="1">
        <v>0</v>
      </c>
      <c r="N23" s="1">
        <v>0</v>
      </c>
      <c r="O23" s="1"/>
    </row>
    <row r="24" spans="2:15" x14ac:dyDescent="0.2">
      <c r="B24" s="28">
        <f t="shared" si="0"/>
        <v>46089</v>
      </c>
      <c r="C24" s="28" t="str">
        <f>+TEXT(sales2[[#This Row],[Fecha]],"ddd")</f>
        <v>dom</v>
      </c>
      <c r="D24" s="178">
        <f>+sales2[[#This Row],[Arriendo]]+sales2[[#This Row],[Gas]]+sales2[[#This Row],[Agua]]+sales2[[#This Row],[Electricidad]]+sales2[[#This Row],[Nomina]]</f>
        <v>0</v>
      </c>
      <c r="E24" s="177">
        <f>+VLOOKUP(sales2[[#This Row],[Fecha]],Opex!C:J,8,1)</f>
        <v>0</v>
      </c>
      <c r="F24" s="177">
        <f>+SUM(sales2[[#This Row],[Gas]:[Electricidad]])</f>
        <v>0</v>
      </c>
      <c r="G24" s="1"/>
      <c r="H24" s="1"/>
      <c r="I24" s="1"/>
      <c r="J24" s="1"/>
      <c r="K24" s="177">
        <f>+SUM(sales2[[#This Row],[Cajero]:[Domiciliario]])</f>
        <v>0</v>
      </c>
      <c r="L24" s="1">
        <v>0</v>
      </c>
      <c r="M24" s="1">
        <v>0</v>
      </c>
      <c r="N24" s="1">
        <v>0</v>
      </c>
      <c r="O24" s="1"/>
    </row>
    <row r="25" spans="2:15" x14ac:dyDescent="0.2">
      <c r="B25" s="28">
        <f t="shared" si="0"/>
        <v>46090</v>
      </c>
      <c r="C25" s="28" t="str">
        <f>+TEXT(sales2[[#This Row],[Fecha]],"ddd")</f>
        <v>lun</v>
      </c>
      <c r="D25" s="178">
        <f>+sales2[[#This Row],[Arriendo]]+sales2[[#This Row],[Gas]]+sales2[[#This Row],[Agua]]+sales2[[#This Row],[Electricidad]]+sales2[[#This Row],[Nomina]]</f>
        <v>0</v>
      </c>
      <c r="E25" s="177">
        <f>+VLOOKUP(sales2[[#This Row],[Fecha]],Opex!C:J,8,1)</f>
        <v>0</v>
      </c>
      <c r="F25" s="177">
        <f>+SUM(sales2[[#This Row],[Gas]:[Electricidad]])</f>
        <v>0</v>
      </c>
      <c r="G25" s="1"/>
      <c r="H25" s="1"/>
      <c r="I25" s="1"/>
      <c r="J25" s="1"/>
      <c r="K25" s="177">
        <f>+SUM(sales2[[#This Row],[Cajero]:[Domiciliario]])</f>
        <v>0</v>
      </c>
      <c r="L25" s="118">
        <v>0</v>
      </c>
      <c r="M25" s="1">
        <v>0</v>
      </c>
      <c r="N25" s="1">
        <v>0</v>
      </c>
      <c r="O25" s="1"/>
    </row>
    <row r="26" spans="2:15" x14ac:dyDescent="0.2">
      <c r="B26" s="28">
        <f t="shared" si="0"/>
        <v>46091</v>
      </c>
      <c r="C26" s="28" t="str">
        <f>+TEXT(sales2[[#This Row],[Fecha]],"ddd")</f>
        <v>mar</v>
      </c>
      <c r="D26" s="178">
        <f>+sales2[[#This Row],[Arriendo]]+sales2[[#This Row],[Gas]]+sales2[[#This Row],[Agua]]+sales2[[#This Row],[Electricidad]]+sales2[[#This Row],[Nomina]]</f>
        <v>0</v>
      </c>
      <c r="E26" s="177">
        <f>+VLOOKUP(sales2[[#This Row],[Fecha]],Opex!C:J,8,1)</f>
        <v>0</v>
      </c>
      <c r="F26" s="177">
        <f>+SUM(sales2[[#This Row],[Gas]:[Electricidad]])</f>
        <v>0</v>
      </c>
      <c r="G26" s="1"/>
      <c r="H26" s="1"/>
      <c r="I26" s="1"/>
      <c r="J26" s="1"/>
      <c r="K26" s="177">
        <f>+SUM(sales2[[#This Row],[Cajero]:[Domiciliario]])</f>
        <v>0</v>
      </c>
      <c r="L26" s="1">
        <v>0</v>
      </c>
      <c r="M26" s="1">
        <v>0</v>
      </c>
      <c r="N26" s="1">
        <v>0</v>
      </c>
      <c r="O26" s="1"/>
    </row>
    <row r="27" spans="2:15" x14ac:dyDescent="0.2">
      <c r="B27" s="28">
        <f t="shared" si="0"/>
        <v>46092</v>
      </c>
      <c r="C27" s="28" t="str">
        <f>+TEXT(sales2[[#This Row],[Fecha]],"ddd")</f>
        <v>mié</v>
      </c>
      <c r="D27" s="178">
        <f>+sales2[[#This Row],[Arriendo]]+sales2[[#This Row],[Gas]]+sales2[[#This Row],[Agua]]+sales2[[#This Row],[Electricidad]]+sales2[[#This Row],[Nomina]]</f>
        <v>0</v>
      </c>
      <c r="E27" s="177">
        <f>+VLOOKUP(sales2[[#This Row],[Fecha]],Opex!C:J,8,1)</f>
        <v>0</v>
      </c>
      <c r="F27" s="177">
        <f>+SUM(sales2[[#This Row],[Gas]:[Electricidad]])</f>
        <v>0</v>
      </c>
      <c r="G27" s="1"/>
      <c r="H27" s="1"/>
      <c r="I27" s="1"/>
      <c r="J27" s="1"/>
      <c r="K27" s="177">
        <f>+SUM(sales2[[#This Row],[Cajero]:[Domiciliario]])</f>
        <v>0</v>
      </c>
      <c r="L27" s="1">
        <v>0</v>
      </c>
      <c r="M27" s="1">
        <v>0</v>
      </c>
      <c r="N27" s="1">
        <v>0</v>
      </c>
      <c r="O27" s="1"/>
    </row>
    <row r="28" spans="2:15" x14ac:dyDescent="0.2">
      <c r="B28" s="28">
        <f t="shared" si="0"/>
        <v>46093</v>
      </c>
      <c r="C28" s="28" t="str">
        <f>+TEXT(sales2[[#This Row],[Fecha]],"ddd")</f>
        <v>jue</v>
      </c>
      <c r="D28" s="178">
        <f>+sales2[[#This Row],[Arriendo]]+sales2[[#This Row],[Gas]]+sales2[[#This Row],[Agua]]+sales2[[#This Row],[Electricidad]]+sales2[[#This Row],[Nomina]]</f>
        <v>0</v>
      </c>
      <c r="E28" s="177">
        <f>+VLOOKUP(sales2[[#This Row],[Fecha]],Opex!C:J,8,1)</f>
        <v>0</v>
      </c>
      <c r="F28" s="177">
        <f>+SUM(sales2[[#This Row],[Gas]:[Electricidad]])</f>
        <v>0</v>
      </c>
      <c r="G28" s="1"/>
      <c r="H28" s="1"/>
      <c r="I28" s="1"/>
      <c r="J28" s="1"/>
      <c r="K28" s="177">
        <f>+SUM(sales2[[#This Row],[Cajero]:[Domiciliario]])</f>
        <v>0</v>
      </c>
      <c r="L28" s="1">
        <v>0</v>
      </c>
      <c r="M28" s="1">
        <v>0</v>
      </c>
      <c r="N28" s="1">
        <v>0</v>
      </c>
      <c r="O28" s="1"/>
    </row>
    <row r="29" spans="2:15" x14ac:dyDescent="0.2">
      <c r="B29" s="28">
        <f t="shared" si="0"/>
        <v>46094</v>
      </c>
      <c r="C29" s="28" t="str">
        <f>+TEXT(sales2[[#This Row],[Fecha]],"ddd")</f>
        <v>vie</v>
      </c>
      <c r="D29" s="178">
        <f>+sales2[[#This Row],[Arriendo]]+sales2[[#This Row],[Gas]]+sales2[[#This Row],[Agua]]+sales2[[#This Row],[Electricidad]]+sales2[[#This Row],[Nomina]]</f>
        <v>0</v>
      </c>
      <c r="E29" s="177">
        <f>+VLOOKUP(sales2[[#This Row],[Fecha]],Opex!C:J,8,1)</f>
        <v>0</v>
      </c>
      <c r="F29" s="177">
        <f>+SUM(sales2[[#This Row],[Gas]:[Electricidad]])</f>
        <v>0</v>
      </c>
      <c r="G29" s="1"/>
      <c r="H29" s="1"/>
      <c r="I29" s="1"/>
      <c r="J29" s="1"/>
      <c r="K29" s="177">
        <f>+SUM(sales2[[#This Row],[Cajero]:[Domiciliario]])</f>
        <v>0</v>
      </c>
      <c r="L29" s="1">
        <v>0</v>
      </c>
      <c r="M29" s="1">
        <v>0</v>
      </c>
      <c r="N29" s="1">
        <v>0</v>
      </c>
      <c r="O29" s="1"/>
    </row>
    <row r="30" spans="2:15" x14ac:dyDescent="0.2">
      <c r="B30" s="28">
        <f t="shared" si="0"/>
        <v>46095</v>
      </c>
      <c r="C30" s="28" t="str">
        <f>+TEXT(sales2[[#This Row],[Fecha]],"ddd")</f>
        <v>sáb</v>
      </c>
      <c r="D30" s="178">
        <f>+sales2[[#This Row],[Arriendo]]+sales2[[#This Row],[Gas]]+sales2[[#This Row],[Agua]]+sales2[[#This Row],[Electricidad]]+sales2[[#This Row],[Nomina]]</f>
        <v>0</v>
      </c>
      <c r="E30" s="177">
        <f>+VLOOKUP(sales2[[#This Row],[Fecha]],Opex!C:J,8,1)</f>
        <v>0</v>
      </c>
      <c r="F30" s="177">
        <f>+SUM(sales2[[#This Row],[Gas]:[Electricidad]])</f>
        <v>0</v>
      </c>
      <c r="G30" s="1"/>
      <c r="H30" s="1"/>
      <c r="I30" s="1"/>
      <c r="J30" s="1"/>
      <c r="K30" s="177">
        <f>+SUM(sales2[[#This Row],[Cajero]:[Domiciliario]])</f>
        <v>0</v>
      </c>
      <c r="L30" s="1">
        <v>0</v>
      </c>
      <c r="M30" s="1">
        <v>0</v>
      </c>
      <c r="N30" s="1">
        <v>0</v>
      </c>
      <c r="O30" s="1"/>
    </row>
    <row r="31" spans="2:15" x14ac:dyDescent="0.2">
      <c r="B31" s="28">
        <f t="shared" si="0"/>
        <v>46096</v>
      </c>
      <c r="C31" s="28" t="str">
        <f>+TEXT(sales2[[#This Row],[Fecha]],"ddd")</f>
        <v>dom</v>
      </c>
      <c r="D31" s="178">
        <f>+sales2[[#This Row],[Arriendo]]+sales2[[#This Row],[Gas]]+sales2[[#This Row],[Agua]]+sales2[[#This Row],[Electricidad]]+sales2[[#This Row],[Nomina]]</f>
        <v>55000</v>
      </c>
      <c r="E31" s="177">
        <f>+VLOOKUP(sales2[[#This Row],[Fecha]],Opex!C:J,8,1)</f>
        <v>55000</v>
      </c>
      <c r="F31" s="177">
        <f>+SUM(sales2[[#This Row],[Gas]:[Electricidad]])</f>
        <v>0</v>
      </c>
      <c r="G31" s="1"/>
      <c r="H31" s="1"/>
      <c r="I31" s="1"/>
      <c r="J31" s="1"/>
      <c r="K31" s="177">
        <f>+SUM(sales2[[#This Row],[Cajero]:[Domiciliario]])</f>
        <v>0</v>
      </c>
      <c r="L31" s="118">
        <v>0</v>
      </c>
      <c r="M31" s="1">
        <v>0</v>
      </c>
      <c r="N31" s="1">
        <v>0</v>
      </c>
      <c r="O31" s="1"/>
    </row>
    <row r="32" spans="2:15" x14ac:dyDescent="0.2">
      <c r="B32" s="28">
        <f t="shared" si="0"/>
        <v>46097</v>
      </c>
      <c r="C32" s="28" t="str">
        <f>+TEXT(sales2[[#This Row],[Fecha]],"ddd")</f>
        <v>lun</v>
      </c>
      <c r="D32" s="178">
        <f>+sales2[[#This Row],[Arriendo]]+sales2[[#This Row],[Gas]]+sales2[[#This Row],[Agua]]+sales2[[#This Row],[Electricidad]]+sales2[[#This Row],[Nomina]]</f>
        <v>55000</v>
      </c>
      <c r="E32" s="177">
        <f>+VLOOKUP(sales2[[#This Row],[Fecha]],Opex!C:J,8,1)</f>
        <v>55000</v>
      </c>
      <c r="F32" s="177">
        <f>+SUM(sales2[[#This Row],[Gas]:[Electricidad]])</f>
        <v>0</v>
      </c>
      <c r="G32" s="1"/>
      <c r="H32" s="1"/>
      <c r="I32" s="1"/>
      <c r="J32" s="1"/>
      <c r="K32" s="177">
        <f>+SUM(sales2[[#This Row],[Cajero]:[Domiciliario]])</f>
        <v>0</v>
      </c>
      <c r="L32" s="1">
        <v>0</v>
      </c>
      <c r="M32" s="1">
        <v>0</v>
      </c>
      <c r="N32" s="1">
        <v>0</v>
      </c>
      <c r="O32" s="1"/>
    </row>
    <row r="33" spans="2:16" x14ac:dyDescent="0.2">
      <c r="B33" s="28">
        <f t="shared" si="0"/>
        <v>46098</v>
      </c>
      <c r="C33" s="28" t="str">
        <f>+TEXT(sales2[[#This Row],[Fecha]],"ddd")</f>
        <v>mar</v>
      </c>
      <c r="D33" s="178">
        <f>+sales2[[#This Row],[Arriendo]]+sales2[[#This Row],[Gas]]+sales2[[#This Row],[Agua]]+sales2[[#This Row],[Electricidad]]+sales2[[#This Row],[Nomina]]</f>
        <v>55000</v>
      </c>
      <c r="E33" s="177">
        <f>+VLOOKUP(sales2[[#This Row],[Fecha]],Opex!C:J,8,1)</f>
        <v>55000</v>
      </c>
      <c r="F33" s="177">
        <f>+SUM(sales2[[#This Row],[Gas]:[Electricidad]])</f>
        <v>0</v>
      </c>
      <c r="G33" s="1"/>
      <c r="H33" s="1"/>
      <c r="I33" s="1"/>
      <c r="J33" s="1"/>
      <c r="K33" s="177">
        <f>+SUM(sales2[[#This Row],[Cajero]:[Domiciliario]])</f>
        <v>0</v>
      </c>
      <c r="L33" s="1">
        <v>0</v>
      </c>
      <c r="M33" s="1">
        <v>0</v>
      </c>
      <c r="N33" s="1">
        <v>0</v>
      </c>
      <c r="O33" s="1"/>
    </row>
    <row r="34" spans="2:16" x14ac:dyDescent="0.2">
      <c r="B34" s="28">
        <f t="shared" si="0"/>
        <v>46099</v>
      </c>
      <c r="C34" s="28" t="str">
        <f>+TEXT(sales2[[#This Row],[Fecha]],"ddd")</f>
        <v>mié</v>
      </c>
      <c r="D34" s="178">
        <f>+sales2[[#This Row],[Arriendo]]+sales2[[#This Row],[Gas]]+sales2[[#This Row],[Agua]]+sales2[[#This Row],[Electricidad]]+sales2[[#This Row],[Nomina]]</f>
        <v>55000</v>
      </c>
      <c r="E34" s="177">
        <f>+VLOOKUP(sales2[[#This Row],[Fecha]],Opex!C:J,8,1)</f>
        <v>55000</v>
      </c>
      <c r="F34" s="177">
        <f>+SUM(sales2[[#This Row],[Gas]:[Electricidad]])</f>
        <v>0</v>
      </c>
      <c r="G34" s="1"/>
      <c r="H34" s="1"/>
      <c r="I34" s="1"/>
      <c r="J34" s="1"/>
      <c r="K34" s="177">
        <f>+SUM(sales2[[#This Row],[Cajero]:[Domiciliario]])</f>
        <v>0</v>
      </c>
      <c r="L34" s="1">
        <v>0</v>
      </c>
      <c r="M34" s="1">
        <v>0</v>
      </c>
      <c r="N34" s="1">
        <v>0</v>
      </c>
      <c r="O34" s="1"/>
    </row>
    <row r="35" spans="2:16" x14ac:dyDescent="0.2">
      <c r="B35" s="28">
        <f t="shared" si="0"/>
        <v>46100</v>
      </c>
      <c r="C35" s="28" t="str">
        <f>+TEXT(sales2[[#This Row],[Fecha]],"ddd")</f>
        <v>jue</v>
      </c>
      <c r="D35" s="178">
        <f>+sales2[[#This Row],[Arriendo]]+sales2[[#This Row],[Gas]]+sales2[[#This Row],[Agua]]+sales2[[#This Row],[Electricidad]]+sales2[[#This Row],[Nomina]]</f>
        <v>55000</v>
      </c>
      <c r="E35" s="177">
        <f>+VLOOKUP(sales2[[#This Row],[Fecha]],Opex!C:J,8,1)</f>
        <v>55000</v>
      </c>
      <c r="F35" s="177">
        <f>+SUM(sales2[[#This Row],[Gas]:[Electricidad]])</f>
        <v>0</v>
      </c>
      <c r="G35" s="1"/>
      <c r="H35" s="1"/>
      <c r="I35" s="1"/>
      <c r="J35" s="1"/>
      <c r="K35" s="177">
        <f>+SUM(sales2[[#This Row],[Cajero]:[Domiciliario]])</f>
        <v>0</v>
      </c>
      <c r="L35" s="1">
        <v>0</v>
      </c>
      <c r="M35" s="1">
        <v>0</v>
      </c>
      <c r="N35" s="1">
        <v>0</v>
      </c>
      <c r="O35" s="1"/>
    </row>
    <row r="36" spans="2:16" x14ac:dyDescent="0.2">
      <c r="B36" s="28">
        <f t="shared" si="0"/>
        <v>46101</v>
      </c>
      <c r="C36" s="28" t="str">
        <f>+TEXT(sales2[[#This Row],[Fecha]],"ddd")</f>
        <v>vie</v>
      </c>
      <c r="D36" s="178">
        <f>+sales2[[#This Row],[Arriendo]]+sales2[[#This Row],[Gas]]+sales2[[#This Row],[Agua]]+sales2[[#This Row],[Electricidad]]+sales2[[#This Row],[Nomina]]</f>
        <v>55000</v>
      </c>
      <c r="E36" s="177">
        <f>+VLOOKUP(sales2[[#This Row],[Fecha]],Opex!C:J,8,1)</f>
        <v>55000</v>
      </c>
      <c r="F36" s="177">
        <f>+SUM(sales2[[#This Row],[Gas]:[Electricidad]])</f>
        <v>0</v>
      </c>
      <c r="G36" s="1"/>
      <c r="H36" s="1"/>
      <c r="I36" s="1"/>
      <c r="J36" s="1"/>
      <c r="K36" s="177">
        <f>+SUM(sales2[[#This Row],[Cajero]:[Domiciliario]])</f>
        <v>0</v>
      </c>
      <c r="L36" s="1">
        <v>0</v>
      </c>
      <c r="M36" s="1">
        <v>0</v>
      </c>
      <c r="N36" s="1">
        <v>0</v>
      </c>
      <c r="O36" s="1"/>
    </row>
    <row r="37" spans="2:16" x14ac:dyDescent="0.2">
      <c r="B37" s="28">
        <f t="shared" si="0"/>
        <v>46102</v>
      </c>
      <c r="C37" s="28" t="str">
        <f>+TEXT(sales2[[#This Row],[Fecha]],"ddd")</f>
        <v>sáb</v>
      </c>
      <c r="D37" s="178">
        <f>+sales2[[#This Row],[Arriendo]]+sales2[[#This Row],[Gas]]+sales2[[#This Row],[Agua]]+sales2[[#This Row],[Electricidad]]+sales2[[#This Row],[Nomina]]</f>
        <v>55000</v>
      </c>
      <c r="E37" s="177">
        <f>+VLOOKUP(sales2[[#This Row],[Fecha]],Opex!C:J,8,1)</f>
        <v>55000</v>
      </c>
      <c r="F37" s="177">
        <f>+SUM(sales2[[#This Row],[Gas]:[Electricidad]])</f>
        <v>0</v>
      </c>
      <c r="G37" s="1"/>
      <c r="H37" s="1"/>
      <c r="I37" s="1"/>
      <c r="J37" s="1"/>
      <c r="K37" s="177">
        <f>+SUM(sales2[[#This Row],[Cajero]:[Domiciliario]])</f>
        <v>0</v>
      </c>
      <c r="L37" s="1">
        <v>0</v>
      </c>
      <c r="M37" s="1">
        <v>0</v>
      </c>
      <c r="N37" s="1">
        <v>0</v>
      </c>
      <c r="O37" s="1"/>
    </row>
    <row r="38" spans="2:16" x14ac:dyDescent="0.2">
      <c r="B38" s="28">
        <f t="shared" si="0"/>
        <v>46103</v>
      </c>
      <c r="C38" s="28" t="str">
        <f>+TEXT(sales2[[#This Row],[Fecha]],"ddd")</f>
        <v>dom</v>
      </c>
      <c r="D38" s="178">
        <f>+sales2[[#This Row],[Arriendo]]+sales2[[#This Row],[Gas]]+sales2[[#This Row],[Agua]]+sales2[[#This Row],[Electricidad]]+sales2[[#This Row],[Nomina]]</f>
        <v>55000</v>
      </c>
      <c r="E38" s="177">
        <f>+VLOOKUP(sales2[[#This Row],[Fecha]],Opex!C:J,8,1)</f>
        <v>55000</v>
      </c>
      <c r="F38" s="177">
        <f>+SUM(sales2[[#This Row],[Gas]:[Electricidad]])</f>
        <v>0</v>
      </c>
      <c r="G38" s="1"/>
      <c r="H38" s="1"/>
      <c r="I38" s="1"/>
      <c r="J38" s="1"/>
      <c r="K38" s="177">
        <f>+SUM(sales2[[#This Row],[Cajero]:[Domiciliario]])</f>
        <v>0</v>
      </c>
      <c r="L38" s="1">
        <v>0</v>
      </c>
      <c r="M38" s="1">
        <v>0</v>
      </c>
      <c r="N38" s="1">
        <v>0</v>
      </c>
      <c r="O38" s="1"/>
    </row>
    <row r="39" spans="2:16" x14ac:dyDescent="0.2">
      <c r="B39" s="28">
        <f t="shared" si="0"/>
        <v>46104</v>
      </c>
      <c r="C39" s="28" t="str">
        <f>+TEXT(sales2[[#This Row],[Fecha]],"ddd")</f>
        <v>lun</v>
      </c>
      <c r="D39" s="178">
        <f>+sales2[[#This Row],[Arriendo]]+sales2[[#This Row],[Gas]]+sales2[[#This Row],[Agua]]+sales2[[#This Row],[Electricidad]]+sales2[[#This Row],[Nomina]]</f>
        <v>55000</v>
      </c>
      <c r="E39" s="177">
        <f>+VLOOKUP(sales2[[#This Row],[Fecha]],Opex!C:J,8,1)</f>
        <v>55000</v>
      </c>
      <c r="F39" s="177">
        <f>+SUM(sales2[[#This Row],[Gas]:[Electricidad]])</f>
        <v>0</v>
      </c>
      <c r="G39" s="1"/>
      <c r="H39" s="1"/>
      <c r="I39" s="1"/>
      <c r="J39" s="1"/>
      <c r="K39" s="177">
        <f>+SUM(sales2[[#This Row],[Cajero]:[Domiciliario]])</f>
        <v>0</v>
      </c>
      <c r="L39" s="1">
        <v>0</v>
      </c>
      <c r="M39" s="1">
        <v>0</v>
      </c>
      <c r="N39" s="1">
        <v>0</v>
      </c>
      <c r="O39" s="1"/>
    </row>
    <row r="40" spans="2:16" x14ac:dyDescent="0.2">
      <c r="B40" s="28">
        <f t="shared" si="0"/>
        <v>46105</v>
      </c>
      <c r="C40" s="28" t="str">
        <f>+TEXT(sales2[[#This Row],[Fecha]],"ddd")</f>
        <v>mar</v>
      </c>
      <c r="D40" s="178">
        <f>+sales2[[#This Row],[Arriendo]]+sales2[[#This Row],[Gas]]+sales2[[#This Row],[Agua]]+sales2[[#This Row],[Electricidad]]+sales2[[#This Row],[Nomina]]</f>
        <v>55000</v>
      </c>
      <c r="E40" s="177">
        <f>+VLOOKUP(sales2[[#This Row],[Fecha]],Opex!C:J,8,1)</f>
        <v>55000</v>
      </c>
      <c r="F40" s="177">
        <f>+SUM(sales2[[#This Row],[Gas]:[Electricidad]])</f>
        <v>0</v>
      </c>
      <c r="G40" s="1"/>
      <c r="H40" s="1"/>
      <c r="I40" s="1"/>
      <c r="J40" s="1"/>
      <c r="K40" s="177">
        <f>+SUM(sales2[[#This Row],[Cajero]:[Domiciliario]])</f>
        <v>0</v>
      </c>
      <c r="L40" s="1">
        <v>0</v>
      </c>
      <c r="M40" s="1">
        <v>0</v>
      </c>
      <c r="N40" s="1">
        <v>0</v>
      </c>
      <c r="O40" s="1"/>
    </row>
    <row r="41" spans="2:16" x14ac:dyDescent="0.2">
      <c r="B41" s="28">
        <f t="shared" si="0"/>
        <v>46106</v>
      </c>
      <c r="C41" s="28" t="str">
        <f>+TEXT(sales2[[#This Row],[Fecha]],"ddd")</f>
        <v>mié</v>
      </c>
      <c r="D41" s="178">
        <f>+sales2[[#This Row],[Arriendo]]+sales2[[#This Row],[Gas]]+sales2[[#This Row],[Agua]]+sales2[[#This Row],[Electricidad]]+sales2[[#This Row],[Nomina]]</f>
        <v>55000</v>
      </c>
      <c r="E41" s="177">
        <f>+VLOOKUP(sales2[[#This Row],[Fecha]],Opex!C:J,8,1)</f>
        <v>55000</v>
      </c>
      <c r="F41" s="177">
        <f>+SUM(sales2[[#This Row],[Gas]:[Electricidad]])</f>
        <v>0</v>
      </c>
      <c r="G41" s="1"/>
      <c r="H41" s="1"/>
      <c r="I41" s="1"/>
      <c r="J41" s="1"/>
      <c r="K41" s="177">
        <f>+SUM(sales2[[#This Row],[Cajero]:[Domiciliario]])</f>
        <v>0</v>
      </c>
      <c r="L41" s="1">
        <v>0</v>
      </c>
      <c r="M41" s="1">
        <v>0</v>
      </c>
      <c r="N41" s="1">
        <v>0</v>
      </c>
      <c r="O41" s="1"/>
      <c r="P41" t="s">
        <v>210</v>
      </c>
    </row>
    <row r="42" spans="2:16" x14ac:dyDescent="0.2">
      <c r="B42" s="28">
        <f t="shared" si="0"/>
        <v>46107</v>
      </c>
      <c r="C42" s="28" t="str">
        <f>+TEXT(sales2[[#This Row],[Fecha]],"ddd")</f>
        <v>jue</v>
      </c>
      <c r="D42" s="178">
        <f>+sales2[[#This Row],[Arriendo]]+sales2[[#This Row],[Gas]]+sales2[[#This Row],[Agua]]+sales2[[#This Row],[Electricidad]]+sales2[[#This Row],[Nomina]]</f>
        <v>55000</v>
      </c>
      <c r="E42" s="177">
        <f>+VLOOKUP(sales2[[#This Row],[Fecha]],Opex!C:J,8,1)</f>
        <v>55000</v>
      </c>
      <c r="F42" s="177">
        <f>+SUM(sales2[[#This Row],[Gas]:[Electricidad]])</f>
        <v>0</v>
      </c>
      <c r="G42" s="1"/>
      <c r="H42" s="1"/>
      <c r="I42" s="1"/>
      <c r="J42" s="1"/>
      <c r="K42" s="177">
        <f>+SUM(sales2[[#This Row],[Cajero]:[Domiciliario]])</f>
        <v>0</v>
      </c>
      <c r="L42" s="1">
        <v>0</v>
      </c>
      <c r="M42" s="1">
        <v>0</v>
      </c>
      <c r="N42" s="1">
        <v>0</v>
      </c>
      <c r="O42" s="1"/>
      <c r="P42" t="s">
        <v>211</v>
      </c>
    </row>
    <row r="43" spans="2:16" x14ac:dyDescent="0.2">
      <c r="B43" s="28">
        <f t="shared" si="0"/>
        <v>46108</v>
      </c>
      <c r="C43" s="28" t="str">
        <f>+TEXT(sales2[[#This Row],[Fecha]],"ddd")</f>
        <v>vie</v>
      </c>
      <c r="D43" s="178">
        <f>+sales2[[#This Row],[Arriendo]]+sales2[[#This Row],[Gas]]+sales2[[#This Row],[Agua]]+sales2[[#This Row],[Electricidad]]+sales2[[#This Row],[Nomina]]</f>
        <v>55000</v>
      </c>
      <c r="E43" s="177">
        <f>+VLOOKUP(sales2[[#This Row],[Fecha]],Opex!C:J,8,1)</f>
        <v>55000</v>
      </c>
      <c r="F43" s="177">
        <f>+SUM(sales2[[#This Row],[Gas]:[Electricidad]])</f>
        <v>0</v>
      </c>
      <c r="G43" s="1"/>
      <c r="H43" s="1"/>
      <c r="I43" s="1"/>
      <c r="J43" s="1"/>
      <c r="K43" s="177">
        <f>+SUM(sales2[[#This Row],[Cajero]:[Domiciliario]])</f>
        <v>0</v>
      </c>
      <c r="L43" s="1">
        <v>0</v>
      </c>
      <c r="M43" s="1">
        <v>0</v>
      </c>
      <c r="N43" s="1">
        <v>0</v>
      </c>
      <c r="O43" s="1"/>
      <c r="P43" t="s">
        <v>212</v>
      </c>
    </row>
    <row r="44" spans="2:16" x14ac:dyDescent="0.2">
      <c r="B44" s="28">
        <f t="shared" si="0"/>
        <v>46109</v>
      </c>
      <c r="C44" s="28" t="str">
        <f>+TEXT(sales2[[#This Row],[Fecha]],"ddd")</f>
        <v>sáb</v>
      </c>
      <c r="D44" s="178">
        <f>+sales2[[#This Row],[Arriendo]]+sales2[[#This Row],[Gas]]+sales2[[#This Row],[Agua]]+sales2[[#This Row],[Electricidad]]+sales2[[#This Row],[Nomina]]</f>
        <v>55000</v>
      </c>
      <c r="E44" s="177">
        <f>+VLOOKUP(sales2[[#This Row],[Fecha]],Opex!C:J,8,1)</f>
        <v>55000</v>
      </c>
      <c r="F44" s="177">
        <f>+SUM(sales2[[#This Row],[Gas]:[Electricidad]])</f>
        <v>0</v>
      </c>
      <c r="G44" s="1"/>
      <c r="H44" s="1"/>
      <c r="I44" s="1"/>
      <c r="J44" s="1"/>
      <c r="K44" s="177">
        <f>+SUM(sales2[[#This Row],[Cajero]:[Domiciliario]])</f>
        <v>0</v>
      </c>
      <c r="L44" s="1">
        <v>0</v>
      </c>
      <c r="M44" s="1">
        <v>0</v>
      </c>
      <c r="N44" s="1">
        <v>0</v>
      </c>
      <c r="O44" s="1"/>
    </row>
    <row r="45" spans="2:16" x14ac:dyDescent="0.2">
      <c r="B45" s="28">
        <f t="shared" si="0"/>
        <v>46110</v>
      </c>
      <c r="C45" s="28" t="str">
        <f>+TEXT(sales2[[#This Row],[Fecha]],"ddd")</f>
        <v>dom</v>
      </c>
      <c r="D45" s="178">
        <f>+sales2[[#This Row],[Arriendo]]+sales2[[#This Row],[Gas]]+sales2[[#This Row],[Agua]]+sales2[[#This Row],[Electricidad]]+sales2[[#This Row],[Nomina]]</f>
        <v>55000</v>
      </c>
      <c r="E45" s="177">
        <f>+VLOOKUP(sales2[[#This Row],[Fecha]],Opex!C:J,8,1)</f>
        <v>55000</v>
      </c>
      <c r="F45" s="177">
        <f>+SUM(sales2[[#This Row],[Gas]:[Electricidad]])</f>
        <v>0</v>
      </c>
      <c r="G45" s="1"/>
      <c r="H45" s="1"/>
      <c r="I45" s="1"/>
      <c r="J45" s="1"/>
      <c r="K45" s="177">
        <f>+SUM(sales2[[#This Row],[Cajero]:[Domiciliario]])</f>
        <v>0</v>
      </c>
      <c r="L45" s="1">
        <v>0</v>
      </c>
      <c r="M45" s="1">
        <v>0</v>
      </c>
      <c r="N45" s="1">
        <v>0</v>
      </c>
      <c r="O45" s="1"/>
    </row>
    <row r="46" spans="2:16" x14ac:dyDescent="0.2">
      <c r="B46" s="28">
        <f t="shared" si="0"/>
        <v>46111</v>
      </c>
      <c r="C46" s="28" t="str">
        <f>+TEXT(sales2[[#This Row],[Fecha]],"ddd")</f>
        <v>lun</v>
      </c>
      <c r="D46" s="178">
        <f>+sales2[[#This Row],[Arriendo]]+sales2[[#This Row],[Gas]]+sales2[[#This Row],[Agua]]+sales2[[#This Row],[Electricidad]]+sales2[[#This Row],[Nomina]]</f>
        <v>55000</v>
      </c>
      <c r="E46" s="177">
        <f>+VLOOKUP(sales2[[#This Row],[Fecha]],Opex!C:J,8,1)</f>
        <v>55000</v>
      </c>
      <c r="F46" s="177">
        <f>+SUM(sales2[[#This Row],[Gas]:[Electricidad]])</f>
        <v>0</v>
      </c>
      <c r="G46" s="1"/>
      <c r="H46" s="1"/>
      <c r="I46" s="1"/>
      <c r="J46" s="1"/>
      <c r="K46" s="177">
        <f>+SUM(sales2[[#This Row],[Cajero]:[Domiciliario]])</f>
        <v>0</v>
      </c>
      <c r="L46" s="1">
        <v>0</v>
      </c>
      <c r="M46" s="1">
        <v>0</v>
      </c>
      <c r="N46" s="1">
        <v>0</v>
      </c>
      <c r="O46" s="1"/>
      <c r="P46" t="s">
        <v>212</v>
      </c>
    </row>
    <row r="47" spans="2:16" x14ac:dyDescent="0.2">
      <c r="B47" s="28">
        <f t="shared" si="0"/>
        <v>46112</v>
      </c>
      <c r="C47" s="28" t="str">
        <f>+TEXT(sales2[[#This Row],[Fecha]],"ddd")</f>
        <v>mar</v>
      </c>
      <c r="D47" s="178">
        <f>+sales2[[#This Row],[Arriendo]]+sales2[[#This Row],[Gas]]+sales2[[#This Row],[Agua]]+sales2[[#This Row],[Electricidad]]+sales2[[#This Row],[Nomina]]</f>
        <v>55000</v>
      </c>
      <c r="E47" s="177">
        <f>+VLOOKUP(sales2[[#This Row],[Fecha]],Opex!C:J,8,1)</f>
        <v>55000</v>
      </c>
      <c r="F47" s="177">
        <f>+SUM(sales2[[#This Row],[Gas]:[Electricidad]])</f>
        <v>0</v>
      </c>
      <c r="G47" s="1"/>
      <c r="H47" s="1"/>
      <c r="I47" s="1"/>
      <c r="J47" s="1"/>
      <c r="K47" s="177">
        <f>+SUM(sales2[[#This Row],[Cajero]:[Domiciliario]])</f>
        <v>0</v>
      </c>
      <c r="L47" s="1">
        <v>0</v>
      </c>
      <c r="M47" s="1">
        <v>0</v>
      </c>
      <c r="N47" s="1">
        <v>0</v>
      </c>
      <c r="O47" s="1"/>
    </row>
    <row r="48" spans="2:16" x14ac:dyDescent="0.2">
      <c r="B48" s="28">
        <f t="shared" si="0"/>
        <v>46113</v>
      </c>
      <c r="C48" s="28" t="str">
        <f>+TEXT(sales2[[#This Row],[Fecha]],"ddd")</f>
        <v>mié</v>
      </c>
      <c r="D48" s="178">
        <f>+sales2[[#This Row],[Arriendo]]+sales2[[#This Row],[Gas]]+sales2[[#This Row],[Agua]]+sales2[[#This Row],[Electricidad]]+sales2[[#This Row],[Nomina]]</f>
        <v>55000</v>
      </c>
      <c r="E48" s="177">
        <f>+VLOOKUP(sales2[[#This Row],[Fecha]],Opex!C:J,8,1)</f>
        <v>55000</v>
      </c>
      <c r="F48" s="177">
        <f>+SUM(sales2[[#This Row],[Gas]:[Electricidad]])</f>
        <v>0</v>
      </c>
      <c r="G48" s="1"/>
      <c r="H48" s="1"/>
      <c r="I48" s="1"/>
      <c r="J48" s="1"/>
      <c r="K48" s="177">
        <f>+SUM(sales2[[#This Row],[Cajero]:[Domiciliario]])</f>
        <v>0</v>
      </c>
      <c r="L48" s="1">
        <v>0</v>
      </c>
      <c r="M48" s="1">
        <v>0</v>
      </c>
      <c r="N48" s="1">
        <v>0</v>
      </c>
      <c r="O48" s="1"/>
      <c r="P48" t="s">
        <v>254</v>
      </c>
    </row>
    <row r="49" spans="2:18" x14ac:dyDescent="0.2">
      <c r="B49" s="28">
        <f t="shared" si="0"/>
        <v>46114</v>
      </c>
      <c r="C49" s="28" t="str">
        <f>+TEXT(sales2[[#This Row],[Fecha]],"ddd")</f>
        <v>jue</v>
      </c>
      <c r="D49" s="178">
        <f>+sales2[[#This Row],[Arriendo]]+sales2[[#This Row],[Gas]]+sales2[[#This Row],[Agua]]+sales2[[#This Row],[Electricidad]]+sales2[[#This Row],[Nomina]]</f>
        <v>55000</v>
      </c>
      <c r="E49" s="177">
        <f>+VLOOKUP(sales2[[#This Row],[Fecha]],Opex!C:J,8,1)</f>
        <v>55000</v>
      </c>
      <c r="F49" s="177">
        <f>+SUM(sales2[[#This Row],[Gas]:[Electricidad]])</f>
        <v>0</v>
      </c>
      <c r="G49" s="1"/>
      <c r="H49" s="1"/>
      <c r="I49" s="1"/>
      <c r="J49" s="1"/>
      <c r="K49" s="177"/>
      <c r="L49" s="1">
        <v>0</v>
      </c>
      <c r="M49" s="1">
        <v>0</v>
      </c>
      <c r="N49" s="1">
        <v>0</v>
      </c>
      <c r="O49" s="1"/>
      <c r="Q49" t="s">
        <v>213</v>
      </c>
      <c r="R49" t="s">
        <v>214</v>
      </c>
    </row>
    <row r="50" spans="2:18" x14ac:dyDescent="0.2">
      <c r="B50" s="28">
        <f t="shared" si="0"/>
        <v>46115</v>
      </c>
      <c r="C50" s="28" t="str">
        <f>+TEXT(sales2[[#This Row],[Fecha]],"ddd")</f>
        <v>vie</v>
      </c>
      <c r="D50" s="178">
        <f>+sales2[[#This Row],[Arriendo]]+sales2[[#This Row],[Gas]]+sales2[[#This Row],[Agua]]+sales2[[#This Row],[Electricidad]]+sales2[[#This Row],[Nomina]]</f>
        <v>55000</v>
      </c>
      <c r="E50" s="177">
        <f>+VLOOKUP(sales2[[#This Row],[Fecha]],Opex!C:J,8,1)</f>
        <v>55000</v>
      </c>
      <c r="F50" s="177">
        <f>+SUM(sales2[[#This Row],[Gas]:[Electricidad]])</f>
        <v>0</v>
      </c>
      <c r="G50" s="1"/>
      <c r="H50" s="1"/>
      <c r="I50" s="1"/>
      <c r="J50" s="1"/>
      <c r="K50" s="177"/>
      <c r="L50" s="1">
        <v>0</v>
      </c>
      <c r="M50" s="1">
        <v>0</v>
      </c>
      <c r="N50" s="1">
        <v>0</v>
      </c>
      <c r="O50" s="1"/>
    </row>
    <row r="51" spans="2:18" x14ac:dyDescent="0.2">
      <c r="B51" s="28">
        <f t="shared" si="0"/>
        <v>46116</v>
      </c>
      <c r="C51" s="28" t="str">
        <f>+TEXT(sales2[[#This Row],[Fecha]],"ddd")</f>
        <v>sáb</v>
      </c>
      <c r="D51" s="178">
        <f>+sales2[[#This Row],[Arriendo]]+sales2[[#This Row],[Gas]]+sales2[[#This Row],[Agua]]+sales2[[#This Row],[Electricidad]]+sales2[[#This Row],[Nomina]]</f>
        <v>55000</v>
      </c>
      <c r="E51" s="177">
        <f>+VLOOKUP(sales2[[#This Row],[Fecha]],Opex!C:J,8,1)</f>
        <v>55000</v>
      </c>
      <c r="F51" s="177">
        <f>+SUM(sales2[[#This Row],[Gas]:[Electricidad]])</f>
        <v>0</v>
      </c>
      <c r="G51" s="1"/>
      <c r="H51" s="1"/>
      <c r="I51" s="1"/>
      <c r="J51" s="1"/>
      <c r="K51" s="177"/>
      <c r="L51" s="1">
        <v>0</v>
      </c>
      <c r="M51" s="1">
        <v>0</v>
      </c>
      <c r="N51" s="1">
        <v>0</v>
      </c>
      <c r="O51" s="1"/>
    </row>
    <row r="52" spans="2:18" x14ac:dyDescent="0.2">
      <c r="B52" s="28">
        <f t="shared" si="0"/>
        <v>46117</v>
      </c>
      <c r="C52" s="28" t="str">
        <f>+TEXT(sales2[[#This Row],[Fecha]],"ddd")</f>
        <v>dom</v>
      </c>
      <c r="D52" s="178">
        <f>+sales2[[#This Row],[Arriendo]]+sales2[[#This Row],[Gas]]+sales2[[#This Row],[Agua]]+sales2[[#This Row],[Electricidad]]+sales2[[#This Row],[Nomina]]</f>
        <v>55000</v>
      </c>
      <c r="E52" s="177">
        <f>+VLOOKUP(sales2[[#This Row],[Fecha]],Opex!C:J,8,1)</f>
        <v>55000</v>
      </c>
      <c r="F52" s="177">
        <f>+SUM(sales2[[#This Row],[Gas]:[Electricidad]])</f>
        <v>0</v>
      </c>
      <c r="G52" s="1"/>
      <c r="H52" s="1"/>
      <c r="I52" s="1"/>
      <c r="J52" s="1"/>
      <c r="K52" s="177"/>
      <c r="L52" s="1">
        <v>0</v>
      </c>
      <c r="M52" s="1">
        <v>0</v>
      </c>
      <c r="N52" s="1">
        <v>0</v>
      </c>
      <c r="O52" s="1"/>
      <c r="P52">
        <v>3000</v>
      </c>
      <c r="R52" t="s">
        <v>251</v>
      </c>
    </row>
    <row r="53" spans="2:18" x14ac:dyDescent="0.2">
      <c r="B53" s="28">
        <f t="shared" si="0"/>
        <v>46118</v>
      </c>
      <c r="C53" s="28" t="str">
        <f>+TEXT(sales2[[#This Row],[Fecha]],"ddd")</f>
        <v>lun</v>
      </c>
      <c r="D53" s="178">
        <f>+sales2[[#This Row],[Arriendo]]+sales2[[#This Row],[Gas]]+sales2[[#This Row],[Agua]]+sales2[[#This Row],[Electricidad]]+sales2[[#This Row],[Nomina]]</f>
        <v>55000</v>
      </c>
      <c r="E53" s="177">
        <f>+VLOOKUP(sales2[[#This Row],[Fecha]],Opex!C:J,8,1)</f>
        <v>55000</v>
      </c>
      <c r="F53" s="177">
        <f>+SUM(sales2[[#This Row],[Gas]:[Electricidad]])</f>
        <v>0</v>
      </c>
      <c r="G53" s="1"/>
      <c r="H53" s="1"/>
      <c r="I53" s="1"/>
      <c r="J53" s="1"/>
      <c r="K53" s="177"/>
      <c r="L53" s="1">
        <v>0</v>
      </c>
      <c r="M53" s="1">
        <v>0</v>
      </c>
      <c r="N53" s="1">
        <v>0</v>
      </c>
      <c r="O53" s="1"/>
      <c r="P53" t="s">
        <v>253</v>
      </c>
      <c r="R53" t="s">
        <v>252</v>
      </c>
    </row>
    <row r="54" spans="2:18" x14ac:dyDescent="0.2">
      <c r="B54" s="28">
        <f t="shared" si="0"/>
        <v>46119</v>
      </c>
      <c r="C54" s="28" t="str">
        <f>+TEXT(sales2[[#This Row],[Fecha]],"ddd")</f>
        <v>mar</v>
      </c>
      <c r="D54" s="178">
        <f>+sales2[[#This Row],[Arriendo]]+sales2[[#This Row],[Gas]]+sales2[[#This Row],[Agua]]+sales2[[#This Row],[Electricidad]]+sales2[[#This Row],[Nomina]]</f>
        <v>55000</v>
      </c>
      <c r="E54" s="177">
        <f>+VLOOKUP(sales2[[#This Row],[Fecha]],Opex!C:J,8,1)</f>
        <v>55000</v>
      </c>
      <c r="F54" s="177">
        <f>+SUM(sales2[[#This Row],[Gas]:[Electricidad]])</f>
        <v>0</v>
      </c>
      <c r="G54" s="1"/>
      <c r="H54" s="1"/>
      <c r="I54" s="1"/>
      <c r="J54" s="1"/>
      <c r="K54" s="177"/>
      <c r="L54" s="1">
        <v>0</v>
      </c>
      <c r="M54" s="1">
        <v>0</v>
      </c>
      <c r="N54" s="1">
        <v>0</v>
      </c>
      <c r="O54" s="1"/>
    </row>
    <row r="55" spans="2:18" x14ac:dyDescent="0.2">
      <c r="B55" s="28">
        <f t="shared" si="0"/>
        <v>46120</v>
      </c>
      <c r="C55" s="28" t="str">
        <f>+TEXT(sales2[[#This Row],[Fecha]],"ddd")</f>
        <v>mié</v>
      </c>
      <c r="D55" s="178">
        <f>+sales2[[#This Row],[Arriendo]]+sales2[[#This Row],[Gas]]+sales2[[#This Row],[Agua]]+sales2[[#This Row],[Electricidad]]+sales2[[#This Row],[Nomina]]</f>
        <v>55000</v>
      </c>
      <c r="E55" s="177">
        <f>+VLOOKUP(sales2[[#This Row],[Fecha]],Opex!C:J,8,1)</f>
        <v>55000</v>
      </c>
      <c r="F55" s="177">
        <f>+SUM(sales2[[#This Row],[Gas]:[Electricidad]])</f>
        <v>0</v>
      </c>
      <c r="G55" s="1"/>
      <c r="H55" s="1"/>
      <c r="I55" s="1"/>
      <c r="J55" s="1"/>
      <c r="K55" s="177"/>
      <c r="L55" s="1">
        <v>0</v>
      </c>
      <c r="M55" s="1">
        <v>0</v>
      </c>
      <c r="N55" s="1">
        <v>0</v>
      </c>
      <c r="O55" s="1"/>
    </row>
    <row r="56" spans="2:18" x14ac:dyDescent="0.2">
      <c r="B56" s="28">
        <f t="shared" si="0"/>
        <v>46121</v>
      </c>
      <c r="C56" s="28" t="str">
        <f>+TEXT(sales2[[#This Row],[Fecha]],"ddd")</f>
        <v>jue</v>
      </c>
      <c r="D56" s="178">
        <f>+sales2[[#This Row],[Arriendo]]+sales2[[#This Row],[Gas]]+sales2[[#This Row],[Agua]]+sales2[[#This Row],[Electricidad]]+sales2[[#This Row],[Nomina]]</f>
        <v>55000</v>
      </c>
      <c r="E56" s="177">
        <f>+VLOOKUP(sales2[[#This Row],[Fecha]],Opex!C:J,8,1)</f>
        <v>55000</v>
      </c>
      <c r="F56" s="177">
        <f>+SUM(sales2[[#This Row],[Gas]:[Electricidad]])</f>
        <v>0</v>
      </c>
      <c r="G56" s="1"/>
      <c r="H56" s="1"/>
      <c r="I56" s="1"/>
      <c r="J56" s="1"/>
      <c r="K56" s="177"/>
      <c r="L56" s="1">
        <v>0</v>
      </c>
      <c r="M56" s="1">
        <v>0</v>
      </c>
      <c r="N56" s="1">
        <v>0</v>
      </c>
      <c r="O56" s="1"/>
    </row>
    <row r="57" spans="2:18" x14ac:dyDescent="0.2">
      <c r="B57" s="28">
        <f t="shared" si="0"/>
        <v>46122</v>
      </c>
      <c r="C57" s="28" t="str">
        <f>+TEXT(sales2[[#This Row],[Fecha]],"ddd")</f>
        <v>vie</v>
      </c>
      <c r="D57" s="178">
        <f>+sales2[[#This Row],[Arriendo]]+sales2[[#This Row],[Gas]]+sales2[[#This Row],[Agua]]+sales2[[#This Row],[Electricidad]]+sales2[[#This Row],[Nomina]]</f>
        <v>55000</v>
      </c>
      <c r="E57" s="177">
        <f>+VLOOKUP(sales2[[#This Row],[Fecha]],Opex!C:J,8,1)</f>
        <v>55000</v>
      </c>
      <c r="F57" s="177">
        <f>+SUM(sales2[[#This Row],[Gas]:[Electricidad]])</f>
        <v>0</v>
      </c>
      <c r="G57" s="1"/>
      <c r="H57" s="1"/>
      <c r="I57" s="1"/>
      <c r="J57" s="1"/>
      <c r="K57" s="177"/>
      <c r="L57" s="1">
        <v>0</v>
      </c>
      <c r="M57" s="1">
        <v>0</v>
      </c>
      <c r="N57" s="1">
        <v>0</v>
      </c>
      <c r="O57" s="1"/>
    </row>
    <row r="58" spans="2:18" x14ac:dyDescent="0.2">
      <c r="B58" s="28">
        <f t="shared" si="0"/>
        <v>46123</v>
      </c>
      <c r="C58" s="28" t="str">
        <f>+TEXT(sales2[[#This Row],[Fecha]],"ddd")</f>
        <v>sáb</v>
      </c>
      <c r="D58" s="178">
        <f>+sales2[[#This Row],[Arriendo]]+sales2[[#This Row],[Gas]]+sales2[[#This Row],[Agua]]+sales2[[#This Row],[Electricidad]]+sales2[[#This Row],[Nomina]]</f>
        <v>55000</v>
      </c>
      <c r="E58" s="177">
        <f>+VLOOKUP(sales2[[#This Row],[Fecha]],Opex!C:J,8,1)</f>
        <v>55000</v>
      </c>
      <c r="F58" s="177">
        <f>+SUM(sales2[[#This Row],[Gas]:[Electricidad]])</f>
        <v>0</v>
      </c>
      <c r="G58" s="1"/>
      <c r="H58" s="1"/>
      <c r="I58" s="1"/>
      <c r="J58" s="1"/>
      <c r="K58" s="177"/>
      <c r="L58" s="1">
        <v>0</v>
      </c>
      <c r="M58" s="1">
        <v>0</v>
      </c>
      <c r="N58" s="1">
        <v>0</v>
      </c>
      <c r="O58" s="1"/>
    </row>
    <row r="59" spans="2:18" x14ac:dyDescent="0.2">
      <c r="B59" s="28">
        <f t="shared" si="0"/>
        <v>46124</v>
      </c>
      <c r="C59" s="28" t="str">
        <f>+TEXT(sales2[[#This Row],[Fecha]],"ddd")</f>
        <v>dom</v>
      </c>
      <c r="D59" s="178">
        <f>+sales2[[#This Row],[Arriendo]]+sales2[[#This Row],[Gas]]+sales2[[#This Row],[Agua]]+sales2[[#This Row],[Electricidad]]+sales2[[#This Row],[Nomina]]</f>
        <v>55000</v>
      </c>
      <c r="E59" s="177">
        <f>+VLOOKUP(sales2[[#This Row],[Fecha]],Opex!C:J,8,1)</f>
        <v>55000</v>
      </c>
      <c r="F59" s="177">
        <f>+SUM(sales2[[#This Row],[Gas]:[Electricidad]])</f>
        <v>0</v>
      </c>
      <c r="G59" s="1"/>
      <c r="H59" s="1"/>
      <c r="I59" s="1"/>
      <c r="J59" s="1"/>
      <c r="K59" s="177"/>
      <c r="L59" s="1">
        <v>0</v>
      </c>
      <c r="M59" s="1">
        <v>0</v>
      </c>
      <c r="N59" s="1">
        <v>0</v>
      </c>
      <c r="O59" s="1"/>
    </row>
    <row r="60" spans="2:18" x14ac:dyDescent="0.2">
      <c r="B60" s="28">
        <f t="shared" si="0"/>
        <v>46125</v>
      </c>
      <c r="C60" s="28" t="str">
        <f>+TEXT(sales2[[#This Row],[Fecha]],"ddd")</f>
        <v>lun</v>
      </c>
      <c r="D60" s="178">
        <f>+sales2[[#This Row],[Arriendo]]+sales2[[#This Row],[Gas]]+sales2[[#This Row],[Agua]]+sales2[[#This Row],[Electricidad]]+sales2[[#This Row],[Nomina]]</f>
        <v>55000</v>
      </c>
      <c r="E60" s="177">
        <f>+VLOOKUP(sales2[[#This Row],[Fecha]],Opex!C:J,8,1)</f>
        <v>55000</v>
      </c>
      <c r="F60" s="177">
        <f>+SUM(sales2[[#This Row],[Gas]:[Electricidad]])</f>
        <v>0</v>
      </c>
      <c r="G60" s="1"/>
      <c r="H60" s="1"/>
      <c r="I60" s="1"/>
      <c r="J60" s="1"/>
      <c r="K60" s="177"/>
      <c r="L60" s="1">
        <v>0</v>
      </c>
      <c r="M60" s="1">
        <v>0</v>
      </c>
      <c r="N60" s="1">
        <v>0</v>
      </c>
      <c r="O60" s="1"/>
    </row>
    <row r="61" spans="2:18" x14ac:dyDescent="0.2">
      <c r="B61" s="28">
        <f t="shared" si="0"/>
        <v>46126</v>
      </c>
      <c r="C61" s="28" t="str">
        <f>+TEXT(sales2[[#This Row],[Fecha]],"ddd")</f>
        <v>mar</v>
      </c>
      <c r="D61" s="178">
        <f>+sales2[[#This Row],[Arriendo]]+sales2[[#This Row],[Gas]]+sales2[[#This Row],[Agua]]+sales2[[#This Row],[Electricidad]]+sales2[[#This Row],[Nomina]]</f>
        <v>55000</v>
      </c>
      <c r="E61" s="177">
        <f>+VLOOKUP(sales2[[#This Row],[Fecha]],Opex!C:J,8,1)</f>
        <v>55000</v>
      </c>
      <c r="F61" s="177">
        <f>+SUM(sales2[[#This Row],[Gas]:[Electricidad]])</f>
        <v>0</v>
      </c>
      <c r="G61" s="1"/>
      <c r="H61" s="1"/>
      <c r="I61" s="1"/>
      <c r="J61" s="1"/>
      <c r="K61" s="177"/>
      <c r="L61" s="1">
        <v>0</v>
      </c>
      <c r="M61" s="1">
        <v>0</v>
      </c>
      <c r="N61" s="1">
        <v>0</v>
      </c>
      <c r="O61" s="1"/>
    </row>
    <row r="62" spans="2:18" x14ac:dyDescent="0.2">
      <c r="B62" s="28">
        <f t="shared" si="0"/>
        <v>46127</v>
      </c>
      <c r="C62" s="28" t="str">
        <f>+TEXT(sales2[[#This Row],[Fecha]],"ddd")</f>
        <v>mié</v>
      </c>
      <c r="D62" s="178">
        <f>+sales2[[#This Row],[Arriendo]]+sales2[[#This Row],[Gas]]+sales2[[#This Row],[Agua]]+sales2[[#This Row],[Electricidad]]+sales2[[#This Row],[Nomina]]</f>
        <v>56896.551724137928</v>
      </c>
      <c r="E62" s="177">
        <f>+VLOOKUP(sales2[[#This Row],[Fecha]],Opex!C:J,8,1)</f>
        <v>56896.551724137928</v>
      </c>
      <c r="F62" s="177">
        <f>+SUM(sales2[[#This Row],[Gas]:[Electricidad]])</f>
        <v>0</v>
      </c>
      <c r="G62" s="1"/>
      <c r="H62" s="1"/>
      <c r="I62" s="1"/>
      <c r="J62" s="1"/>
      <c r="K62" s="177"/>
      <c r="L62" s="1">
        <v>0</v>
      </c>
      <c r="M62" s="1">
        <v>0</v>
      </c>
      <c r="N62" s="1">
        <v>0</v>
      </c>
      <c r="O62" s="1"/>
    </row>
    <row r="63" spans="2:18" x14ac:dyDescent="0.2">
      <c r="B63" s="28">
        <f t="shared" si="0"/>
        <v>46128</v>
      </c>
      <c r="C63" s="28" t="str">
        <f>+TEXT(sales2[[#This Row],[Fecha]],"ddd")</f>
        <v>jue</v>
      </c>
      <c r="D63" s="178">
        <f>+sales2[[#This Row],[Arriendo]]+sales2[[#This Row],[Gas]]+sales2[[#This Row],[Agua]]+sales2[[#This Row],[Electricidad]]+sales2[[#This Row],[Nomina]]</f>
        <v>56896.551724137928</v>
      </c>
      <c r="E63" s="177">
        <f>+VLOOKUP(sales2[[#This Row],[Fecha]],Opex!C:J,8,1)</f>
        <v>56896.551724137928</v>
      </c>
      <c r="F63" s="177">
        <f>+SUM(sales2[[#This Row],[Gas]:[Electricidad]])</f>
        <v>0</v>
      </c>
      <c r="G63" s="1"/>
      <c r="H63" s="1"/>
      <c r="I63" s="1"/>
      <c r="J63" s="1"/>
      <c r="K63" s="177"/>
      <c r="L63" s="1">
        <v>0</v>
      </c>
      <c r="M63" s="1">
        <v>0</v>
      </c>
      <c r="N63" s="1">
        <v>0</v>
      </c>
      <c r="O63" s="1"/>
    </row>
    <row r="64" spans="2:18" x14ac:dyDescent="0.2">
      <c r="B64" s="28">
        <f t="shared" si="0"/>
        <v>46129</v>
      </c>
      <c r="C64" s="28" t="str">
        <f>+TEXT(sales2[[#This Row],[Fecha]],"ddd")</f>
        <v>vie</v>
      </c>
      <c r="D64" s="178">
        <f>+sales2[[#This Row],[Arriendo]]+sales2[[#This Row],[Gas]]+sales2[[#This Row],[Agua]]+sales2[[#This Row],[Electricidad]]+sales2[[#This Row],[Nomina]]</f>
        <v>56896.551724137928</v>
      </c>
      <c r="E64" s="177">
        <f>+VLOOKUP(sales2[[#This Row],[Fecha]],Opex!C:J,8,1)</f>
        <v>56896.551724137928</v>
      </c>
      <c r="F64" s="177">
        <f>+SUM(sales2[[#This Row],[Gas]:[Electricidad]])</f>
        <v>0</v>
      </c>
      <c r="G64" s="1"/>
      <c r="H64" s="1"/>
      <c r="I64" s="1"/>
      <c r="J64" s="1"/>
      <c r="K64" s="177"/>
      <c r="L64" s="1">
        <v>0</v>
      </c>
      <c r="M64" s="1">
        <v>0</v>
      </c>
      <c r="N64" s="1">
        <v>0</v>
      </c>
      <c r="O64" s="1"/>
    </row>
    <row r="65" spans="2:15" x14ac:dyDescent="0.2">
      <c r="B65" s="28">
        <f t="shared" si="0"/>
        <v>46130</v>
      </c>
      <c r="C65" s="28" t="str">
        <f>+TEXT(sales2[[#This Row],[Fecha]],"ddd")</f>
        <v>sáb</v>
      </c>
      <c r="D65" s="178">
        <f>+sales2[[#This Row],[Arriendo]]+sales2[[#This Row],[Gas]]+sales2[[#This Row],[Agua]]+sales2[[#This Row],[Electricidad]]+sales2[[#This Row],[Nomina]]</f>
        <v>56896.551724137928</v>
      </c>
      <c r="E65" s="177">
        <f>+VLOOKUP(sales2[[#This Row],[Fecha]],Opex!C:J,8,1)</f>
        <v>56896.551724137928</v>
      </c>
      <c r="F65" s="177">
        <f>+SUM(sales2[[#This Row],[Gas]:[Electricidad]])</f>
        <v>0</v>
      </c>
      <c r="G65" s="1"/>
      <c r="H65" s="1"/>
      <c r="I65" s="1"/>
      <c r="J65" s="1"/>
      <c r="K65" s="177"/>
      <c r="L65" s="1">
        <v>0</v>
      </c>
      <c r="M65" s="1">
        <v>0</v>
      </c>
      <c r="N65" s="1">
        <v>0</v>
      </c>
      <c r="O65" s="1"/>
    </row>
    <row r="66" spans="2:15" x14ac:dyDescent="0.2">
      <c r="B66" s="28">
        <f t="shared" si="0"/>
        <v>46131</v>
      </c>
      <c r="C66" s="28" t="str">
        <f>+TEXT(sales2[[#This Row],[Fecha]],"ddd")</f>
        <v>dom</v>
      </c>
      <c r="D66" s="178">
        <f>+sales2[[#This Row],[Arriendo]]+sales2[[#This Row],[Gas]]+sales2[[#This Row],[Agua]]+sales2[[#This Row],[Electricidad]]+sales2[[#This Row],[Nomina]]</f>
        <v>56896.551724137928</v>
      </c>
      <c r="E66" s="177">
        <f>+VLOOKUP(sales2[[#This Row],[Fecha]],Opex!C:J,8,1)</f>
        <v>56896.551724137928</v>
      </c>
      <c r="F66" s="177">
        <f>+SUM(sales2[[#This Row],[Gas]:[Electricidad]])</f>
        <v>0</v>
      </c>
      <c r="G66" s="1"/>
      <c r="H66" s="1"/>
      <c r="I66" s="1"/>
      <c r="J66" s="1"/>
      <c r="K66" s="177"/>
      <c r="L66" s="1">
        <v>0</v>
      </c>
      <c r="M66" s="1">
        <v>0</v>
      </c>
      <c r="N66" s="1">
        <v>0</v>
      </c>
      <c r="O66" s="1"/>
    </row>
    <row r="67" spans="2:15" x14ac:dyDescent="0.2">
      <c r="B67" s="28">
        <f t="shared" si="0"/>
        <v>46132</v>
      </c>
      <c r="C67" s="28" t="str">
        <f>+TEXT(sales2[[#This Row],[Fecha]],"ddd")</f>
        <v>lun</v>
      </c>
      <c r="D67" s="178">
        <f>+sales2[[#This Row],[Arriendo]]+sales2[[#This Row],[Gas]]+sales2[[#This Row],[Agua]]+sales2[[#This Row],[Electricidad]]+sales2[[#This Row],[Nomina]]</f>
        <v>56896.551724137928</v>
      </c>
      <c r="E67" s="177">
        <f>+VLOOKUP(sales2[[#This Row],[Fecha]],Opex!C:J,8,1)</f>
        <v>56896.551724137928</v>
      </c>
      <c r="F67" s="177">
        <f>+SUM(sales2[[#This Row],[Gas]:[Electricidad]])</f>
        <v>0</v>
      </c>
      <c r="G67" s="1"/>
      <c r="H67" s="1"/>
      <c r="I67" s="1"/>
      <c r="J67" s="1"/>
      <c r="K67" s="177"/>
      <c r="L67" s="1">
        <v>0</v>
      </c>
      <c r="M67" s="1">
        <v>0</v>
      </c>
      <c r="N67" s="1">
        <v>0</v>
      </c>
      <c r="O67" s="1"/>
    </row>
    <row r="68" spans="2:15" x14ac:dyDescent="0.2">
      <c r="B68" s="28">
        <f t="shared" si="0"/>
        <v>46133</v>
      </c>
      <c r="C68" s="28" t="str">
        <f>+TEXT(sales2[[#This Row],[Fecha]],"ddd")</f>
        <v>mar</v>
      </c>
      <c r="D68" s="178">
        <f>+sales2[[#This Row],[Arriendo]]+sales2[[#This Row],[Gas]]+sales2[[#This Row],[Agua]]+sales2[[#This Row],[Electricidad]]+sales2[[#This Row],[Nomina]]</f>
        <v>56896.551724137928</v>
      </c>
      <c r="E68" s="177">
        <f>+VLOOKUP(sales2[[#This Row],[Fecha]],Opex!C:J,8,1)</f>
        <v>56896.551724137928</v>
      </c>
      <c r="F68" s="177">
        <f>+SUM(sales2[[#This Row],[Gas]:[Electricidad]])</f>
        <v>0</v>
      </c>
      <c r="G68" s="1"/>
      <c r="H68" s="1"/>
      <c r="I68" s="1"/>
      <c r="J68" s="1"/>
      <c r="K68" s="177"/>
      <c r="L68" s="1">
        <v>0</v>
      </c>
      <c r="M68" s="1">
        <v>0</v>
      </c>
      <c r="N68" s="1">
        <v>0</v>
      </c>
      <c r="O68" s="1"/>
    </row>
    <row r="69" spans="2:15" x14ac:dyDescent="0.2">
      <c r="B69" s="28">
        <f t="shared" ref="B69:B122" si="1">+B68+1</f>
        <v>46134</v>
      </c>
      <c r="C69" s="28" t="str">
        <f>+TEXT(sales2[[#This Row],[Fecha]],"ddd")</f>
        <v>mié</v>
      </c>
      <c r="D69" s="178">
        <f>+sales2[[#This Row],[Arriendo]]+sales2[[#This Row],[Gas]]+sales2[[#This Row],[Agua]]+sales2[[#This Row],[Electricidad]]+sales2[[#This Row],[Nomina]]</f>
        <v>56896.551724137928</v>
      </c>
      <c r="E69" s="177">
        <f>+VLOOKUP(sales2[[#This Row],[Fecha]],Opex!C:J,8,1)</f>
        <v>56896.551724137928</v>
      </c>
      <c r="F69" s="177">
        <f>+SUM(sales2[[#This Row],[Gas]:[Electricidad]])</f>
        <v>0</v>
      </c>
      <c r="G69" s="1"/>
      <c r="H69" s="1"/>
      <c r="I69" s="1"/>
      <c r="J69" s="1"/>
      <c r="K69" s="177"/>
      <c r="L69" s="1">
        <v>0</v>
      </c>
      <c r="M69" s="1">
        <v>0</v>
      </c>
      <c r="N69" s="1">
        <v>0</v>
      </c>
      <c r="O69" s="1"/>
    </row>
    <row r="70" spans="2:15" x14ac:dyDescent="0.2">
      <c r="B70" s="28">
        <f t="shared" si="1"/>
        <v>46135</v>
      </c>
      <c r="C70" s="28" t="str">
        <f>+TEXT(sales2[[#This Row],[Fecha]],"ddd")</f>
        <v>jue</v>
      </c>
      <c r="D70" s="178">
        <f>+sales2[[#This Row],[Arriendo]]+sales2[[#This Row],[Gas]]+sales2[[#This Row],[Agua]]+sales2[[#This Row],[Electricidad]]+sales2[[#This Row],[Nomina]]</f>
        <v>56896.551724137928</v>
      </c>
      <c r="E70" s="177">
        <f>+VLOOKUP(sales2[[#This Row],[Fecha]],Opex!C:J,8,1)</f>
        <v>56896.551724137928</v>
      </c>
      <c r="F70" s="177">
        <f>+SUM(sales2[[#This Row],[Gas]:[Electricidad]])</f>
        <v>0</v>
      </c>
      <c r="G70" s="1"/>
      <c r="H70" s="1"/>
      <c r="I70" s="1"/>
      <c r="J70" s="1"/>
      <c r="K70" s="177"/>
      <c r="L70" s="1">
        <v>0</v>
      </c>
      <c r="M70" s="1">
        <v>0</v>
      </c>
      <c r="N70" s="1">
        <v>0</v>
      </c>
      <c r="O70" s="1"/>
    </row>
    <row r="71" spans="2:15" x14ac:dyDescent="0.2">
      <c r="B71" s="28">
        <f t="shared" si="1"/>
        <v>46136</v>
      </c>
      <c r="C71" s="28" t="str">
        <f>+TEXT(sales2[[#This Row],[Fecha]],"ddd")</f>
        <v>vie</v>
      </c>
      <c r="D71" s="178">
        <f>+sales2[[#This Row],[Arriendo]]+sales2[[#This Row],[Gas]]+sales2[[#This Row],[Agua]]+sales2[[#This Row],[Electricidad]]+sales2[[#This Row],[Nomina]]</f>
        <v>56896.551724137928</v>
      </c>
      <c r="E71" s="177">
        <f>+VLOOKUP(sales2[[#This Row],[Fecha]],Opex!C:J,8,1)</f>
        <v>56896.551724137928</v>
      </c>
      <c r="F71" s="177">
        <f>+SUM(sales2[[#This Row],[Gas]:[Electricidad]])</f>
        <v>0</v>
      </c>
      <c r="G71" s="1"/>
      <c r="H71" s="1"/>
      <c r="I71" s="1"/>
      <c r="J71" s="1"/>
      <c r="K71" s="177"/>
      <c r="L71" s="1">
        <v>0</v>
      </c>
      <c r="M71" s="1">
        <v>0</v>
      </c>
      <c r="N71" s="1">
        <v>0</v>
      </c>
      <c r="O71" s="1"/>
    </row>
    <row r="72" spans="2:15" x14ac:dyDescent="0.2">
      <c r="B72" s="28">
        <f t="shared" si="1"/>
        <v>46137</v>
      </c>
      <c r="C72" s="28" t="str">
        <f>+TEXT(sales2[[#This Row],[Fecha]],"ddd")</f>
        <v>sáb</v>
      </c>
      <c r="D72" s="178">
        <f>+sales2[[#This Row],[Arriendo]]+sales2[[#This Row],[Gas]]+sales2[[#This Row],[Agua]]+sales2[[#This Row],[Electricidad]]+sales2[[#This Row],[Nomina]]</f>
        <v>56896.551724137928</v>
      </c>
      <c r="E72" s="177">
        <f>+VLOOKUP(sales2[[#This Row],[Fecha]],Opex!C:J,8,1)</f>
        <v>56896.551724137928</v>
      </c>
      <c r="F72" s="177">
        <f>+SUM(sales2[[#This Row],[Gas]:[Electricidad]])</f>
        <v>0</v>
      </c>
      <c r="G72" s="1"/>
      <c r="H72" s="1"/>
      <c r="I72" s="1"/>
      <c r="J72" s="1"/>
      <c r="K72" s="177"/>
      <c r="L72" s="1">
        <v>0</v>
      </c>
      <c r="M72" s="1">
        <v>0</v>
      </c>
      <c r="N72" s="1">
        <v>0</v>
      </c>
      <c r="O72" s="1"/>
    </row>
    <row r="73" spans="2:15" x14ac:dyDescent="0.2">
      <c r="B73" s="28">
        <f t="shared" si="1"/>
        <v>46138</v>
      </c>
      <c r="C73" s="28" t="str">
        <f>+TEXT(sales2[[#This Row],[Fecha]],"ddd")</f>
        <v>dom</v>
      </c>
      <c r="D73" s="178">
        <f>+sales2[[#This Row],[Arriendo]]+sales2[[#This Row],[Gas]]+sales2[[#This Row],[Agua]]+sales2[[#This Row],[Electricidad]]+sales2[[#This Row],[Nomina]]</f>
        <v>56896.551724137928</v>
      </c>
      <c r="E73" s="177">
        <f>+VLOOKUP(sales2[[#This Row],[Fecha]],Opex!C:J,8,1)</f>
        <v>56896.551724137928</v>
      </c>
      <c r="F73" s="177">
        <f>+SUM(sales2[[#This Row],[Gas]:[Electricidad]])</f>
        <v>0</v>
      </c>
      <c r="G73" s="1"/>
      <c r="H73" s="1"/>
      <c r="I73" s="1"/>
      <c r="J73" s="1"/>
      <c r="K73" s="177"/>
      <c r="L73" s="1">
        <v>0</v>
      </c>
      <c r="M73" s="1">
        <v>0</v>
      </c>
      <c r="N73" s="1">
        <v>0</v>
      </c>
      <c r="O73" s="1"/>
    </row>
    <row r="74" spans="2:15" x14ac:dyDescent="0.2">
      <c r="B74" s="28">
        <f t="shared" si="1"/>
        <v>46139</v>
      </c>
      <c r="C74" s="28" t="str">
        <f>+TEXT(sales2[[#This Row],[Fecha]],"ddd")</f>
        <v>lun</v>
      </c>
      <c r="D74" s="178">
        <f>+sales2[[#This Row],[Arriendo]]+sales2[[#This Row],[Gas]]+sales2[[#This Row],[Agua]]+sales2[[#This Row],[Electricidad]]+sales2[[#This Row],[Nomina]]</f>
        <v>56896.551724137928</v>
      </c>
      <c r="E74" s="177">
        <f>+VLOOKUP(sales2[[#This Row],[Fecha]],Opex!C:J,8,1)</f>
        <v>56896.551724137928</v>
      </c>
      <c r="F74" s="177">
        <f>+SUM(sales2[[#This Row],[Gas]:[Electricidad]])</f>
        <v>0</v>
      </c>
      <c r="G74" s="1"/>
      <c r="H74" s="1"/>
      <c r="I74" s="1"/>
      <c r="J74" s="1"/>
      <c r="K74" s="177"/>
      <c r="L74" s="1">
        <v>0</v>
      </c>
      <c r="M74" s="1">
        <v>0</v>
      </c>
      <c r="N74" s="1">
        <v>0</v>
      </c>
      <c r="O74" s="1"/>
    </row>
    <row r="75" spans="2:15" x14ac:dyDescent="0.2">
      <c r="B75" s="28">
        <f t="shared" si="1"/>
        <v>46140</v>
      </c>
      <c r="C75" s="28" t="str">
        <f>+TEXT(sales2[[#This Row],[Fecha]],"ddd")</f>
        <v>mar</v>
      </c>
      <c r="D75" s="178">
        <f>+sales2[[#This Row],[Arriendo]]+sales2[[#This Row],[Gas]]+sales2[[#This Row],[Agua]]+sales2[[#This Row],[Electricidad]]+sales2[[#This Row],[Nomina]]</f>
        <v>56896.551724137928</v>
      </c>
      <c r="E75" s="177">
        <f>+VLOOKUP(sales2[[#This Row],[Fecha]],Opex!C:J,8,1)</f>
        <v>56896.551724137928</v>
      </c>
      <c r="F75" s="177">
        <f>+SUM(sales2[[#This Row],[Gas]:[Electricidad]])</f>
        <v>0</v>
      </c>
      <c r="G75" s="1"/>
      <c r="H75" s="1"/>
      <c r="I75" s="1"/>
      <c r="J75" s="1"/>
      <c r="K75" s="177"/>
      <c r="L75" s="1">
        <v>0</v>
      </c>
      <c r="M75" s="1">
        <v>0</v>
      </c>
      <c r="N75" s="1">
        <v>0</v>
      </c>
      <c r="O75" s="1"/>
    </row>
    <row r="76" spans="2:15" x14ac:dyDescent="0.2">
      <c r="B76" s="28">
        <f t="shared" si="1"/>
        <v>46141</v>
      </c>
      <c r="C76" s="28" t="str">
        <f>+TEXT(sales2[[#This Row],[Fecha]],"ddd")</f>
        <v>mié</v>
      </c>
      <c r="D76" s="178">
        <f>+sales2[[#This Row],[Arriendo]]+sales2[[#This Row],[Gas]]+sales2[[#This Row],[Agua]]+sales2[[#This Row],[Electricidad]]+sales2[[#This Row],[Nomina]]</f>
        <v>56896.551724137928</v>
      </c>
      <c r="E76" s="177">
        <f>+VLOOKUP(sales2[[#This Row],[Fecha]],Opex!C:J,8,1)</f>
        <v>56896.551724137928</v>
      </c>
      <c r="F76" s="177">
        <f>+SUM(sales2[[#This Row],[Gas]:[Electricidad]])</f>
        <v>0</v>
      </c>
      <c r="G76" s="1"/>
      <c r="H76" s="1"/>
      <c r="I76" s="1"/>
      <c r="J76" s="1"/>
      <c r="K76" s="177"/>
      <c r="L76" s="1">
        <v>0</v>
      </c>
      <c r="M76" s="1">
        <v>0</v>
      </c>
      <c r="N76" s="1">
        <v>0</v>
      </c>
      <c r="O76" s="1"/>
    </row>
    <row r="77" spans="2:15" x14ac:dyDescent="0.2">
      <c r="B77" s="28">
        <f t="shared" si="1"/>
        <v>46142</v>
      </c>
      <c r="C77" s="28" t="str">
        <f>+TEXT(sales2[[#This Row],[Fecha]],"ddd")</f>
        <v>jue</v>
      </c>
      <c r="D77" s="178">
        <f>+sales2[[#This Row],[Arriendo]]+sales2[[#This Row],[Gas]]+sales2[[#This Row],[Agua]]+sales2[[#This Row],[Electricidad]]+sales2[[#This Row],[Nomina]]</f>
        <v>56896.551724137928</v>
      </c>
      <c r="E77" s="177">
        <f>+VLOOKUP(sales2[[#This Row],[Fecha]],Opex!C:J,8,1)</f>
        <v>56896.551724137928</v>
      </c>
      <c r="F77" s="177">
        <f>+SUM(sales2[[#This Row],[Gas]:[Electricidad]])</f>
        <v>0</v>
      </c>
      <c r="G77" s="1"/>
      <c r="H77" s="1"/>
      <c r="I77" s="1"/>
      <c r="J77" s="1"/>
      <c r="K77" s="177"/>
      <c r="L77" s="1">
        <v>0</v>
      </c>
      <c r="M77" s="1">
        <v>0</v>
      </c>
      <c r="N77" s="1">
        <v>0</v>
      </c>
      <c r="O77" s="1"/>
    </row>
    <row r="78" spans="2:15" x14ac:dyDescent="0.2">
      <c r="B78" s="28">
        <f t="shared" si="1"/>
        <v>46143</v>
      </c>
      <c r="C78" s="28" t="str">
        <f>+TEXT(sales2[[#This Row],[Fecha]],"ddd")</f>
        <v>vie</v>
      </c>
      <c r="D78" s="178">
        <f>+sales2[[#This Row],[Arriendo]]+sales2[[#This Row],[Gas]]+sales2[[#This Row],[Agua]]+sales2[[#This Row],[Electricidad]]+sales2[[#This Row],[Nomina]]</f>
        <v>56896.551724137928</v>
      </c>
      <c r="E78" s="177">
        <f>+VLOOKUP(sales2[[#This Row],[Fecha]],Opex!C:J,8,1)</f>
        <v>56896.551724137928</v>
      </c>
      <c r="F78" s="177">
        <f>+SUM(sales2[[#This Row],[Gas]:[Electricidad]])</f>
        <v>0</v>
      </c>
      <c r="G78" s="1"/>
      <c r="H78" s="1"/>
      <c r="I78" s="1"/>
      <c r="J78" s="1"/>
      <c r="K78" s="177"/>
      <c r="L78" s="1">
        <v>0</v>
      </c>
      <c r="M78" s="1">
        <v>0</v>
      </c>
      <c r="N78" s="1">
        <v>0</v>
      </c>
      <c r="O78" s="1"/>
    </row>
    <row r="79" spans="2:15" x14ac:dyDescent="0.2">
      <c r="B79" s="28">
        <f t="shared" si="1"/>
        <v>46144</v>
      </c>
      <c r="C79" s="28" t="str">
        <f>+TEXT(sales2[[#This Row],[Fecha]],"ddd")</f>
        <v>sáb</v>
      </c>
      <c r="D79" s="178">
        <f>+sales2[[#This Row],[Arriendo]]+sales2[[#This Row],[Gas]]+sales2[[#This Row],[Agua]]+sales2[[#This Row],[Electricidad]]+sales2[[#This Row],[Nomina]]</f>
        <v>56896.551724137928</v>
      </c>
      <c r="E79" s="177">
        <f>+VLOOKUP(sales2[[#This Row],[Fecha]],Opex!C:J,8,1)</f>
        <v>56896.551724137928</v>
      </c>
      <c r="F79" s="177">
        <f>+SUM(sales2[[#This Row],[Gas]:[Electricidad]])</f>
        <v>0</v>
      </c>
      <c r="G79" s="1"/>
      <c r="H79" s="1"/>
      <c r="I79" s="1"/>
      <c r="J79" s="1"/>
      <c r="K79" s="177"/>
      <c r="L79" s="1">
        <v>0</v>
      </c>
      <c r="M79" s="1">
        <v>0</v>
      </c>
      <c r="N79" s="1">
        <v>0</v>
      </c>
      <c r="O79" s="1"/>
    </row>
    <row r="80" spans="2:15" x14ac:dyDescent="0.2">
      <c r="B80" s="28">
        <f t="shared" si="1"/>
        <v>46145</v>
      </c>
      <c r="C80" s="28" t="str">
        <f>+TEXT(sales2[[#This Row],[Fecha]],"ddd")</f>
        <v>dom</v>
      </c>
      <c r="D80" s="178">
        <f>+sales2[[#This Row],[Arriendo]]+sales2[[#This Row],[Gas]]+sales2[[#This Row],[Agua]]+sales2[[#This Row],[Electricidad]]+sales2[[#This Row],[Nomina]]</f>
        <v>56896.551724137928</v>
      </c>
      <c r="E80" s="177">
        <f>+VLOOKUP(sales2[[#This Row],[Fecha]],Opex!C:J,8,1)</f>
        <v>56896.551724137928</v>
      </c>
      <c r="F80" s="177">
        <f>+SUM(sales2[[#This Row],[Gas]:[Electricidad]])</f>
        <v>0</v>
      </c>
      <c r="G80" s="1"/>
      <c r="H80" s="1"/>
      <c r="I80" s="1"/>
      <c r="J80" s="1"/>
      <c r="K80" s="177"/>
      <c r="L80" s="1">
        <v>0</v>
      </c>
      <c r="M80" s="1">
        <v>0</v>
      </c>
      <c r="N80" s="1">
        <v>0</v>
      </c>
      <c r="O80" s="1"/>
    </row>
    <row r="81" spans="2:15" x14ac:dyDescent="0.2">
      <c r="B81" s="28">
        <f t="shared" si="1"/>
        <v>46146</v>
      </c>
      <c r="C81" s="28" t="str">
        <f>+TEXT(sales2[[#This Row],[Fecha]],"ddd")</f>
        <v>lun</v>
      </c>
      <c r="D81" s="178">
        <f>+sales2[[#This Row],[Arriendo]]+sales2[[#This Row],[Gas]]+sales2[[#This Row],[Agua]]+sales2[[#This Row],[Electricidad]]+sales2[[#This Row],[Nomina]]</f>
        <v>56896.551724137928</v>
      </c>
      <c r="E81" s="177">
        <f>+VLOOKUP(sales2[[#This Row],[Fecha]],Opex!C:J,8,1)</f>
        <v>56896.551724137928</v>
      </c>
      <c r="F81" s="177">
        <f>+SUM(sales2[[#This Row],[Gas]:[Electricidad]])</f>
        <v>0</v>
      </c>
      <c r="G81" s="1"/>
      <c r="H81" s="1"/>
      <c r="I81" s="1"/>
      <c r="J81" s="1"/>
      <c r="K81" s="177"/>
      <c r="L81" s="1">
        <v>0</v>
      </c>
      <c r="M81" s="1">
        <v>0</v>
      </c>
      <c r="N81" s="1">
        <v>0</v>
      </c>
      <c r="O81" s="1"/>
    </row>
    <row r="82" spans="2:15" x14ac:dyDescent="0.2">
      <c r="B82" s="28">
        <f t="shared" si="1"/>
        <v>46147</v>
      </c>
      <c r="C82" s="28" t="str">
        <f>+TEXT(sales2[[#This Row],[Fecha]],"ddd")</f>
        <v>mar</v>
      </c>
      <c r="D82" s="178">
        <f>+sales2[[#This Row],[Arriendo]]+sales2[[#This Row],[Gas]]+sales2[[#This Row],[Agua]]+sales2[[#This Row],[Electricidad]]+sales2[[#This Row],[Nomina]]</f>
        <v>56896.551724137928</v>
      </c>
      <c r="E82" s="177">
        <f>+VLOOKUP(sales2[[#This Row],[Fecha]],Opex!C:J,8,1)</f>
        <v>56896.551724137928</v>
      </c>
      <c r="F82" s="177">
        <f>+SUM(sales2[[#This Row],[Gas]:[Electricidad]])</f>
        <v>0</v>
      </c>
      <c r="G82" s="1"/>
      <c r="H82" s="1"/>
      <c r="I82" s="1"/>
      <c r="J82" s="1"/>
      <c r="K82" s="177"/>
      <c r="L82" s="1">
        <v>0</v>
      </c>
      <c r="M82" s="1">
        <v>0</v>
      </c>
      <c r="N82" s="1">
        <v>0</v>
      </c>
      <c r="O82" s="1"/>
    </row>
    <row r="83" spans="2:15" x14ac:dyDescent="0.2">
      <c r="B83" s="28">
        <f t="shared" si="1"/>
        <v>46148</v>
      </c>
      <c r="C83" s="28" t="str">
        <f>+TEXT(sales2[[#This Row],[Fecha]],"ddd")</f>
        <v>mié</v>
      </c>
      <c r="D83" s="178">
        <f>+sales2[[#This Row],[Arriendo]]+sales2[[#This Row],[Gas]]+sales2[[#This Row],[Agua]]+sales2[[#This Row],[Electricidad]]+sales2[[#This Row],[Nomina]]</f>
        <v>56896.551724137928</v>
      </c>
      <c r="E83" s="177">
        <f>+VLOOKUP(sales2[[#This Row],[Fecha]],Opex!C:J,8,1)</f>
        <v>56896.551724137928</v>
      </c>
      <c r="F83" s="177">
        <f>+SUM(sales2[[#This Row],[Gas]:[Electricidad]])</f>
        <v>0</v>
      </c>
      <c r="G83" s="1"/>
      <c r="H83" s="1"/>
      <c r="I83" s="1"/>
      <c r="J83" s="1"/>
      <c r="K83" s="177"/>
      <c r="L83" s="1">
        <v>0</v>
      </c>
      <c r="M83" s="1">
        <v>0</v>
      </c>
      <c r="N83" s="1">
        <v>0</v>
      </c>
      <c r="O83" s="1"/>
    </row>
    <row r="84" spans="2:15" x14ac:dyDescent="0.2">
      <c r="B84" s="28">
        <f t="shared" si="1"/>
        <v>46149</v>
      </c>
      <c r="C84" s="28" t="str">
        <f>+TEXT(sales2[[#This Row],[Fecha]],"ddd")</f>
        <v>jue</v>
      </c>
      <c r="D84" s="178">
        <f>+sales2[[#This Row],[Arriendo]]+sales2[[#This Row],[Gas]]+sales2[[#This Row],[Agua]]+sales2[[#This Row],[Electricidad]]+sales2[[#This Row],[Nomina]]</f>
        <v>56896.551724137928</v>
      </c>
      <c r="E84" s="177">
        <f>+VLOOKUP(sales2[[#This Row],[Fecha]],Opex!C:J,8,1)</f>
        <v>56896.551724137928</v>
      </c>
      <c r="F84" s="177">
        <f>+SUM(sales2[[#This Row],[Gas]:[Electricidad]])</f>
        <v>0</v>
      </c>
      <c r="G84" s="1"/>
      <c r="H84" s="1"/>
      <c r="I84" s="1"/>
      <c r="J84" s="1"/>
      <c r="K84" s="177"/>
      <c r="L84" s="1">
        <v>0</v>
      </c>
      <c r="M84" s="1">
        <v>0</v>
      </c>
      <c r="N84" s="1">
        <v>0</v>
      </c>
      <c r="O84" s="1"/>
    </row>
    <row r="85" spans="2:15" x14ac:dyDescent="0.2">
      <c r="B85" s="28">
        <f t="shared" si="1"/>
        <v>46150</v>
      </c>
      <c r="C85" s="28" t="str">
        <f>+TEXT(sales2[[#This Row],[Fecha]],"ddd")</f>
        <v>vie</v>
      </c>
      <c r="D85" s="178">
        <f>+sales2[[#This Row],[Arriendo]]+sales2[[#This Row],[Gas]]+sales2[[#This Row],[Agua]]+sales2[[#This Row],[Electricidad]]+sales2[[#This Row],[Nomina]]</f>
        <v>56896.551724137928</v>
      </c>
      <c r="E85" s="177">
        <f>+VLOOKUP(sales2[[#This Row],[Fecha]],Opex!C:J,8,1)</f>
        <v>56896.551724137928</v>
      </c>
      <c r="F85" s="177">
        <f>+SUM(sales2[[#This Row],[Gas]:[Electricidad]])</f>
        <v>0</v>
      </c>
      <c r="G85" s="1"/>
      <c r="H85" s="1"/>
      <c r="I85" s="1"/>
      <c r="J85" s="1"/>
      <c r="K85" s="177"/>
      <c r="L85" s="1">
        <v>0</v>
      </c>
      <c r="M85" s="1">
        <v>0</v>
      </c>
      <c r="N85" s="1">
        <v>0</v>
      </c>
      <c r="O85" s="1"/>
    </row>
    <row r="86" spans="2:15" x14ac:dyDescent="0.2">
      <c r="B86" s="28">
        <f t="shared" si="1"/>
        <v>46151</v>
      </c>
      <c r="C86" s="28" t="str">
        <f>+TEXT(sales2[[#This Row],[Fecha]],"ddd")</f>
        <v>sáb</v>
      </c>
      <c r="D86" s="178">
        <f>+sales2[[#This Row],[Arriendo]]+sales2[[#This Row],[Gas]]+sales2[[#This Row],[Agua]]+sales2[[#This Row],[Electricidad]]+sales2[[#This Row],[Nomina]]</f>
        <v>56896.551724137928</v>
      </c>
      <c r="E86" s="177">
        <f>+VLOOKUP(sales2[[#This Row],[Fecha]],Opex!C:J,8,1)</f>
        <v>56896.551724137928</v>
      </c>
      <c r="F86" s="177">
        <f>+SUM(sales2[[#This Row],[Gas]:[Electricidad]])</f>
        <v>0</v>
      </c>
      <c r="G86" s="1"/>
      <c r="H86" s="1"/>
      <c r="I86" s="1"/>
      <c r="J86" s="1"/>
      <c r="K86" s="177"/>
      <c r="L86" s="1">
        <v>0</v>
      </c>
      <c r="M86" s="1">
        <v>0</v>
      </c>
      <c r="N86" s="1">
        <v>0</v>
      </c>
      <c r="O86" s="1"/>
    </row>
    <row r="87" spans="2:15" x14ac:dyDescent="0.2">
      <c r="B87" s="28">
        <f t="shared" si="1"/>
        <v>46152</v>
      </c>
      <c r="C87" s="28" t="str">
        <f>+TEXT(sales2[[#This Row],[Fecha]],"ddd")</f>
        <v>dom</v>
      </c>
      <c r="D87" s="178">
        <f>+sales2[[#This Row],[Arriendo]]+sales2[[#This Row],[Gas]]+sales2[[#This Row],[Agua]]+sales2[[#This Row],[Electricidad]]+sales2[[#This Row],[Nomina]]</f>
        <v>56896.551724137928</v>
      </c>
      <c r="E87" s="177">
        <f>+VLOOKUP(sales2[[#This Row],[Fecha]],Opex!C:J,8,1)</f>
        <v>56896.551724137928</v>
      </c>
      <c r="F87" s="177">
        <f>+SUM(sales2[[#This Row],[Gas]:[Electricidad]])</f>
        <v>0</v>
      </c>
      <c r="G87" s="1"/>
      <c r="H87" s="1"/>
      <c r="I87" s="1"/>
      <c r="J87" s="1"/>
      <c r="K87" s="177"/>
      <c r="L87" s="1">
        <v>0</v>
      </c>
      <c r="M87" s="1">
        <v>0</v>
      </c>
      <c r="N87" s="1">
        <v>0</v>
      </c>
      <c r="O87" s="1"/>
    </row>
    <row r="88" spans="2:15" x14ac:dyDescent="0.2">
      <c r="B88" s="28">
        <f t="shared" si="1"/>
        <v>46153</v>
      </c>
      <c r="C88" s="28" t="str">
        <f>+TEXT(sales2[[#This Row],[Fecha]],"ddd")</f>
        <v>lun</v>
      </c>
      <c r="D88" s="178">
        <f>+sales2[[#This Row],[Arriendo]]+sales2[[#This Row],[Gas]]+sales2[[#This Row],[Agua]]+sales2[[#This Row],[Electricidad]]+sales2[[#This Row],[Nomina]]</f>
        <v>56896.551724137928</v>
      </c>
      <c r="E88" s="177">
        <f>+VLOOKUP(sales2[[#This Row],[Fecha]],Opex!C:J,8,1)</f>
        <v>56896.551724137928</v>
      </c>
      <c r="F88" s="177">
        <f>+SUM(sales2[[#This Row],[Gas]:[Electricidad]])</f>
        <v>0</v>
      </c>
      <c r="G88" s="1"/>
      <c r="H88" s="1"/>
      <c r="I88" s="1"/>
      <c r="J88" s="1"/>
      <c r="K88" s="177"/>
      <c r="L88" s="1">
        <v>0</v>
      </c>
      <c r="M88" s="1">
        <v>0</v>
      </c>
      <c r="N88" s="1">
        <v>0</v>
      </c>
      <c r="O88" s="1"/>
    </row>
    <row r="89" spans="2:15" x14ac:dyDescent="0.2">
      <c r="B89" s="28">
        <f t="shared" si="1"/>
        <v>46154</v>
      </c>
      <c r="C89" s="28" t="str">
        <f>+TEXT(sales2[[#This Row],[Fecha]],"ddd")</f>
        <v>mar</v>
      </c>
      <c r="D89" s="178">
        <f>+sales2[[#This Row],[Arriendo]]+sales2[[#This Row],[Gas]]+sales2[[#This Row],[Agua]]+sales2[[#This Row],[Electricidad]]+sales2[[#This Row],[Nomina]]</f>
        <v>56896.551724137928</v>
      </c>
      <c r="E89" s="177">
        <f>+VLOOKUP(sales2[[#This Row],[Fecha]],Opex!C:J,8,1)</f>
        <v>56896.551724137928</v>
      </c>
      <c r="F89" s="177">
        <f>+SUM(sales2[[#This Row],[Gas]:[Electricidad]])</f>
        <v>0</v>
      </c>
      <c r="G89" s="1"/>
      <c r="H89" s="1"/>
      <c r="I89" s="1"/>
      <c r="J89" s="1"/>
      <c r="K89" s="177"/>
      <c r="L89" s="1">
        <v>0</v>
      </c>
      <c r="M89" s="1">
        <v>0</v>
      </c>
      <c r="N89" s="1">
        <v>0</v>
      </c>
      <c r="O89" s="1"/>
    </row>
    <row r="90" spans="2:15" x14ac:dyDescent="0.2">
      <c r="B90" s="28">
        <f t="shared" si="1"/>
        <v>46155</v>
      </c>
      <c r="C90" s="28" t="str">
        <f>+TEXT(sales2[[#This Row],[Fecha]],"ddd")</f>
        <v>mié</v>
      </c>
      <c r="D90" s="178">
        <f>+sales2[[#This Row],[Arriendo]]+sales2[[#This Row],[Gas]]+sales2[[#This Row],[Agua]]+sales2[[#This Row],[Electricidad]]+sales2[[#This Row],[Nomina]]</f>
        <v>56896.551724137928</v>
      </c>
      <c r="E90" s="177">
        <f>+VLOOKUP(sales2[[#This Row],[Fecha]],Opex!C:J,8,1)</f>
        <v>56896.551724137928</v>
      </c>
      <c r="F90" s="177">
        <f>+SUM(sales2[[#This Row],[Gas]:[Electricidad]])</f>
        <v>0</v>
      </c>
      <c r="G90" s="1"/>
      <c r="H90" s="1"/>
      <c r="I90" s="1"/>
      <c r="J90" s="1"/>
      <c r="K90" s="177"/>
      <c r="L90" s="1">
        <v>0</v>
      </c>
      <c r="M90" s="1">
        <v>0</v>
      </c>
      <c r="N90" s="1">
        <v>0</v>
      </c>
      <c r="O90" s="1"/>
    </row>
    <row r="91" spans="2:15" x14ac:dyDescent="0.2">
      <c r="B91" s="28">
        <f t="shared" si="1"/>
        <v>46156</v>
      </c>
      <c r="C91" s="28" t="str">
        <f>+TEXT(sales2[[#This Row],[Fecha]],"ddd")</f>
        <v>jue</v>
      </c>
      <c r="D91" s="178">
        <f>+sales2[[#This Row],[Arriendo]]+sales2[[#This Row],[Gas]]+sales2[[#This Row],[Agua]]+sales2[[#This Row],[Electricidad]]+sales2[[#This Row],[Nomina]]</f>
        <v>56896.551724137928</v>
      </c>
      <c r="E91" s="177">
        <f>+VLOOKUP(sales2[[#This Row],[Fecha]],Opex!C:J,8,1)</f>
        <v>56896.551724137928</v>
      </c>
      <c r="F91" s="177">
        <f>+SUM(sales2[[#This Row],[Gas]:[Electricidad]])</f>
        <v>0</v>
      </c>
      <c r="G91" s="1"/>
      <c r="H91" s="1"/>
      <c r="I91" s="1"/>
      <c r="J91" s="1"/>
      <c r="K91" s="177"/>
      <c r="L91" s="1">
        <v>0</v>
      </c>
      <c r="M91" s="1">
        <v>0</v>
      </c>
      <c r="N91" s="1">
        <v>0</v>
      </c>
      <c r="O91" s="1"/>
    </row>
    <row r="92" spans="2:15" x14ac:dyDescent="0.2">
      <c r="B92" s="28">
        <f t="shared" si="1"/>
        <v>46157</v>
      </c>
      <c r="C92" s="28" t="str">
        <f>+TEXT(sales2[[#This Row],[Fecha]],"ddd")</f>
        <v>vie</v>
      </c>
      <c r="D92" s="178">
        <f>+sales2[[#This Row],[Arriendo]]+sales2[[#This Row],[Gas]]+sales2[[#This Row],[Agua]]+sales2[[#This Row],[Electricidad]]+sales2[[#This Row],[Nomina]]</f>
        <v>55000</v>
      </c>
      <c r="E92" s="177">
        <f>+VLOOKUP(sales2[[#This Row],[Fecha]],Opex!C:J,8,1)</f>
        <v>55000</v>
      </c>
      <c r="F92" s="177">
        <f>+SUM(sales2[[#This Row],[Gas]:[Electricidad]])</f>
        <v>0</v>
      </c>
      <c r="G92" s="1"/>
      <c r="H92" s="1"/>
      <c r="I92" s="1"/>
      <c r="J92" s="1"/>
      <c r="K92" s="177"/>
      <c r="L92" s="1">
        <v>0</v>
      </c>
      <c r="M92" s="1">
        <v>0</v>
      </c>
      <c r="N92" s="1">
        <v>0</v>
      </c>
      <c r="O92" s="1"/>
    </row>
    <row r="93" spans="2:15" x14ac:dyDescent="0.2">
      <c r="B93" s="28">
        <f t="shared" si="1"/>
        <v>46158</v>
      </c>
      <c r="C93" s="28" t="str">
        <f>+TEXT(sales2[[#This Row],[Fecha]],"ddd")</f>
        <v>sáb</v>
      </c>
      <c r="D93" s="178">
        <f>+sales2[[#This Row],[Arriendo]]+sales2[[#This Row],[Gas]]+sales2[[#This Row],[Agua]]+sales2[[#This Row],[Electricidad]]+sales2[[#This Row],[Nomina]]</f>
        <v>55000</v>
      </c>
      <c r="E93" s="177">
        <f>+VLOOKUP(sales2[[#This Row],[Fecha]],Opex!C:J,8,1)</f>
        <v>55000</v>
      </c>
      <c r="F93" s="177">
        <f>+SUM(sales2[[#This Row],[Gas]:[Electricidad]])</f>
        <v>0</v>
      </c>
      <c r="G93" s="1"/>
      <c r="H93" s="1"/>
      <c r="I93" s="1"/>
      <c r="J93" s="1"/>
      <c r="K93" s="177"/>
      <c r="L93" s="1">
        <v>0</v>
      </c>
      <c r="M93" s="1">
        <v>0</v>
      </c>
      <c r="N93" s="1">
        <v>0</v>
      </c>
      <c r="O93" s="1"/>
    </row>
    <row r="94" spans="2:15" x14ac:dyDescent="0.2">
      <c r="B94" s="28">
        <f t="shared" si="1"/>
        <v>46159</v>
      </c>
      <c r="C94" s="28" t="str">
        <f>+TEXT(sales2[[#This Row],[Fecha]],"ddd")</f>
        <v>dom</v>
      </c>
      <c r="D94" s="178">
        <f>+sales2[[#This Row],[Arriendo]]+sales2[[#This Row],[Gas]]+sales2[[#This Row],[Agua]]+sales2[[#This Row],[Electricidad]]+sales2[[#This Row],[Nomina]]</f>
        <v>55000</v>
      </c>
      <c r="E94" s="177">
        <f>+VLOOKUP(sales2[[#This Row],[Fecha]],Opex!C:J,8,1)</f>
        <v>55000</v>
      </c>
      <c r="F94" s="177">
        <f>+SUM(sales2[[#This Row],[Gas]:[Electricidad]])</f>
        <v>0</v>
      </c>
      <c r="G94" s="1"/>
      <c r="H94" s="1"/>
      <c r="I94" s="1"/>
      <c r="J94" s="1"/>
      <c r="K94" s="177"/>
      <c r="L94" s="1">
        <v>0</v>
      </c>
      <c r="M94" s="1">
        <v>0</v>
      </c>
      <c r="N94" s="1">
        <v>0</v>
      </c>
      <c r="O94" s="1"/>
    </row>
    <row r="95" spans="2:15" x14ac:dyDescent="0.2">
      <c r="B95" s="28">
        <f t="shared" si="1"/>
        <v>46160</v>
      </c>
      <c r="C95" s="28" t="str">
        <f>+TEXT(sales2[[#This Row],[Fecha]],"ddd")</f>
        <v>lun</v>
      </c>
      <c r="D95" s="178">
        <f>+sales2[[#This Row],[Arriendo]]+sales2[[#This Row],[Gas]]+sales2[[#This Row],[Agua]]+sales2[[#This Row],[Electricidad]]+sales2[[#This Row],[Nomina]]</f>
        <v>55000</v>
      </c>
      <c r="E95" s="177">
        <f>+VLOOKUP(sales2[[#This Row],[Fecha]],Opex!C:J,8,1)</f>
        <v>55000</v>
      </c>
      <c r="F95" s="177">
        <f>+SUM(sales2[[#This Row],[Gas]:[Electricidad]])</f>
        <v>0</v>
      </c>
      <c r="G95" s="1"/>
      <c r="H95" s="1"/>
      <c r="I95" s="1"/>
      <c r="J95" s="1"/>
      <c r="K95" s="177"/>
      <c r="L95" s="1">
        <v>0</v>
      </c>
      <c r="M95" s="1">
        <v>0</v>
      </c>
      <c r="N95" s="1">
        <v>0</v>
      </c>
      <c r="O95" s="184">
        <f>'Cuentas x Pagar'!$L$26</f>
        <v>0</v>
      </c>
    </row>
    <row r="96" spans="2:15" x14ac:dyDescent="0.2">
      <c r="B96" s="28">
        <f t="shared" si="1"/>
        <v>46161</v>
      </c>
      <c r="C96" s="28" t="str">
        <f>+TEXT(sales2[[#This Row],[Fecha]],"ddd")</f>
        <v>mar</v>
      </c>
      <c r="D96" s="178">
        <f>+sales2[[#This Row],[Arriendo]]+sales2[[#This Row],[Gas]]+sales2[[#This Row],[Agua]]+sales2[[#This Row],[Electricidad]]+sales2[[#This Row],[Nomina]]</f>
        <v>55000</v>
      </c>
      <c r="E96" s="177">
        <f>+VLOOKUP(sales2[[#This Row],[Fecha]],Opex!C:J,8,1)</f>
        <v>55000</v>
      </c>
      <c r="F96" s="177">
        <f>+SUM(sales2[[#This Row],[Gas]:[Electricidad]])</f>
        <v>0</v>
      </c>
      <c r="G96" s="1"/>
      <c r="H96" s="1"/>
      <c r="I96" s="1"/>
      <c r="J96" s="1"/>
      <c r="K96" s="177"/>
      <c r="L96" s="1">
        <v>0</v>
      </c>
      <c r="M96" s="1">
        <v>0</v>
      </c>
      <c r="N96" s="1">
        <v>0</v>
      </c>
      <c r="O96" s="1"/>
    </row>
    <row r="97" spans="2:15" x14ac:dyDescent="0.2">
      <c r="B97" s="28">
        <f t="shared" si="1"/>
        <v>46162</v>
      </c>
      <c r="C97" s="28" t="str">
        <f>+TEXT(sales2[[#This Row],[Fecha]],"ddd")</f>
        <v>mié</v>
      </c>
      <c r="D97" s="178">
        <f>+sales2[[#This Row],[Arriendo]]+sales2[[#This Row],[Gas]]+sales2[[#This Row],[Agua]]+sales2[[#This Row],[Electricidad]]+sales2[[#This Row],[Nomina]]</f>
        <v>55000</v>
      </c>
      <c r="E97" s="177">
        <f>+VLOOKUP(sales2[[#This Row],[Fecha]],Opex!C:J,8,1)</f>
        <v>55000</v>
      </c>
      <c r="F97" s="177">
        <f>+SUM(sales2[[#This Row],[Gas]:[Electricidad]])</f>
        <v>0</v>
      </c>
      <c r="G97" s="1"/>
      <c r="H97" s="1"/>
      <c r="I97" s="1"/>
      <c r="J97" s="1"/>
      <c r="K97" s="177"/>
      <c r="L97" s="1">
        <v>0</v>
      </c>
      <c r="M97" s="1">
        <v>0</v>
      </c>
      <c r="N97" s="1">
        <v>0</v>
      </c>
      <c r="O97" s="1"/>
    </row>
    <row r="98" spans="2:15" x14ac:dyDescent="0.2">
      <c r="B98" s="28">
        <f t="shared" si="1"/>
        <v>46163</v>
      </c>
      <c r="C98" s="28" t="str">
        <f>+TEXT(sales2[[#This Row],[Fecha]],"ddd")</f>
        <v>jue</v>
      </c>
      <c r="D98" s="178">
        <f>+sales2[[#This Row],[Arriendo]]+sales2[[#This Row],[Gas]]+sales2[[#This Row],[Agua]]+sales2[[#This Row],[Electricidad]]+sales2[[#This Row],[Nomina]]</f>
        <v>55000</v>
      </c>
      <c r="E98" s="177">
        <f>+VLOOKUP(sales2[[#This Row],[Fecha]],Opex!C:J,8,1)</f>
        <v>55000</v>
      </c>
      <c r="F98" s="177">
        <f>+SUM(sales2[[#This Row],[Gas]:[Electricidad]])</f>
        <v>0</v>
      </c>
      <c r="G98" s="1"/>
      <c r="H98" s="1"/>
      <c r="I98" s="1"/>
      <c r="J98" s="1"/>
      <c r="K98" s="177"/>
      <c r="L98" s="1">
        <v>0</v>
      </c>
      <c r="M98" s="1">
        <v>0</v>
      </c>
      <c r="N98" s="1">
        <v>0</v>
      </c>
      <c r="O98" s="1"/>
    </row>
    <row r="99" spans="2:15" x14ac:dyDescent="0.2">
      <c r="B99" s="28">
        <f t="shared" si="1"/>
        <v>46164</v>
      </c>
      <c r="C99" s="28" t="str">
        <f>+TEXT(sales2[[#This Row],[Fecha]],"ddd")</f>
        <v>vie</v>
      </c>
      <c r="D99" s="178">
        <f>+sales2[[#This Row],[Arriendo]]+sales2[[#This Row],[Gas]]+sales2[[#This Row],[Agua]]+sales2[[#This Row],[Electricidad]]+sales2[[#This Row],[Nomina]]</f>
        <v>55000</v>
      </c>
      <c r="E99" s="177">
        <f>+VLOOKUP(sales2[[#This Row],[Fecha]],Opex!C:J,8,1)</f>
        <v>55000</v>
      </c>
      <c r="F99" s="177">
        <f>+SUM(sales2[[#This Row],[Gas]:[Electricidad]])</f>
        <v>0</v>
      </c>
      <c r="G99" s="1"/>
      <c r="H99" s="1"/>
      <c r="I99" s="1"/>
      <c r="J99" s="1"/>
      <c r="K99" s="177"/>
      <c r="L99" s="1">
        <v>0</v>
      </c>
      <c r="M99" s="1">
        <v>0</v>
      </c>
      <c r="N99" s="1">
        <v>0</v>
      </c>
      <c r="O99" s="1"/>
    </row>
    <row r="100" spans="2:15" x14ac:dyDescent="0.2">
      <c r="B100" s="28">
        <f t="shared" si="1"/>
        <v>46165</v>
      </c>
      <c r="C100" s="28" t="str">
        <f>+TEXT(sales2[[#This Row],[Fecha]],"ddd")</f>
        <v>sáb</v>
      </c>
      <c r="D100" s="178">
        <f>+sales2[[#This Row],[Arriendo]]+sales2[[#This Row],[Gas]]+sales2[[#This Row],[Agua]]+sales2[[#This Row],[Electricidad]]+sales2[[#This Row],[Nomina]]</f>
        <v>55000</v>
      </c>
      <c r="E100" s="177">
        <f>+VLOOKUP(sales2[[#This Row],[Fecha]],Opex!C:J,8,1)</f>
        <v>55000</v>
      </c>
      <c r="F100" s="177">
        <f>+SUM(sales2[[#This Row],[Gas]:[Electricidad]])</f>
        <v>0</v>
      </c>
      <c r="G100" s="1"/>
      <c r="H100" s="1"/>
      <c r="I100" s="1"/>
      <c r="J100" s="1"/>
      <c r="K100" s="177"/>
      <c r="L100" s="1">
        <v>0</v>
      </c>
      <c r="M100" s="1">
        <v>0</v>
      </c>
      <c r="N100" s="1">
        <v>0</v>
      </c>
      <c r="O100" s="1"/>
    </row>
    <row r="101" spans="2:15" ht="16.5" x14ac:dyDescent="0.35">
      <c r="B101" s="28">
        <f t="shared" si="1"/>
        <v>46166</v>
      </c>
      <c r="C101" s="28" t="str">
        <f>+TEXT(sales2[[#This Row],[Fecha]],"ddd")</f>
        <v>dom</v>
      </c>
      <c r="D101" s="178">
        <f>+sales2[[#This Row],[Arriendo]]+sales2[[#This Row],[Gas]]+sales2[[#This Row],[Agua]]+sales2[[#This Row],[Electricidad]]+sales2[[#This Row],[Nomina]]</f>
        <v>55000</v>
      </c>
      <c r="E101" s="177">
        <f>+VLOOKUP(sales2[[#This Row],[Fecha]],Opex!C:J,8,1)</f>
        <v>55000</v>
      </c>
      <c r="F101" s="177">
        <f>+SUM(sales2[[#This Row],[Gas]:[Electricidad]])</f>
        <v>0</v>
      </c>
      <c r="G101" s="1"/>
      <c r="H101" s="1"/>
      <c r="I101" s="1"/>
      <c r="J101" s="1"/>
      <c r="K101" s="231"/>
      <c r="L101" s="1">
        <v>0</v>
      </c>
      <c r="M101" s="1">
        <v>0</v>
      </c>
      <c r="N101" s="1">
        <v>0</v>
      </c>
      <c r="O101" s="1"/>
    </row>
    <row r="102" spans="2:15" x14ac:dyDescent="0.2">
      <c r="B102" s="28">
        <f t="shared" si="1"/>
        <v>46167</v>
      </c>
      <c r="C102" s="28" t="str">
        <f>+TEXT(sales2[[#This Row],[Fecha]],"ddd")</f>
        <v>lun</v>
      </c>
      <c r="D102" s="178">
        <f>+sales2[[#This Row],[Arriendo]]+sales2[[#This Row],[Gas]]+sales2[[#This Row],[Agua]]+sales2[[#This Row],[Electricidad]]+sales2[[#This Row],[Nomina]]</f>
        <v>55000</v>
      </c>
      <c r="E102" s="177">
        <f>+VLOOKUP(sales2[[#This Row],[Fecha]],Opex!C:J,8,1)</f>
        <v>55000</v>
      </c>
      <c r="F102" s="177">
        <f>+SUM(sales2[[#This Row],[Gas]:[Electricidad]])</f>
        <v>0</v>
      </c>
      <c r="G102" s="1"/>
      <c r="H102" s="1"/>
      <c r="I102" s="1"/>
      <c r="J102" s="1"/>
      <c r="K102" s="177"/>
      <c r="L102" s="1">
        <v>0</v>
      </c>
      <c r="M102" s="1">
        <v>0</v>
      </c>
      <c r="N102" s="1">
        <v>0</v>
      </c>
      <c r="O102" s="1"/>
    </row>
    <row r="103" spans="2:15" x14ac:dyDescent="0.2">
      <c r="B103" s="28">
        <f t="shared" si="1"/>
        <v>46168</v>
      </c>
      <c r="C103" s="28" t="str">
        <f>+TEXT(sales2[[#This Row],[Fecha]],"ddd")</f>
        <v>mar</v>
      </c>
      <c r="D103" s="178">
        <f>+sales2[[#This Row],[Arriendo]]+sales2[[#This Row],[Gas]]+sales2[[#This Row],[Agua]]+sales2[[#This Row],[Electricidad]]+sales2[[#This Row],[Nomina]]</f>
        <v>55000</v>
      </c>
      <c r="E103" s="177">
        <f>+VLOOKUP(sales2[[#This Row],[Fecha]],Opex!C:J,8,1)</f>
        <v>55000</v>
      </c>
      <c r="F103" s="177">
        <f>+SUM(sales2[[#This Row],[Gas]:[Electricidad]])</f>
        <v>0</v>
      </c>
      <c r="G103" s="1"/>
      <c r="H103" s="1"/>
      <c r="I103" s="1"/>
      <c r="J103" s="1"/>
      <c r="K103" s="177"/>
      <c r="L103" s="1">
        <v>0</v>
      </c>
      <c r="M103" s="1">
        <v>0</v>
      </c>
      <c r="N103" s="1">
        <v>0</v>
      </c>
      <c r="O103" s="1"/>
    </row>
    <row r="104" spans="2:15" x14ac:dyDescent="0.2">
      <c r="B104" s="28">
        <f t="shared" si="1"/>
        <v>46169</v>
      </c>
      <c r="C104" s="28" t="str">
        <f>+TEXT(sales2[[#This Row],[Fecha]],"ddd")</f>
        <v>mié</v>
      </c>
      <c r="D104" s="178">
        <f>+sales2[[#This Row],[Arriendo]]+sales2[[#This Row],[Gas]]+sales2[[#This Row],[Agua]]+sales2[[#This Row],[Electricidad]]+sales2[[#This Row],[Nomina]]</f>
        <v>55000</v>
      </c>
      <c r="E104" s="177">
        <f>+VLOOKUP(sales2[[#This Row],[Fecha]],Opex!C:J,8,1)</f>
        <v>55000</v>
      </c>
      <c r="F104" s="177">
        <f>+SUM(sales2[[#This Row],[Gas]:[Electricidad]])</f>
        <v>0</v>
      </c>
      <c r="G104" s="1"/>
      <c r="H104" s="1"/>
      <c r="I104" s="1"/>
      <c r="J104" s="1"/>
      <c r="K104" s="177"/>
      <c r="L104" s="1">
        <v>0</v>
      </c>
      <c r="M104" s="1">
        <v>0</v>
      </c>
      <c r="N104" s="1">
        <v>0</v>
      </c>
      <c r="O104" s="1"/>
    </row>
    <row r="105" spans="2:15" x14ac:dyDescent="0.2">
      <c r="B105" s="28">
        <f t="shared" si="1"/>
        <v>46170</v>
      </c>
      <c r="C105" s="28" t="str">
        <f>+TEXT(sales2[[#This Row],[Fecha]],"ddd")</f>
        <v>jue</v>
      </c>
      <c r="D105" s="178">
        <f>+sales2[[#This Row],[Arriendo]]+sales2[[#This Row],[Gas]]+sales2[[#This Row],[Agua]]+sales2[[#This Row],[Electricidad]]+sales2[[#This Row],[Nomina]]</f>
        <v>55000</v>
      </c>
      <c r="E105" s="177">
        <f>+VLOOKUP(sales2[[#This Row],[Fecha]],Opex!C:J,8,1)</f>
        <v>55000</v>
      </c>
      <c r="F105" s="177">
        <f>+SUM(sales2[[#This Row],[Gas]:[Electricidad]])</f>
        <v>0</v>
      </c>
      <c r="G105" s="1"/>
      <c r="H105" s="1"/>
      <c r="I105" s="1"/>
      <c r="J105" s="1"/>
      <c r="K105" s="177"/>
      <c r="L105" s="1">
        <v>0</v>
      </c>
      <c r="M105" s="1">
        <v>0</v>
      </c>
      <c r="N105" s="1">
        <v>0</v>
      </c>
      <c r="O105" s="1"/>
    </row>
    <row r="106" spans="2:15" x14ac:dyDescent="0.2">
      <c r="B106" s="28">
        <f t="shared" si="1"/>
        <v>46171</v>
      </c>
      <c r="C106" s="28" t="str">
        <f>+TEXT(sales2[[#This Row],[Fecha]],"ddd")</f>
        <v>vie</v>
      </c>
      <c r="D106" s="178">
        <f>+sales2[[#This Row],[Arriendo]]+sales2[[#This Row],[Gas]]+sales2[[#This Row],[Agua]]+sales2[[#This Row],[Electricidad]]+sales2[[#This Row],[Nomina]]</f>
        <v>55000</v>
      </c>
      <c r="E106" s="177">
        <f>+VLOOKUP(sales2[[#This Row],[Fecha]],Opex!C:J,8,1)</f>
        <v>55000</v>
      </c>
      <c r="F106" s="177">
        <f>+SUM(sales2[[#This Row],[Gas]:[Electricidad]])</f>
        <v>0</v>
      </c>
      <c r="G106" s="1"/>
      <c r="H106" s="1"/>
      <c r="I106" s="1"/>
      <c r="J106" s="1"/>
      <c r="K106" s="177"/>
      <c r="L106" s="1">
        <v>0</v>
      </c>
      <c r="M106" s="1">
        <v>0</v>
      </c>
      <c r="N106" s="1">
        <v>0</v>
      </c>
      <c r="O106" s="1"/>
    </row>
    <row r="107" spans="2:15" x14ac:dyDescent="0.2">
      <c r="B107" s="28">
        <f t="shared" si="1"/>
        <v>46172</v>
      </c>
      <c r="C107" s="28" t="str">
        <f>+TEXT(sales2[[#This Row],[Fecha]],"ddd")</f>
        <v>sáb</v>
      </c>
      <c r="D107" s="178">
        <f>+sales2[[#This Row],[Arriendo]]+sales2[[#This Row],[Gas]]+sales2[[#This Row],[Agua]]+sales2[[#This Row],[Electricidad]]+sales2[[#This Row],[Nomina]]</f>
        <v>55000</v>
      </c>
      <c r="E107" s="177">
        <f>+VLOOKUP(sales2[[#This Row],[Fecha]],Opex!C:J,8,1)</f>
        <v>55000</v>
      </c>
      <c r="F107" s="177">
        <f>+SUM(sales2[[#This Row],[Gas]:[Electricidad]])</f>
        <v>0</v>
      </c>
      <c r="G107" s="1"/>
      <c r="H107" s="1"/>
      <c r="I107" s="1"/>
      <c r="J107" s="1"/>
      <c r="K107" s="177"/>
      <c r="L107" s="1">
        <v>0</v>
      </c>
      <c r="M107" s="1">
        <v>0</v>
      </c>
      <c r="N107" s="1">
        <v>0</v>
      </c>
      <c r="O107" s="1"/>
    </row>
    <row r="108" spans="2:15" x14ac:dyDescent="0.2">
      <c r="B108" s="28">
        <f t="shared" si="1"/>
        <v>46173</v>
      </c>
      <c r="C108" s="28" t="str">
        <f>+TEXT(sales2[[#This Row],[Fecha]],"ddd")</f>
        <v>dom</v>
      </c>
      <c r="D108" s="178">
        <f>+sales2[[#This Row],[Arriendo]]+sales2[[#This Row],[Gas]]+sales2[[#This Row],[Agua]]+sales2[[#This Row],[Electricidad]]+sales2[[#This Row],[Nomina]]</f>
        <v>55000</v>
      </c>
      <c r="E108" s="177">
        <f>+VLOOKUP(sales2[[#This Row],[Fecha]],Opex!C:J,8,1)</f>
        <v>55000</v>
      </c>
      <c r="F108" s="177">
        <f>+SUM(sales2[[#This Row],[Gas]:[Electricidad]])</f>
        <v>0</v>
      </c>
      <c r="G108" s="1"/>
      <c r="H108" s="1"/>
      <c r="I108" s="1"/>
      <c r="J108" s="1"/>
      <c r="K108" s="177"/>
      <c r="L108" s="1">
        <v>0</v>
      </c>
      <c r="M108" s="1">
        <v>0</v>
      </c>
      <c r="N108" s="1">
        <v>0</v>
      </c>
      <c r="O108" s="1"/>
    </row>
    <row r="109" spans="2:15" x14ac:dyDescent="0.2">
      <c r="B109" s="28">
        <f t="shared" si="1"/>
        <v>46174</v>
      </c>
      <c r="C109" s="28" t="str">
        <f>+TEXT(sales2[[#This Row],[Fecha]],"ddd")</f>
        <v>lun</v>
      </c>
      <c r="D109" s="178">
        <f>+sales2[[#This Row],[Arriendo]]+sales2[[#This Row],[Gas]]+sales2[[#This Row],[Agua]]+sales2[[#This Row],[Electricidad]]+sales2[[#This Row],[Nomina]]</f>
        <v>55000</v>
      </c>
      <c r="E109" s="177">
        <f>+VLOOKUP(sales2[[#This Row],[Fecha]],Opex!C:J,8,1)</f>
        <v>55000</v>
      </c>
      <c r="F109" s="177">
        <f>+SUM(sales2[[#This Row],[Gas]:[Electricidad]])</f>
        <v>0</v>
      </c>
      <c r="G109" s="1"/>
      <c r="H109" s="1"/>
      <c r="I109" s="1"/>
      <c r="J109" s="1"/>
      <c r="K109" s="177"/>
      <c r="L109" s="1">
        <v>0</v>
      </c>
      <c r="M109" s="1">
        <v>0</v>
      </c>
      <c r="N109" s="1">
        <v>0</v>
      </c>
      <c r="O109" s="1"/>
    </row>
    <row r="110" spans="2:15" x14ac:dyDescent="0.2">
      <c r="B110" s="28">
        <f t="shared" si="1"/>
        <v>46175</v>
      </c>
      <c r="C110" s="28" t="str">
        <f>+TEXT(sales2[[#This Row],[Fecha]],"ddd")</f>
        <v>mar</v>
      </c>
      <c r="D110" s="178">
        <f>+sales2[[#This Row],[Arriendo]]+sales2[[#This Row],[Gas]]+sales2[[#This Row],[Agua]]+sales2[[#This Row],[Electricidad]]+sales2[[#This Row],[Nomina]]</f>
        <v>55000</v>
      </c>
      <c r="E110" s="177">
        <f>+VLOOKUP(sales2[[#This Row],[Fecha]],Opex!C:J,8,1)</f>
        <v>55000</v>
      </c>
      <c r="F110" s="177">
        <f>+SUM(sales2[[#This Row],[Gas]:[Electricidad]])</f>
        <v>0</v>
      </c>
      <c r="G110" s="1"/>
      <c r="H110" s="1"/>
      <c r="I110" s="1"/>
      <c r="J110" s="1"/>
      <c r="K110" s="177"/>
      <c r="L110" s="1">
        <v>0</v>
      </c>
      <c r="M110" s="1">
        <v>0</v>
      </c>
      <c r="N110" s="1">
        <v>0</v>
      </c>
      <c r="O110" s="1"/>
    </row>
    <row r="111" spans="2:15" x14ac:dyDescent="0.2">
      <c r="B111" s="28">
        <f t="shared" si="1"/>
        <v>46176</v>
      </c>
      <c r="C111" s="28" t="str">
        <f>+TEXT(sales2[[#This Row],[Fecha]],"ddd")</f>
        <v>mié</v>
      </c>
      <c r="D111" s="178">
        <f>+sales2[[#This Row],[Arriendo]]+sales2[[#This Row],[Gas]]+sales2[[#This Row],[Agua]]+sales2[[#This Row],[Electricidad]]+sales2[[#This Row],[Nomina]]</f>
        <v>55000</v>
      </c>
      <c r="E111" s="177">
        <f>+VLOOKUP(sales2[[#This Row],[Fecha]],Opex!C:J,8,1)</f>
        <v>55000</v>
      </c>
      <c r="F111" s="177">
        <f>+SUM(sales2[[#This Row],[Gas]:[Electricidad]])</f>
        <v>0</v>
      </c>
      <c r="G111" s="1"/>
      <c r="H111" s="1"/>
      <c r="I111" s="1"/>
      <c r="J111" s="1"/>
      <c r="K111" s="177"/>
      <c r="L111" s="1">
        <v>0</v>
      </c>
      <c r="M111" s="1">
        <v>0</v>
      </c>
      <c r="N111" s="1">
        <v>0</v>
      </c>
      <c r="O111" s="1"/>
    </row>
    <row r="112" spans="2:15" x14ac:dyDescent="0.2">
      <c r="B112" s="28">
        <f t="shared" si="1"/>
        <v>46177</v>
      </c>
      <c r="C112" s="28" t="str">
        <f>+TEXT(sales2[[#This Row],[Fecha]],"ddd")</f>
        <v>jue</v>
      </c>
      <c r="D112" s="178">
        <f>+sales2[[#This Row],[Arriendo]]+sales2[[#This Row],[Gas]]+sales2[[#This Row],[Agua]]+sales2[[#This Row],[Electricidad]]+sales2[[#This Row],[Nomina]]</f>
        <v>55000</v>
      </c>
      <c r="E112" s="177">
        <f>+VLOOKUP(sales2[[#This Row],[Fecha]],Opex!C:J,8,1)</f>
        <v>55000</v>
      </c>
      <c r="F112" s="177">
        <f>+SUM(sales2[[#This Row],[Gas]:[Electricidad]])</f>
        <v>0</v>
      </c>
      <c r="G112" s="1"/>
      <c r="H112" s="1"/>
      <c r="I112" s="1"/>
      <c r="J112" s="1"/>
      <c r="K112" s="177"/>
      <c r="L112" s="1">
        <v>0</v>
      </c>
      <c r="M112" s="1">
        <v>0</v>
      </c>
      <c r="N112" s="1">
        <v>0</v>
      </c>
      <c r="O112" s="1"/>
    </row>
    <row r="113" spans="2:21" x14ac:dyDescent="0.2">
      <c r="B113" s="28">
        <f t="shared" si="1"/>
        <v>46178</v>
      </c>
      <c r="C113" s="28" t="str">
        <f>+TEXT(sales2[[#This Row],[Fecha]],"ddd")</f>
        <v>vie</v>
      </c>
      <c r="D113" s="178">
        <f>+sales2[[#This Row],[Arriendo]]+sales2[[#This Row],[Gas]]+sales2[[#This Row],[Agua]]+sales2[[#This Row],[Electricidad]]+sales2[[#This Row],[Nomina]]</f>
        <v>55000</v>
      </c>
      <c r="E113" s="177">
        <f>+VLOOKUP(sales2[[#This Row],[Fecha]],Opex!C:J,8,1)</f>
        <v>55000</v>
      </c>
      <c r="F113" s="177">
        <f>+SUM(sales2[[#This Row],[Gas]:[Electricidad]])</f>
        <v>0</v>
      </c>
      <c r="G113" s="1"/>
      <c r="H113" s="1"/>
      <c r="I113" s="1"/>
      <c r="J113" s="1"/>
      <c r="K113" s="177"/>
      <c r="L113" s="1">
        <v>0</v>
      </c>
      <c r="M113" s="1">
        <v>0</v>
      </c>
      <c r="N113" s="1">
        <v>0</v>
      </c>
      <c r="O113" s="1"/>
    </row>
    <row r="114" spans="2:21" x14ac:dyDescent="0.2">
      <c r="B114" s="28">
        <f t="shared" si="1"/>
        <v>46179</v>
      </c>
      <c r="C114" s="28" t="str">
        <f>+TEXT(sales2[[#This Row],[Fecha]],"ddd")</f>
        <v>sáb</v>
      </c>
      <c r="D114" s="178">
        <f>+sales2[[#This Row],[Arriendo]]+sales2[[#This Row],[Gas]]+sales2[[#This Row],[Agua]]+sales2[[#This Row],[Electricidad]]+sales2[[#This Row],[Nomina]]</f>
        <v>55000</v>
      </c>
      <c r="E114" s="177">
        <f>+VLOOKUP(sales2[[#This Row],[Fecha]],Opex!C:J,8,1)</f>
        <v>55000</v>
      </c>
      <c r="F114" s="177">
        <f>+SUM(sales2[[#This Row],[Gas]:[Electricidad]])</f>
        <v>0</v>
      </c>
      <c r="G114" s="1"/>
      <c r="H114" s="1"/>
      <c r="I114" s="1"/>
      <c r="J114" s="1"/>
      <c r="K114" s="177"/>
      <c r="L114" s="1">
        <v>0</v>
      </c>
      <c r="M114" s="1">
        <v>0</v>
      </c>
      <c r="N114" s="1">
        <v>0</v>
      </c>
      <c r="O114" s="1"/>
    </row>
    <row r="115" spans="2:21" x14ac:dyDescent="0.2">
      <c r="B115" s="28">
        <f t="shared" si="1"/>
        <v>46180</v>
      </c>
      <c r="C115" s="28" t="str">
        <f>+TEXT(sales2[[#This Row],[Fecha]],"ddd")</f>
        <v>dom</v>
      </c>
      <c r="D115" s="178">
        <f>+sales2[[#This Row],[Arriendo]]+sales2[[#This Row],[Gas]]+sales2[[#This Row],[Agua]]+sales2[[#This Row],[Electricidad]]+sales2[[#This Row],[Nomina]]</f>
        <v>55000</v>
      </c>
      <c r="E115" s="177">
        <f>+VLOOKUP(sales2[[#This Row],[Fecha]],Opex!C:J,8,1)</f>
        <v>55000</v>
      </c>
      <c r="F115" s="177">
        <f>+SUM(sales2[[#This Row],[Gas]:[Electricidad]])</f>
        <v>0</v>
      </c>
      <c r="G115" s="1"/>
      <c r="H115" s="1"/>
      <c r="I115" s="1"/>
      <c r="J115" s="1"/>
      <c r="K115" s="177"/>
      <c r="L115" s="1">
        <v>0</v>
      </c>
      <c r="M115" s="1">
        <v>0</v>
      </c>
      <c r="N115" s="1">
        <v>0</v>
      </c>
      <c r="O115" s="1"/>
    </row>
    <row r="116" spans="2:21" x14ac:dyDescent="0.2">
      <c r="B116" s="28">
        <f t="shared" si="1"/>
        <v>46181</v>
      </c>
      <c r="C116" s="28" t="str">
        <f>+TEXT(sales2[[#This Row],[Fecha]],"ddd")</f>
        <v>lun</v>
      </c>
      <c r="D116" s="178">
        <f>+sales2[[#This Row],[Arriendo]]+sales2[[#This Row],[Gas]]+sales2[[#This Row],[Agua]]+sales2[[#This Row],[Electricidad]]+sales2[[#This Row],[Nomina]]</f>
        <v>55000</v>
      </c>
      <c r="E116" s="177">
        <f>+VLOOKUP(sales2[[#This Row],[Fecha]],Opex!C:J,8,1)</f>
        <v>55000</v>
      </c>
      <c r="F116" s="177">
        <f>+SUM(sales2[[#This Row],[Gas]:[Electricidad]])</f>
        <v>0</v>
      </c>
      <c r="G116" s="1"/>
      <c r="H116" s="1"/>
      <c r="I116" s="1"/>
      <c r="J116" s="1"/>
      <c r="K116" s="177"/>
      <c r="L116" s="1">
        <v>0</v>
      </c>
      <c r="M116" s="1">
        <v>0</v>
      </c>
      <c r="N116" s="1">
        <v>0</v>
      </c>
      <c r="O116" s="1"/>
    </row>
    <row r="117" spans="2:21" x14ac:dyDescent="0.2">
      <c r="B117" s="28">
        <f t="shared" si="1"/>
        <v>46182</v>
      </c>
      <c r="C117" s="28" t="str">
        <f>+TEXT(sales2[[#This Row],[Fecha]],"ddd")</f>
        <v>mar</v>
      </c>
      <c r="D117" s="178">
        <f>+sales2[[#This Row],[Arriendo]]+sales2[[#This Row],[Gas]]+sales2[[#This Row],[Agua]]+sales2[[#This Row],[Electricidad]]+sales2[[#This Row],[Nomina]]</f>
        <v>55000</v>
      </c>
      <c r="E117" s="177">
        <f>+VLOOKUP(sales2[[#This Row],[Fecha]],Opex!C:J,8,1)</f>
        <v>55000</v>
      </c>
      <c r="F117" s="177">
        <f>+SUM(sales2[[#This Row],[Gas]:[Electricidad]])</f>
        <v>0</v>
      </c>
      <c r="G117" s="1"/>
      <c r="H117" s="1"/>
      <c r="I117" s="1"/>
      <c r="J117" s="1"/>
      <c r="K117" s="177"/>
      <c r="L117" s="1">
        <v>0</v>
      </c>
      <c r="M117" s="1">
        <v>0</v>
      </c>
      <c r="N117" s="1">
        <v>0</v>
      </c>
      <c r="O117" s="1"/>
    </row>
    <row r="118" spans="2:21" x14ac:dyDescent="0.2">
      <c r="B118" s="28">
        <f t="shared" si="1"/>
        <v>46183</v>
      </c>
      <c r="C118" s="28" t="str">
        <f>+TEXT(sales2[[#This Row],[Fecha]],"ddd")</f>
        <v>mié</v>
      </c>
      <c r="D118" s="178">
        <f>+sales2[[#This Row],[Arriendo]]+sales2[[#This Row],[Gas]]+sales2[[#This Row],[Agua]]+sales2[[#This Row],[Electricidad]]+sales2[[#This Row],[Nomina]]</f>
        <v>55000</v>
      </c>
      <c r="E118" s="177">
        <f>+VLOOKUP(sales2[[#This Row],[Fecha]],Opex!C:J,8,1)</f>
        <v>55000</v>
      </c>
      <c r="F118" s="177">
        <f>+SUM(sales2[[#This Row],[Gas]:[Electricidad]])</f>
        <v>0</v>
      </c>
      <c r="G118" s="1"/>
      <c r="H118" s="1"/>
      <c r="I118" s="1"/>
      <c r="J118" s="1"/>
      <c r="K118" s="177"/>
      <c r="L118" s="1">
        <v>0</v>
      </c>
      <c r="M118" s="1">
        <v>0</v>
      </c>
      <c r="N118" s="1">
        <v>0</v>
      </c>
      <c r="O118" s="1"/>
    </row>
    <row r="119" spans="2:21" x14ac:dyDescent="0.2">
      <c r="B119" s="28">
        <f t="shared" si="1"/>
        <v>46184</v>
      </c>
      <c r="C119" s="28" t="str">
        <f>+TEXT(sales2[[#This Row],[Fecha]],"ddd")</f>
        <v>jue</v>
      </c>
      <c r="D119" s="178">
        <f>+sales2[[#This Row],[Arriendo]]+sales2[[#This Row],[Gas]]+sales2[[#This Row],[Agua]]+sales2[[#This Row],[Electricidad]]+sales2[[#This Row],[Nomina]]</f>
        <v>55000</v>
      </c>
      <c r="E119" s="177">
        <f>+VLOOKUP(sales2[[#This Row],[Fecha]],Opex!C:J,8,1)</f>
        <v>55000</v>
      </c>
      <c r="F119" s="177">
        <f>+SUM(sales2[[#This Row],[Gas]:[Electricidad]])</f>
        <v>0</v>
      </c>
      <c r="G119" s="1"/>
      <c r="H119" s="1"/>
      <c r="I119" s="1"/>
      <c r="J119" s="1"/>
      <c r="K119" s="177"/>
      <c r="L119" s="1">
        <v>0</v>
      </c>
      <c r="M119" s="1">
        <v>0</v>
      </c>
      <c r="N119" s="1">
        <v>0</v>
      </c>
      <c r="O119" s="1"/>
    </row>
    <row r="120" spans="2:21" x14ac:dyDescent="0.2">
      <c r="B120" s="28">
        <f t="shared" si="1"/>
        <v>46185</v>
      </c>
      <c r="C120" s="28" t="str">
        <f>+TEXT(sales2[[#This Row],[Fecha]],"ddd")</f>
        <v>vie</v>
      </c>
      <c r="D120" s="178">
        <f>+sales2[[#This Row],[Arriendo]]+sales2[[#This Row],[Gas]]+sales2[[#This Row],[Agua]]+sales2[[#This Row],[Electricidad]]+sales2[[#This Row],[Nomina]]</f>
        <v>55000</v>
      </c>
      <c r="E120" s="177">
        <f>+VLOOKUP(sales2[[#This Row],[Fecha]],Opex!C:J,8,1)</f>
        <v>55000</v>
      </c>
      <c r="F120" s="177">
        <f>+SUM(sales2[[#This Row],[Gas]:[Electricidad]])</f>
        <v>0</v>
      </c>
      <c r="G120" s="1"/>
      <c r="H120" s="1"/>
      <c r="I120" s="1"/>
      <c r="J120" s="1"/>
      <c r="K120" s="177"/>
      <c r="L120" s="1">
        <v>0</v>
      </c>
      <c r="M120" s="1">
        <v>0</v>
      </c>
      <c r="N120" s="1">
        <v>0</v>
      </c>
      <c r="O120" s="1"/>
    </row>
    <row r="121" spans="2:21" x14ac:dyDescent="0.2">
      <c r="B121" s="28">
        <f t="shared" si="1"/>
        <v>46186</v>
      </c>
      <c r="C121" s="28" t="str">
        <f>+TEXT(sales2[[#This Row],[Fecha]],"ddd")</f>
        <v>sáb</v>
      </c>
      <c r="D121" s="178">
        <f>+sales2[[#This Row],[Arriendo]]+sales2[[#This Row],[Gas]]+sales2[[#This Row],[Agua]]+sales2[[#This Row],[Electricidad]]+sales2[[#This Row],[Nomina]]</f>
        <v>55000</v>
      </c>
      <c r="E121" s="177">
        <f>+VLOOKUP(sales2[[#This Row],[Fecha]],Opex!C:J,8,1)</f>
        <v>55000</v>
      </c>
      <c r="F121" s="177">
        <f>+SUM(sales2[[#This Row],[Gas]:[Electricidad]])</f>
        <v>0</v>
      </c>
      <c r="G121" s="1"/>
      <c r="H121" s="1"/>
      <c r="I121" s="1"/>
      <c r="J121" s="1"/>
      <c r="K121" s="177"/>
      <c r="L121" s="1">
        <v>0</v>
      </c>
      <c r="M121" s="1">
        <v>0</v>
      </c>
      <c r="N121" s="1">
        <v>0</v>
      </c>
      <c r="O121" s="1"/>
    </row>
    <row r="122" spans="2:21" x14ac:dyDescent="0.2">
      <c r="B122" s="28">
        <f t="shared" si="1"/>
        <v>46187</v>
      </c>
      <c r="C122" s="28" t="str">
        <f>+TEXT(sales2[[#This Row],[Fecha]],"ddd")</f>
        <v>dom</v>
      </c>
      <c r="D122" s="178">
        <f>+sales2[[#This Row],[Arriendo]]+sales2[[#This Row],[Gas]]+sales2[[#This Row],[Agua]]+sales2[[#This Row],[Electricidad]]+sales2[[#This Row],[Nomina]]</f>
        <v>55000</v>
      </c>
      <c r="E122" s="177">
        <f>+VLOOKUP(sales2[[#This Row],[Fecha]],Opex!C:J,8,1)</f>
        <v>55000</v>
      </c>
      <c r="F122" s="177">
        <f>+SUM(sales2[[#This Row],[Gas]:[Electricidad]])</f>
        <v>0</v>
      </c>
      <c r="G122" s="1"/>
      <c r="H122" s="1"/>
      <c r="I122" s="1"/>
      <c r="J122" s="1"/>
      <c r="K122" s="177"/>
      <c r="L122" s="1">
        <v>0</v>
      </c>
      <c r="M122" s="1">
        <v>0</v>
      </c>
      <c r="N122" s="1">
        <v>0</v>
      </c>
      <c r="O122" s="1"/>
    </row>
    <row r="123" spans="2:21" x14ac:dyDescent="0.2">
      <c r="U123" s="98"/>
    </row>
    <row r="124" spans="2:21" x14ac:dyDescent="0.2">
      <c r="U124" s="98"/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C1:G6"/>
  <sheetViews>
    <sheetView workbookViewId="0">
      <selection activeCell="D9" sqref="D9"/>
    </sheetView>
  </sheetViews>
  <sheetFormatPr baseColWidth="10" defaultRowHeight="14.25" x14ac:dyDescent="0.2"/>
  <sheetData>
    <row r="1" spans="3:7" x14ac:dyDescent="0.2">
      <c r="E1">
        <v>320</v>
      </c>
      <c r="F1" t="s">
        <v>418</v>
      </c>
      <c r="G1" t="s">
        <v>419</v>
      </c>
    </row>
    <row r="2" spans="3:7" x14ac:dyDescent="0.2">
      <c r="C2">
        <v>6300</v>
      </c>
    </row>
    <row r="3" spans="3:7" ht="15" thickBot="1" x14ac:dyDescent="0.25">
      <c r="C3" s="269">
        <v>7100</v>
      </c>
    </row>
    <row r="4" spans="3:7" x14ac:dyDescent="0.2">
      <c r="C4">
        <f>+SUM(C2:C3)</f>
        <v>13400</v>
      </c>
    </row>
    <row r="5" spans="3:7" x14ac:dyDescent="0.2">
      <c r="C5">
        <v>15240</v>
      </c>
      <c r="D5" t="s">
        <v>417</v>
      </c>
    </row>
    <row r="6" spans="3:7" x14ac:dyDescent="0.2">
      <c r="C6">
        <f>+C4+C5</f>
        <v>28640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X13"/>
  <sheetViews>
    <sheetView showGridLines="0" zoomScale="85" zoomScaleNormal="85" workbookViewId="0">
      <selection activeCell="J3" sqref="J3"/>
    </sheetView>
  </sheetViews>
  <sheetFormatPr baseColWidth="10" defaultRowHeight="14.25" x14ac:dyDescent="0.2"/>
  <cols>
    <col min="1" max="1" width="7.75" customWidth="1"/>
    <col min="2" max="3" width="9.375" bestFit="1" customWidth="1"/>
    <col min="4" max="4" width="9.375" customWidth="1"/>
    <col min="5" max="5" width="8" bestFit="1" customWidth="1"/>
    <col min="6" max="6" width="10.5" customWidth="1"/>
    <col min="7" max="7" width="11.75" bestFit="1" customWidth="1"/>
    <col min="8" max="8" width="10.375" customWidth="1"/>
    <col min="9" max="9" width="9.375" customWidth="1"/>
    <col min="10" max="10" width="15.625" customWidth="1"/>
    <col min="11" max="11" width="9.75" customWidth="1"/>
    <col min="12" max="17" width="10.125" customWidth="1"/>
    <col min="18" max="18" width="9.875" customWidth="1"/>
    <col min="19" max="19" width="8.75" customWidth="1"/>
    <col min="20" max="20" width="12.125" customWidth="1"/>
    <col min="22" max="22" width="11.5" bestFit="1" customWidth="1"/>
  </cols>
  <sheetData>
    <row r="1" spans="1:24" ht="27" customHeight="1" x14ac:dyDescent="0.2">
      <c r="A1" s="99"/>
      <c r="B1" s="100" t="s">
        <v>333</v>
      </c>
      <c r="C1" s="100" t="s">
        <v>149</v>
      </c>
      <c r="D1" s="100" t="s">
        <v>410</v>
      </c>
      <c r="E1" s="100" t="s">
        <v>0</v>
      </c>
      <c r="F1" s="101" t="s">
        <v>382</v>
      </c>
      <c r="G1" s="101" t="s">
        <v>406</v>
      </c>
      <c r="H1" s="101" t="s">
        <v>316</v>
      </c>
      <c r="I1" s="101" t="s">
        <v>328</v>
      </c>
      <c r="J1" s="101" t="s">
        <v>331</v>
      </c>
      <c r="K1" s="102" t="s">
        <v>317</v>
      </c>
      <c r="L1" s="102" t="s">
        <v>326</v>
      </c>
      <c r="M1" s="102" t="s">
        <v>318</v>
      </c>
      <c r="N1" s="102" t="s">
        <v>332</v>
      </c>
      <c r="O1" s="102" t="s">
        <v>335</v>
      </c>
      <c r="P1" s="119" t="s">
        <v>340</v>
      </c>
      <c r="Q1" s="119" t="s">
        <v>341</v>
      </c>
      <c r="R1" s="103" t="s">
        <v>319</v>
      </c>
      <c r="S1" s="103" t="s">
        <v>339</v>
      </c>
      <c r="T1" s="103" t="s">
        <v>327</v>
      </c>
      <c r="U1" s="103" t="s">
        <v>329</v>
      </c>
      <c r="V1" s="103" t="s">
        <v>336</v>
      </c>
      <c r="W1" s="103" t="s">
        <v>330</v>
      </c>
      <c r="X1" s="103" t="s">
        <v>337</v>
      </c>
    </row>
    <row r="2" spans="1:24" x14ac:dyDescent="0.2">
      <c r="B2" s="106" t="s">
        <v>334</v>
      </c>
      <c r="C2" s="106">
        <v>46068</v>
      </c>
      <c r="D2" s="106">
        <v>46095</v>
      </c>
      <c r="E2" s="107" t="str">
        <f t="shared" ref="E2:E7" si="0">+TEXT(C2,"mmmm")</f>
        <v>febrero</v>
      </c>
      <c r="F2" s="108"/>
      <c r="G2" s="108">
        <f>+Opex[[#This Row],[Cuentas x Pagar]]/31</f>
        <v>0</v>
      </c>
      <c r="H2" s="108">
        <v>0</v>
      </c>
      <c r="I2" s="110">
        <f>+Opex[[#This Row],[fecha_fin]]-Opex[[#This Row],[Fecha]]</f>
        <v>27</v>
      </c>
      <c r="J2" s="112">
        <f>IFERROR(Opex[[#This Row],[Arriendo]]/Opex[[#This Row],[No. Días Arriendo]],0)</f>
        <v>0</v>
      </c>
      <c r="K2" s="108">
        <v>430</v>
      </c>
      <c r="L2" s="110">
        <v>0</v>
      </c>
      <c r="M2" s="122">
        <v>0</v>
      </c>
      <c r="N2" s="113">
        <f>IFERROR(Opex[[#This Row],[Gas]]/Opex[[#This Row],[Consumo (m3)]],0)</f>
        <v>0</v>
      </c>
      <c r="O2" s="123">
        <f>IFERROR(Opex[[#This Row],[Gas]]/Opex[[#This Row],[No. Días Arriendo]],0)</f>
        <v>15.925925925925926</v>
      </c>
      <c r="P2" s="109"/>
      <c r="Q2" s="120">
        <f>IFERROR(Opex[[#This Row],[Agua]]/Opex[[#This Row],[No. Días Arriendo]],0)</f>
        <v>0</v>
      </c>
      <c r="R2" s="109"/>
      <c r="S2" s="109"/>
      <c r="T2" s="110">
        <f t="shared" ref="T2" si="1">+AA2</f>
        <v>0</v>
      </c>
      <c r="U2" s="110"/>
      <c r="V2" s="109">
        <f>IFERROR(Opex[[#This Row],[Energia]]/Opex[[#This Row],[Consumo
(KhW]],0)</f>
        <v>0</v>
      </c>
      <c r="W2" s="111"/>
      <c r="X2" s="126">
        <f>IFERROR(Opex[[#This Row],[Energia]]/Opex[[#This Row],[No. Días Arriendo]],0)</f>
        <v>0</v>
      </c>
    </row>
    <row r="3" spans="1:24" x14ac:dyDescent="0.2">
      <c r="B3" s="114" t="s">
        <v>196</v>
      </c>
      <c r="C3" s="106">
        <f>+D2+1</f>
        <v>46096</v>
      </c>
      <c r="D3" s="106">
        <v>46126</v>
      </c>
      <c r="E3" s="107" t="str">
        <f t="shared" si="0"/>
        <v>marzo</v>
      </c>
      <c r="F3" s="115"/>
      <c r="G3" s="115">
        <f>+Opex[[#This Row],[Cuentas x Pagar]]/31</f>
        <v>0</v>
      </c>
      <c r="H3" s="108">
        <v>1650000</v>
      </c>
      <c r="I3" s="110">
        <f>+Opex[[#This Row],[fecha_fin]]-Opex[[#This Row],[Fecha]]</f>
        <v>30</v>
      </c>
      <c r="J3" s="112">
        <f>IFERROR(Opex[[#This Row],[Arriendo]]/Opex[[#This Row],[No. Días Arriendo]],0)</f>
        <v>55000</v>
      </c>
      <c r="K3" s="115">
        <f>'[3]Análisis Gas'!$I$22</f>
        <v>247319</v>
      </c>
      <c r="L3" s="121" t="e">
        <f>+#REF!</f>
        <v>#REF!</v>
      </c>
      <c r="M3" s="116" t="e">
        <f>+AVERAGE(#REF!/#REF!,#REF!/#REF!,#REF!/#REF!)*Opex[[#This Row],[No. Días Gas]]</f>
        <v>#REF!</v>
      </c>
      <c r="N3" s="115" t="e">
        <f>+AVERAGE(#REF!)</f>
        <v>#REF!</v>
      </c>
      <c r="O3" s="123">
        <f>IFERROR(Opex[[#This Row],[Gas]]/Opex[[#This Row],[No. Días Arriendo]],0)</f>
        <v>8243.9666666666672</v>
      </c>
      <c r="P3" s="115">
        <v>120000</v>
      </c>
      <c r="Q3" s="120">
        <f>IFERROR(Opex[[#This Row],[Agua]]/Opex[[#This Row],[No. Días Arriendo]],0)</f>
        <v>4000</v>
      </c>
      <c r="R3" s="115">
        <f>'[3]Análisis Energia'!$I$24</f>
        <v>319050</v>
      </c>
      <c r="S3" s="115">
        <f>'[4]Radicado Energia'!$C33</f>
        <v>264247</v>
      </c>
      <c r="T3" s="121" t="e">
        <f>+#REF!</f>
        <v>#REF!</v>
      </c>
      <c r="U3" s="116" t="e">
        <f>+AVERAGE(#REF!/#REF!,#REF!/#REF!)</f>
        <v>#REF!</v>
      </c>
      <c r="V3" s="117" t="e">
        <f>+AVERAGE(#REF!)</f>
        <v>#REF!</v>
      </c>
      <c r="W3" s="125" t="s">
        <v>222</v>
      </c>
      <c r="X3" s="126">
        <f>IFERROR(Opex[[#This Row],[Energia]]/Opex[[#This Row],[No. Días Arriendo]],0)</f>
        <v>10635</v>
      </c>
    </row>
    <row r="4" spans="1:24" x14ac:dyDescent="0.2">
      <c r="B4" s="114" t="s">
        <v>196</v>
      </c>
      <c r="C4" s="106">
        <f t="shared" ref="C4:C13" si="2">+D3+1</f>
        <v>46127</v>
      </c>
      <c r="D4" s="106">
        <v>46156</v>
      </c>
      <c r="E4" s="107" t="str">
        <f t="shared" si="0"/>
        <v>abril</v>
      </c>
      <c r="F4" s="108"/>
      <c r="G4" s="108">
        <f>+Opex[[#This Row],[Cuentas x Pagar]]/31</f>
        <v>0</v>
      </c>
      <c r="H4" s="108">
        <v>1650000</v>
      </c>
      <c r="I4" s="110">
        <f>+Opex[[#This Row],[fecha_fin]]-Opex[[#This Row],[Fecha]]</f>
        <v>29</v>
      </c>
      <c r="J4" s="112">
        <f>IFERROR(Opex[[#This Row],[Arriendo]]/Opex[[#This Row],[No. Días Arriendo]],0)</f>
        <v>56896.551724137928</v>
      </c>
      <c r="K4" s="108">
        <f>'[3]Análisis Gas'!$I$22</f>
        <v>247319</v>
      </c>
      <c r="L4" s="122">
        <f t="shared" ref="L4:L7" si="3">+I3</f>
        <v>30</v>
      </c>
      <c r="M4" s="110" t="e">
        <f>+AVERAGE(#REF!/#REF!,#REF!/#REF!,M3/L3)*Opex[[#This Row],[No. Días Gas]]</f>
        <v>#REF!</v>
      </c>
      <c r="N4" s="108" t="e">
        <f>+AVERAGE(N3:N3)</f>
        <v>#REF!</v>
      </c>
      <c r="O4" s="123">
        <f>IFERROR(Opex[[#This Row],[Gas]]/Opex[[#This Row],[No. Días Arriendo]],0)</f>
        <v>8528.2413793103442</v>
      </c>
      <c r="P4" s="108">
        <v>120000</v>
      </c>
      <c r="Q4" s="120">
        <f>IFERROR(Opex[[#This Row],[Agua]]/Opex[[#This Row],[No. Días Arriendo]],0)</f>
        <v>4137.9310344827591</v>
      </c>
      <c r="R4" s="108">
        <f>+AVERAGE(R3:R3)</f>
        <v>319050</v>
      </c>
      <c r="S4" s="108">
        <f>'[4]Radicado Energia'!$C34</f>
        <v>264247</v>
      </c>
      <c r="T4" s="122" t="e">
        <f>+#REF!</f>
        <v>#REF!</v>
      </c>
      <c r="U4" s="110" t="e">
        <f>+AVERAGE(#REF!/#REF!,#REF!/#REF!,#REF!/V3)</f>
        <v>#REF!</v>
      </c>
      <c r="V4" s="109" t="e">
        <f>+AVERAGE(V3:V3)</f>
        <v>#REF!</v>
      </c>
      <c r="W4" s="124" t="s">
        <v>222</v>
      </c>
      <c r="X4" s="126">
        <f>IFERROR(Opex[[#This Row],[Energia]]/Opex[[#This Row],[No. Días Arriendo]],0)</f>
        <v>11001.724137931034</v>
      </c>
    </row>
    <row r="5" spans="1:24" x14ac:dyDescent="0.2">
      <c r="B5" s="114" t="s">
        <v>196</v>
      </c>
      <c r="C5" s="106">
        <f t="shared" si="2"/>
        <v>46157</v>
      </c>
      <c r="D5" s="106">
        <v>46187</v>
      </c>
      <c r="E5" s="107" t="str">
        <f t="shared" si="0"/>
        <v>mayo</v>
      </c>
      <c r="F5" s="115"/>
      <c r="G5" s="115">
        <f>+Opex[[#This Row],[Cuentas x Pagar]]/31</f>
        <v>0</v>
      </c>
      <c r="H5" s="108">
        <v>1650000</v>
      </c>
      <c r="I5" s="110">
        <f>+Opex[[#This Row],[fecha_fin]]-Opex[[#This Row],[Fecha]]</f>
        <v>30</v>
      </c>
      <c r="J5" s="112">
        <f>IFERROR(Opex[[#This Row],[Arriendo]]/Opex[[#This Row],[No. Días Arriendo]],0)</f>
        <v>55000</v>
      </c>
      <c r="K5" s="115">
        <f>'[3]Análisis Gas'!$I$22</f>
        <v>247319</v>
      </c>
      <c r="L5" s="121">
        <f t="shared" si="3"/>
        <v>29</v>
      </c>
      <c r="M5" s="116" t="e">
        <f>+AVERAGE(#REF!/#REF!,M3/L3,M4/L4)*Opex[[#This Row],[No. Días Gas]]</f>
        <v>#REF!</v>
      </c>
      <c r="N5" s="115" t="e">
        <f>+AVERAGE(N3:N4)</f>
        <v>#REF!</v>
      </c>
      <c r="O5" s="123">
        <f>IFERROR(Opex[[#This Row],[Gas]]/Opex[[#This Row],[No. Días Arriendo]],0)</f>
        <v>8243.9666666666672</v>
      </c>
      <c r="P5" s="115">
        <v>120000</v>
      </c>
      <c r="Q5" s="120">
        <f>IFERROR(Opex[[#This Row],[Agua]]/Opex[[#This Row],[No. Días Arriendo]],0)</f>
        <v>4000</v>
      </c>
      <c r="R5" s="115">
        <f>+AVERAGE(R3:R4)</f>
        <v>319050</v>
      </c>
      <c r="S5" s="115">
        <f>'[4]Radicado Energia'!$C35</f>
        <v>264247</v>
      </c>
      <c r="T5" s="121" t="e">
        <f>+#REF!</f>
        <v>#REF!</v>
      </c>
      <c r="U5" s="116" t="e">
        <f>+AVERAGE(#REF!/#REF!,#REF!/V3,#REF!/V4)</f>
        <v>#REF!</v>
      </c>
      <c r="V5" s="117" t="e">
        <f>+AVERAGE(V3:V4)</f>
        <v>#REF!</v>
      </c>
      <c r="W5" s="125" t="s">
        <v>222</v>
      </c>
      <c r="X5" s="126">
        <f>IFERROR(Opex[[#This Row],[Energia]]/Opex[[#This Row],[No. Días Arriendo]],0)</f>
        <v>10635</v>
      </c>
    </row>
    <row r="6" spans="1:24" x14ac:dyDescent="0.2">
      <c r="B6" s="114" t="s">
        <v>196</v>
      </c>
      <c r="C6" s="106">
        <f t="shared" si="2"/>
        <v>46188</v>
      </c>
      <c r="D6" s="106">
        <v>46217</v>
      </c>
      <c r="E6" s="107" t="str">
        <f t="shared" si="0"/>
        <v>junio</v>
      </c>
      <c r="F6" s="108"/>
      <c r="G6" s="108">
        <f>+Opex[[#This Row],[Cuentas x Pagar]]/31</f>
        <v>0</v>
      </c>
      <c r="H6" s="108">
        <v>1650000</v>
      </c>
      <c r="I6" s="110">
        <f>+Opex[[#This Row],[fecha_fin]]-Opex[[#This Row],[Fecha]]</f>
        <v>29</v>
      </c>
      <c r="J6" s="112">
        <f>IFERROR(Opex[[#This Row],[Arriendo]]/Opex[[#This Row],[No. Días Arriendo]],0)</f>
        <v>56896.551724137928</v>
      </c>
      <c r="K6" s="108">
        <f>'[3]Análisis Gas'!$I$22</f>
        <v>247319</v>
      </c>
      <c r="L6" s="122">
        <f t="shared" si="3"/>
        <v>30</v>
      </c>
      <c r="M6" s="110" t="e">
        <f>+AVERAGE(M3/L3,M4/L4,M5/L5)*Opex[[#This Row],[No. Días Gas]]</f>
        <v>#REF!</v>
      </c>
      <c r="N6" s="108" t="e">
        <f t="shared" ref="N6:N13" si="4">+AVERAGE(N3:N5)</f>
        <v>#REF!</v>
      </c>
      <c r="O6" s="123">
        <f>IFERROR(Opex[[#This Row],[Gas]]/Opex[[#This Row],[No. Días Arriendo]],0)</f>
        <v>8528.2413793103442</v>
      </c>
      <c r="P6" s="108">
        <v>120000</v>
      </c>
      <c r="Q6" s="120">
        <f>IFERROR(Opex[[#This Row],[Agua]]/Opex[[#This Row],[No. Días Arriendo]],0)</f>
        <v>4137.9310344827591</v>
      </c>
      <c r="R6" s="108">
        <f>+AVERAGE(R4:R5)</f>
        <v>319050</v>
      </c>
      <c r="S6" s="108">
        <f>'[4]Radicado Energia'!$C36</f>
        <v>264247</v>
      </c>
      <c r="T6" s="122" t="e">
        <f>+#REF!</f>
        <v>#REF!</v>
      </c>
      <c r="U6" s="110" t="e">
        <f>+AVERAGE(#REF!/V3,#REF!/V4,#REF!/V5)</f>
        <v>#REF!</v>
      </c>
      <c r="V6" s="109" t="e">
        <f t="shared" ref="V6:V13" si="5">+AVERAGE(V3:V5)</f>
        <v>#REF!</v>
      </c>
      <c r="W6" s="124" t="s">
        <v>222</v>
      </c>
      <c r="X6" s="126">
        <f>IFERROR(Opex[[#This Row],[Energia]]/Opex[[#This Row],[No. Días Arriendo]],0)</f>
        <v>11001.724137931034</v>
      </c>
    </row>
    <row r="7" spans="1:24" x14ac:dyDescent="0.2">
      <c r="B7" s="114" t="s">
        <v>196</v>
      </c>
      <c r="C7" s="106">
        <f t="shared" si="2"/>
        <v>46218</v>
      </c>
      <c r="D7" s="106">
        <v>46248</v>
      </c>
      <c r="E7" s="107" t="str">
        <f t="shared" si="0"/>
        <v>julio</v>
      </c>
      <c r="F7" s="115"/>
      <c r="G7" s="115">
        <f>+Opex[[#This Row],[Cuentas x Pagar]]/31</f>
        <v>0</v>
      </c>
      <c r="H7" s="108">
        <v>1650000</v>
      </c>
      <c r="I7" s="110">
        <f>+Opex[[#This Row],[fecha_fin]]-Opex[[#This Row],[Fecha]]</f>
        <v>30</v>
      </c>
      <c r="J7" s="112">
        <f>IFERROR(Opex[[#This Row],[Arriendo]]/Opex[[#This Row],[No. Días Arriendo]],0)</f>
        <v>55000</v>
      </c>
      <c r="K7" s="115">
        <f>'[3]Análisis Gas'!$I$22</f>
        <v>247319</v>
      </c>
      <c r="L7" s="121">
        <f t="shared" si="3"/>
        <v>29</v>
      </c>
      <c r="M7" s="116" t="e">
        <f>+AVERAGE(M4/L4,M5/L5,M6/L6)*Opex[[#This Row],[No. Días Gas]]</f>
        <v>#REF!</v>
      </c>
      <c r="N7" s="115" t="e">
        <f t="shared" si="4"/>
        <v>#REF!</v>
      </c>
      <c r="O7" s="123">
        <f>IFERROR(Opex[[#This Row],[Gas]]/Opex[[#This Row],[No. Días Arriendo]],0)</f>
        <v>8243.9666666666672</v>
      </c>
      <c r="P7" s="115">
        <v>120000</v>
      </c>
      <c r="Q7" s="120">
        <f>IFERROR(Opex[[#This Row],[Agua]]/Opex[[#This Row],[No. Días Arriendo]],0)</f>
        <v>4000</v>
      </c>
      <c r="R7" s="115">
        <f>+AVERAGE(R5:R6)</f>
        <v>319050</v>
      </c>
      <c r="S7" s="115">
        <f>'[4]Radicado Energia'!$C37</f>
        <v>0</v>
      </c>
      <c r="T7" s="121" t="e">
        <f>+#REF!</f>
        <v>#REF!</v>
      </c>
      <c r="U7" s="116" t="e">
        <f>+AVERAGE(#REF!/V4,#REF!/V5,#REF!/V6)</f>
        <v>#REF!</v>
      </c>
      <c r="V7" s="117" t="e">
        <f>+AVERAGE(V4:V6)</f>
        <v>#REF!</v>
      </c>
      <c r="W7" s="125" t="s">
        <v>222</v>
      </c>
      <c r="X7" s="126">
        <f>IFERROR(Opex[[#This Row],[Energia]]/Opex[[#This Row],[No. Días Arriendo]],0)</f>
        <v>10635</v>
      </c>
    </row>
    <row r="8" spans="1:24" x14ac:dyDescent="0.2">
      <c r="B8" s="114" t="s">
        <v>196</v>
      </c>
      <c r="C8" s="106">
        <f t="shared" si="2"/>
        <v>46249</v>
      </c>
      <c r="D8" s="106">
        <v>46279</v>
      </c>
      <c r="E8" s="107" t="str">
        <f t="shared" ref="E8:E13" si="6">+TEXT(C8,"mmmm")</f>
        <v>agosto</v>
      </c>
      <c r="F8" s="108"/>
      <c r="G8" s="108">
        <f>+Opex[[#This Row],[Cuentas x Pagar]]/31</f>
        <v>0</v>
      </c>
      <c r="H8" s="108">
        <v>1650000</v>
      </c>
      <c r="I8" s="110">
        <f>+Opex[[#This Row],[fecha_fin]]-Opex[[#This Row],[Fecha]]</f>
        <v>30</v>
      </c>
      <c r="J8" s="112">
        <f>IFERROR(Opex[[#This Row],[Arriendo]]/Opex[[#This Row],[No. Días Arriendo]],0)</f>
        <v>55000</v>
      </c>
      <c r="K8" s="108">
        <f>'[3]Análisis Gas'!$I$22</f>
        <v>247319</v>
      </c>
      <c r="L8" s="122">
        <f t="shared" ref="L8:L13" si="7">+I7</f>
        <v>30</v>
      </c>
      <c r="M8" s="110" t="e">
        <f>+AVERAGE(M5/L5,M6/L6,M7/L7)*Opex[[#This Row],[No. Días Gas]]</f>
        <v>#REF!</v>
      </c>
      <c r="N8" s="108" t="e">
        <f t="shared" si="4"/>
        <v>#REF!</v>
      </c>
      <c r="O8" s="123">
        <f>IFERROR(Opex[[#This Row],[Gas]]/Opex[[#This Row],[No. Días Arriendo]],0)</f>
        <v>8243.9666666666672</v>
      </c>
      <c r="P8" s="108">
        <v>120000</v>
      </c>
      <c r="Q8" s="120">
        <f>IFERROR(Opex[[#This Row],[Agua]]/Opex[[#This Row],[No. Días Arriendo]],0)</f>
        <v>4000</v>
      </c>
      <c r="R8" s="108">
        <f t="shared" ref="R8:R13" si="8">+AVERAGE(R6:R7)</f>
        <v>319050</v>
      </c>
      <c r="S8" s="108">
        <f>'[4]Radicado Energia'!$C38</f>
        <v>0</v>
      </c>
      <c r="T8" s="122" t="e">
        <f>+#REF!</f>
        <v>#REF!</v>
      </c>
      <c r="U8" s="110" t="e">
        <f>+AVERAGE(#REF!/V5,#REF!/V6,#REF!/V7)</f>
        <v>#REF!</v>
      </c>
      <c r="V8" s="109" t="e">
        <f t="shared" si="5"/>
        <v>#REF!</v>
      </c>
      <c r="W8" s="124" t="s">
        <v>222</v>
      </c>
      <c r="X8" s="126">
        <f>IFERROR(Opex[[#This Row],[Energia]]/Opex[[#This Row],[No. Días Arriendo]],0)</f>
        <v>10635</v>
      </c>
    </row>
    <row r="9" spans="1:24" x14ac:dyDescent="0.2">
      <c r="B9" s="114" t="s">
        <v>196</v>
      </c>
      <c r="C9" s="106">
        <f t="shared" si="2"/>
        <v>46280</v>
      </c>
      <c r="D9" s="106">
        <v>46309</v>
      </c>
      <c r="E9" s="107" t="str">
        <f t="shared" si="6"/>
        <v>septiembre</v>
      </c>
      <c r="F9" s="115"/>
      <c r="G9" s="115">
        <f>+Opex[[#This Row],[Cuentas x Pagar]]/31</f>
        <v>0</v>
      </c>
      <c r="H9" s="108">
        <v>1650000</v>
      </c>
      <c r="I9" s="110">
        <f>+Opex[[#This Row],[fecha_fin]]-Opex[[#This Row],[Fecha]]</f>
        <v>29</v>
      </c>
      <c r="J9" s="112">
        <f>IFERROR(Opex[[#This Row],[Arriendo]]/Opex[[#This Row],[No. Días Arriendo]],0)</f>
        <v>56896.551724137928</v>
      </c>
      <c r="K9" s="115">
        <f>'[3]Análisis Gas'!$I$22</f>
        <v>247319</v>
      </c>
      <c r="L9" s="121">
        <f t="shared" si="7"/>
        <v>30</v>
      </c>
      <c r="M9" s="116" t="e">
        <f>+AVERAGE(M6/L6,M7/L7,M8/L8)*Opex[[#This Row],[No. Días Gas]]</f>
        <v>#REF!</v>
      </c>
      <c r="N9" s="115" t="e">
        <f t="shared" si="4"/>
        <v>#REF!</v>
      </c>
      <c r="O9" s="123">
        <f>IFERROR(Opex[[#This Row],[Gas]]/Opex[[#This Row],[No. Días Arriendo]],0)</f>
        <v>8528.2413793103442</v>
      </c>
      <c r="P9" s="115">
        <v>120000</v>
      </c>
      <c r="Q9" s="120">
        <f>IFERROR(Opex[[#This Row],[Agua]]/Opex[[#This Row],[No. Días Arriendo]],0)</f>
        <v>4137.9310344827591</v>
      </c>
      <c r="R9" s="115">
        <f t="shared" si="8"/>
        <v>319050</v>
      </c>
      <c r="S9" s="115">
        <f>'[4]Radicado Energia'!$C39</f>
        <v>0</v>
      </c>
      <c r="T9" s="121" t="e">
        <f>+#REF!</f>
        <v>#REF!</v>
      </c>
      <c r="U9" s="116" t="e">
        <f>+AVERAGE(#REF!/V6,#REF!/V7,#REF!/V8)</f>
        <v>#REF!</v>
      </c>
      <c r="V9" s="117" t="e">
        <f t="shared" si="5"/>
        <v>#REF!</v>
      </c>
      <c r="W9" s="125" t="s">
        <v>222</v>
      </c>
      <c r="X9" s="126">
        <f>IFERROR(Opex[[#This Row],[Energia]]/Opex[[#This Row],[No. Días Arriendo]],0)</f>
        <v>11001.724137931034</v>
      </c>
    </row>
    <row r="10" spans="1:24" x14ac:dyDescent="0.2">
      <c r="B10" s="114" t="s">
        <v>196</v>
      </c>
      <c r="C10" s="106">
        <f t="shared" si="2"/>
        <v>46310</v>
      </c>
      <c r="D10" s="106">
        <v>46340</v>
      </c>
      <c r="E10" s="107" t="str">
        <f t="shared" si="6"/>
        <v>octubre</v>
      </c>
      <c r="F10" s="108"/>
      <c r="G10" s="108">
        <f>+Opex[[#This Row],[Cuentas x Pagar]]/31</f>
        <v>0</v>
      </c>
      <c r="H10" s="108">
        <v>1650000</v>
      </c>
      <c r="I10" s="110">
        <f>+Opex[[#This Row],[fecha_fin]]-Opex[[#This Row],[Fecha]]</f>
        <v>30</v>
      </c>
      <c r="J10" s="112">
        <f>IFERROR(Opex[[#This Row],[Arriendo]]/Opex[[#This Row],[No. Días Arriendo]],0)</f>
        <v>55000</v>
      </c>
      <c r="K10" s="108">
        <f>'[3]Análisis Gas'!$I$22</f>
        <v>247319</v>
      </c>
      <c r="L10" s="122">
        <f t="shared" si="7"/>
        <v>29</v>
      </c>
      <c r="M10" s="110" t="e">
        <f>+AVERAGE(M7/L7,M8/L8,M9/L9)*Opex[[#This Row],[No. Días Gas]]</f>
        <v>#REF!</v>
      </c>
      <c r="N10" s="108" t="e">
        <f t="shared" si="4"/>
        <v>#REF!</v>
      </c>
      <c r="O10" s="123">
        <f>IFERROR(Opex[[#This Row],[Gas]]/Opex[[#This Row],[No. Días Arriendo]],0)</f>
        <v>8243.9666666666672</v>
      </c>
      <c r="P10" s="108">
        <v>120000</v>
      </c>
      <c r="Q10" s="120">
        <f>IFERROR(Opex[[#This Row],[Agua]]/Opex[[#This Row],[No. Días Arriendo]],0)</f>
        <v>4000</v>
      </c>
      <c r="R10" s="108">
        <f t="shared" si="8"/>
        <v>319050</v>
      </c>
      <c r="S10" s="108">
        <f>'[4]Radicado Energia'!$C40</f>
        <v>0</v>
      </c>
      <c r="T10" s="122" t="e">
        <f>+#REF!</f>
        <v>#REF!</v>
      </c>
      <c r="U10" s="110" t="e">
        <f>+AVERAGE(#REF!/V7,#REF!/V8,#REF!/V9)</f>
        <v>#REF!</v>
      </c>
      <c r="V10" s="109" t="e">
        <f t="shared" si="5"/>
        <v>#REF!</v>
      </c>
      <c r="W10" s="124" t="s">
        <v>222</v>
      </c>
      <c r="X10" s="126">
        <f>IFERROR(Opex[[#This Row],[Energia]]/Opex[[#This Row],[No. Días Arriendo]],0)</f>
        <v>10635</v>
      </c>
    </row>
    <row r="11" spans="1:24" x14ac:dyDescent="0.2">
      <c r="B11" s="114" t="s">
        <v>196</v>
      </c>
      <c r="C11" s="106">
        <f t="shared" si="2"/>
        <v>46341</v>
      </c>
      <c r="D11" s="106">
        <v>46370</v>
      </c>
      <c r="E11" s="107" t="str">
        <f t="shared" si="6"/>
        <v>noviembre</v>
      </c>
      <c r="F11" s="115"/>
      <c r="G11" s="115">
        <f>+Opex[[#This Row],[Cuentas x Pagar]]/31</f>
        <v>0</v>
      </c>
      <c r="H11" s="108">
        <v>1650000</v>
      </c>
      <c r="I11" s="110">
        <f>+Opex[[#This Row],[fecha_fin]]-Opex[[#This Row],[Fecha]]</f>
        <v>29</v>
      </c>
      <c r="J11" s="112">
        <f>IFERROR(Opex[[#This Row],[Arriendo]]/Opex[[#This Row],[No. Días Arriendo]],0)</f>
        <v>56896.551724137928</v>
      </c>
      <c r="K11" s="115">
        <f>'[3]Análisis Gas'!$I$22</f>
        <v>247319</v>
      </c>
      <c r="L11" s="121">
        <f t="shared" si="7"/>
        <v>30</v>
      </c>
      <c r="M11" s="116" t="e">
        <f>+AVERAGE(M8/L8,M9/L9,M10/L10)*Opex[[#This Row],[No. Días Gas]]</f>
        <v>#REF!</v>
      </c>
      <c r="N11" s="115" t="e">
        <f t="shared" si="4"/>
        <v>#REF!</v>
      </c>
      <c r="O11" s="123">
        <f>IFERROR(Opex[[#This Row],[Gas]]/Opex[[#This Row],[No. Días Arriendo]],0)</f>
        <v>8528.2413793103442</v>
      </c>
      <c r="P11" s="115">
        <v>120000</v>
      </c>
      <c r="Q11" s="120">
        <f>IFERROR(Opex[[#This Row],[Agua]]/Opex[[#This Row],[No. Días Arriendo]],0)</f>
        <v>4137.9310344827591</v>
      </c>
      <c r="R11" s="115">
        <f t="shared" si="8"/>
        <v>319050</v>
      </c>
      <c r="S11" s="115">
        <f>'[4]Radicado Energia'!$C41</f>
        <v>0</v>
      </c>
      <c r="T11" s="121" t="e">
        <f>+#REF!</f>
        <v>#REF!</v>
      </c>
      <c r="U11" s="116" t="e">
        <f>+AVERAGE(#REF!/V8,#REF!/V9,#REF!/V10)</f>
        <v>#REF!</v>
      </c>
      <c r="V11" s="117" t="e">
        <f t="shared" si="5"/>
        <v>#REF!</v>
      </c>
      <c r="W11" s="125" t="s">
        <v>222</v>
      </c>
      <c r="X11" s="126">
        <f>IFERROR(Opex[[#This Row],[Energia]]/Opex[[#This Row],[No. Días Arriendo]],0)</f>
        <v>11001.724137931034</v>
      </c>
    </row>
    <row r="12" spans="1:24" x14ac:dyDescent="0.2">
      <c r="B12" s="114" t="s">
        <v>196</v>
      </c>
      <c r="C12" s="106">
        <f t="shared" si="2"/>
        <v>46371</v>
      </c>
      <c r="D12" s="106">
        <v>46401</v>
      </c>
      <c r="E12" s="107" t="str">
        <f t="shared" si="6"/>
        <v>diciembre</v>
      </c>
      <c r="F12" s="108"/>
      <c r="G12" s="108">
        <f>+Opex[[#This Row],[Cuentas x Pagar]]/31</f>
        <v>0</v>
      </c>
      <c r="H12" s="108">
        <v>1650000</v>
      </c>
      <c r="I12" s="110">
        <f>+Opex[[#This Row],[fecha_fin]]-Opex[[#This Row],[Fecha]]</f>
        <v>30</v>
      </c>
      <c r="J12" s="112">
        <f>IFERROR(Opex[[#This Row],[Arriendo]]/Opex[[#This Row],[No. Días Arriendo]],0)</f>
        <v>55000</v>
      </c>
      <c r="K12" s="108">
        <f>'[3]Análisis Gas'!$I$22</f>
        <v>247319</v>
      </c>
      <c r="L12" s="122">
        <f t="shared" si="7"/>
        <v>29</v>
      </c>
      <c r="M12" s="110" t="e">
        <f>+AVERAGE(M9/L9,M10/L10,M11/L11)*Opex[[#This Row],[No. Días Gas]]</f>
        <v>#REF!</v>
      </c>
      <c r="N12" s="108" t="e">
        <f t="shared" si="4"/>
        <v>#REF!</v>
      </c>
      <c r="O12" s="123">
        <f>IFERROR(Opex[[#This Row],[Gas]]/Opex[[#This Row],[No. Días Arriendo]],0)</f>
        <v>8243.9666666666672</v>
      </c>
      <c r="P12" s="108">
        <v>120000</v>
      </c>
      <c r="Q12" s="120">
        <f>IFERROR(Opex[[#This Row],[Agua]]/Opex[[#This Row],[No. Días Arriendo]],0)</f>
        <v>4000</v>
      </c>
      <c r="R12" s="108">
        <f t="shared" si="8"/>
        <v>319050</v>
      </c>
      <c r="S12" s="108">
        <f>'[4]Radicado Energia'!$C42</f>
        <v>0</v>
      </c>
      <c r="T12" s="122" t="e">
        <f>+#REF!</f>
        <v>#REF!</v>
      </c>
      <c r="U12" s="110" t="e">
        <f>+AVERAGE(#REF!/V9,#REF!/V10,#REF!/V11)</f>
        <v>#REF!</v>
      </c>
      <c r="V12" s="109" t="e">
        <f t="shared" si="5"/>
        <v>#REF!</v>
      </c>
      <c r="W12" s="124" t="s">
        <v>222</v>
      </c>
      <c r="X12" s="126">
        <f>IFERROR(Opex[[#This Row],[Energia]]/Opex[[#This Row],[No. Días Arriendo]],0)</f>
        <v>10635</v>
      </c>
    </row>
    <row r="13" spans="1:24" x14ac:dyDescent="0.2">
      <c r="B13" s="114" t="s">
        <v>196</v>
      </c>
      <c r="C13" s="106">
        <f t="shared" si="2"/>
        <v>46402</v>
      </c>
      <c r="D13" s="106">
        <v>46432</v>
      </c>
      <c r="E13" s="107" t="str">
        <f t="shared" si="6"/>
        <v>enero</v>
      </c>
      <c r="F13" s="115"/>
      <c r="G13" s="115">
        <f>+Opex[[#This Row],[Cuentas x Pagar]]/31</f>
        <v>0</v>
      </c>
      <c r="H13" s="108">
        <v>1650000</v>
      </c>
      <c r="I13" s="110">
        <f>+Opex[[#This Row],[fecha_fin]]-Opex[[#This Row],[Fecha]]</f>
        <v>30</v>
      </c>
      <c r="J13" s="112">
        <f>IFERROR(Opex[[#This Row],[Arriendo]]/Opex[[#This Row],[No. Días Arriendo]],0)</f>
        <v>55000</v>
      </c>
      <c r="K13" s="115">
        <f>'[3]Análisis Gas'!$I$22</f>
        <v>247319</v>
      </c>
      <c r="L13" s="121">
        <f t="shared" si="7"/>
        <v>30</v>
      </c>
      <c r="M13" s="116" t="e">
        <f>+AVERAGE(M10/L10,M11/L11,M12/L12)*Opex[[#This Row],[No. Días Gas]]</f>
        <v>#REF!</v>
      </c>
      <c r="N13" s="115" t="e">
        <f t="shared" si="4"/>
        <v>#REF!</v>
      </c>
      <c r="O13" s="123">
        <f>IFERROR(Opex[[#This Row],[Gas]]/Opex[[#This Row],[No. Días Arriendo]],0)</f>
        <v>8243.9666666666672</v>
      </c>
      <c r="P13" s="115">
        <v>120000</v>
      </c>
      <c r="Q13" s="120">
        <f>IFERROR(Opex[[#This Row],[Agua]]/Opex[[#This Row],[No. Días Arriendo]],0)</f>
        <v>4000</v>
      </c>
      <c r="R13" s="115">
        <f t="shared" si="8"/>
        <v>319050</v>
      </c>
      <c r="S13" s="115">
        <f>'[4]Radicado Energia'!$C43</f>
        <v>0</v>
      </c>
      <c r="T13" s="121" t="e">
        <f>+#REF!</f>
        <v>#REF!</v>
      </c>
      <c r="U13" s="116" t="e">
        <f>+AVERAGE(#REF!/V10,#REF!/V11,#REF!/V12)</f>
        <v>#REF!</v>
      </c>
      <c r="V13" s="117" t="e">
        <f t="shared" si="5"/>
        <v>#REF!</v>
      </c>
      <c r="W13" s="125" t="s">
        <v>222</v>
      </c>
      <c r="X13" s="126">
        <f>IFERROR(Opex[[#This Row],[Energia]]/Opex[[#This Row],[No. Días Arriendo]],0)</f>
        <v>10635</v>
      </c>
    </row>
  </sheetData>
  <phoneticPr fontId="20" type="noConversion"/>
  <conditionalFormatting sqref="N2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verticalDpi="300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"/>
  <sheetViews>
    <sheetView workbookViewId="0">
      <selection activeCell="F2" sqref="F2"/>
    </sheetView>
  </sheetViews>
  <sheetFormatPr baseColWidth="10" defaultRowHeight="14.25" x14ac:dyDescent="0.2"/>
  <cols>
    <col min="1" max="1" width="10.875" bestFit="1" customWidth="1"/>
  </cols>
  <sheetData>
    <row r="1" spans="1:6" x14ac:dyDescent="0.2">
      <c r="A1" s="264" t="s">
        <v>414</v>
      </c>
      <c r="B1" s="264" t="s">
        <v>410</v>
      </c>
      <c r="C1" s="264" t="s">
        <v>416</v>
      </c>
      <c r="E1" s="264" t="s">
        <v>415</v>
      </c>
    </row>
    <row r="2" spans="1:6" x14ac:dyDescent="0.2">
      <c r="A2" s="265">
        <v>46068</v>
      </c>
      <c r="B2" s="265">
        <v>46095</v>
      </c>
      <c r="C2" s="266" t="s">
        <v>412</v>
      </c>
      <c r="E2" s="265">
        <v>46095</v>
      </c>
      <c r="F2" s="92" t="str">
        <f>VLOOKUP(E2,A:C,3,TRUE)</f>
        <v>uno</v>
      </c>
    </row>
    <row r="3" spans="1:6" x14ac:dyDescent="0.2">
      <c r="A3" s="267">
        <f>+B2+1</f>
        <v>46096</v>
      </c>
      <c r="B3" s="267">
        <v>46126</v>
      </c>
      <c r="C3" s="268" t="s">
        <v>413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B1"/>
  <sheetViews>
    <sheetView showGridLines="0" zoomScale="115" zoomScaleNormal="115" workbookViewId="0"/>
  </sheetViews>
  <sheetFormatPr baseColWidth="10" defaultRowHeight="14.25" x14ac:dyDescent="0.2"/>
  <sheetData>
    <row r="1" spans="28:28" x14ac:dyDescent="0.2">
      <c r="AB1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39997558519241921"/>
  </sheetPr>
  <dimension ref="B4:S56"/>
  <sheetViews>
    <sheetView showGridLines="0" topLeftCell="D19" zoomScale="85" zoomScaleNormal="85" workbookViewId="0">
      <selection activeCell="K5" sqref="K5:K9"/>
    </sheetView>
  </sheetViews>
  <sheetFormatPr baseColWidth="10" defaultRowHeight="14.25" x14ac:dyDescent="0.2"/>
  <cols>
    <col min="1" max="1" width="1.375" customWidth="1"/>
    <col min="2" max="2" width="24.25" customWidth="1"/>
    <col min="3" max="3" width="19.375" bestFit="1" customWidth="1"/>
    <col min="4" max="4" width="19.625" bestFit="1" customWidth="1"/>
    <col min="5" max="5" width="12.625" bestFit="1" customWidth="1"/>
    <col min="6" max="6" width="12.625" customWidth="1"/>
    <col min="7" max="7" width="4.875" customWidth="1"/>
    <col min="8" max="8" width="20.25" bestFit="1" customWidth="1"/>
    <col min="9" max="9" width="12.875" customWidth="1"/>
    <col min="10" max="10" width="8.625" customWidth="1"/>
    <col min="11" max="11" width="12.5" bestFit="1" customWidth="1"/>
    <col min="12" max="12" width="16.375" bestFit="1" customWidth="1"/>
    <col min="13" max="13" width="13.875" bestFit="1" customWidth="1"/>
    <col min="14" max="14" width="7.75" customWidth="1"/>
    <col min="15" max="15" width="4.5" bestFit="1" customWidth="1"/>
    <col min="16" max="16" width="11.5" bestFit="1" customWidth="1"/>
    <col min="17" max="17" width="17.625" bestFit="1" customWidth="1"/>
    <col min="18" max="18" width="19.625" bestFit="1" customWidth="1"/>
    <col min="19" max="19" width="12.625" customWidth="1"/>
  </cols>
  <sheetData>
    <row r="4" spans="2:16" x14ac:dyDescent="0.2">
      <c r="B4" s="69" t="s">
        <v>217</v>
      </c>
      <c r="C4" s="69" t="s">
        <v>113</v>
      </c>
      <c r="D4" s="69" t="s">
        <v>185</v>
      </c>
      <c r="E4" s="70" t="s">
        <v>107</v>
      </c>
      <c r="F4" s="95" t="s">
        <v>315</v>
      </c>
      <c r="H4" s="7" t="s">
        <v>172</v>
      </c>
      <c r="I4" s="7" t="s">
        <v>107</v>
      </c>
      <c r="K4" s="63" t="s">
        <v>144</v>
      </c>
      <c r="L4" s="64" t="s">
        <v>121</v>
      </c>
      <c r="M4" s="65">
        <f>+M5+M6</f>
        <v>18150000</v>
      </c>
      <c r="N4" s="67">
        <f>+M4/$K$5</f>
        <v>0.61570257311773358</v>
      </c>
    </row>
    <row r="5" spans="2:16" x14ac:dyDescent="0.2">
      <c r="B5" t="s">
        <v>400</v>
      </c>
      <c r="C5" t="s">
        <v>199</v>
      </c>
      <c r="D5" t="s">
        <v>204</v>
      </c>
      <c r="E5" s="1">
        <v>350000</v>
      </c>
      <c r="F5" s="1">
        <v>0</v>
      </c>
      <c r="H5" t="s">
        <v>209</v>
      </c>
      <c r="I5" s="4">
        <v>1000000</v>
      </c>
      <c r="K5" s="274">
        <f>+M4+M7</f>
        <v>29478519</v>
      </c>
      <c r="L5" s="26" t="s">
        <v>208</v>
      </c>
      <c r="M5" s="27">
        <f>+Planta_y_Equipo[[#Totals],[Valor]]</f>
        <v>16020000</v>
      </c>
      <c r="N5" s="66">
        <f>+M5/$M$4</f>
        <v>0.88264462809917354</v>
      </c>
    </row>
    <row r="6" spans="2:16" x14ac:dyDescent="0.2">
      <c r="B6" t="s">
        <v>400</v>
      </c>
      <c r="C6" t="s">
        <v>200</v>
      </c>
      <c r="D6" t="s">
        <v>205</v>
      </c>
      <c r="E6" s="1">
        <v>0</v>
      </c>
      <c r="F6" s="1">
        <v>0</v>
      </c>
      <c r="H6" t="s">
        <v>164</v>
      </c>
      <c r="I6" s="22">
        <f>550000/2</f>
        <v>275000</v>
      </c>
      <c r="K6" s="275"/>
      <c r="L6" s="26" t="s">
        <v>207</v>
      </c>
      <c r="M6" s="27">
        <f>+Stock_Actual[[#Totals],[Valor]]</f>
        <v>2130000</v>
      </c>
      <c r="N6" s="66">
        <f>+M6/$M$4</f>
        <v>0.11735537190082644</v>
      </c>
    </row>
    <row r="7" spans="2:16" x14ac:dyDescent="0.2">
      <c r="B7" t="s">
        <v>400</v>
      </c>
      <c r="C7" t="s">
        <v>118</v>
      </c>
      <c r="D7" t="s">
        <v>206</v>
      </c>
      <c r="E7" s="1">
        <v>1088000</v>
      </c>
      <c r="F7" s="1">
        <v>0</v>
      </c>
      <c r="H7" t="s">
        <v>132</v>
      </c>
      <c r="I7" s="22">
        <v>200000</v>
      </c>
      <c r="K7" s="275"/>
      <c r="L7" s="93" t="s">
        <v>143</v>
      </c>
      <c r="M7" s="94">
        <f>+M8+M9</f>
        <v>11328519</v>
      </c>
      <c r="N7" s="68">
        <f>+M7/$K$5</f>
        <v>0.38429742688226637</v>
      </c>
      <c r="O7" s="71">
        <f>+M7/M4</f>
        <v>0.62416082644628101</v>
      </c>
      <c r="P7" s="11">
        <f>+M4-M7</f>
        <v>6821481</v>
      </c>
    </row>
    <row r="8" spans="2:16" x14ac:dyDescent="0.2">
      <c r="B8" t="s">
        <v>400</v>
      </c>
      <c r="C8" t="s">
        <v>112</v>
      </c>
      <c r="D8" t="s">
        <v>219</v>
      </c>
      <c r="E8" s="1">
        <v>380000</v>
      </c>
      <c r="F8" s="1">
        <v>0</v>
      </c>
      <c r="H8" t="s">
        <v>166</v>
      </c>
      <c r="I8" s="4">
        <v>100000</v>
      </c>
      <c r="K8" s="275"/>
      <c r="L8" s="253" t="s">
        <v>400</v>
      </c>
      <c r="M8" s="27">
        <f>+SUMIF(B5:B23,L8,E5:E23)</f>
        <v>4728920</v>
      </c>
      <c r="N8" s="66">
        <f>+M8/$M$7</f>
        <v>0.41743497097899557</v>
      </c>
    </row>
    <row r="9" spans="2:16" x14ac:dyDescent="0.2">
      <c r="B9" t="s">
        <v>400</v>
      </c>
      <c r="C9" t="s">
        <v>223</v>
      </c>
      <c r="D9" t="s">
        <v>222</v>
      </c>
      <c r="E9" s="1">
        <v>750000</v>
      </c>
      <c r="F9" s="1">
        <v>0</v>
      </c>
      <c r="H9" t="s">
        <v>108</v>
      </c>
      <c r="I9" s="11">
        <f>SUBTOTAL(109,Gastos_entrada[Valor])</f>
        <v>1575000</v>
      </c>
      <c r="K9" s="276"/>
      <c r="L9" s="253" t="s">
        <v>399</v>
      </c>
      <c r="M9" s="27">
        <f>+SUMIF(B5:B23,L9,E5:E23)</f>
        <v>6599599</v>
      </c>
      <c r="N9" s="66">
        <f>+M9/$M$7</f>
        <v>0.58256502902100438</v>
      </c>
    </row>
    <row r="10" spans="2:16" x14ac:dyDescent="0.2">
      <c r="B10" t="s">
        <v>400</v>
      </c>
      <c r="C10" t="s">
        <v>177</v>
      </c>
      <c r="D10" t="s">
        <v>343</v>
      </c>
      <c r="E10" s="1">
        <v>150000</v>
      </c>
      <c r="F10" s="1">
        <v>0</v>
      </c>
    </row>
    <row r="11" spans="2:16" x14ac:dyDescent="0.2">
      <c r="B11" t="s">
        <v>400</v>
      </c>
      <c r="C11" t="s">
        <v>203</v>
      </c>
      <c r="D11" t="s">
        <v>222</v>
      </c>
      <c r="E11" s="1">
        <v>400000</v>
      </c>
      <c r="F11" s="1">
        <f>+E11</f>
        <v>400000</v>
      </c>
      <c r="M11" s="74" t="s">
        <v>230</v>
      </c>
      <c r="N11" s="75" t="s">
        <v>228</v>
      </c>
    </row>
    <row r="12" spans="2:16" x14ac:dyDescent="0.2">
      <c r="B12" t="s">
        <v>400</v>
      </c>
      <c r="C12" t="s">
        <v>354</v>
      </c>
      <c r="D12" t="s">
        <v>222</v>
      </c>
      <c r="E12" s="1">
        <v>370000</v>
      </c>
      <c r="F12" s="1">
        <v>0</v>
      </c>
      <c r="L12" s="76" t="s">
        <v>224</v>
      </c>
      <c r="M12" s="73">
        <f>+M15/K5</f>
        <v>0.15604583120339255</v>
      </c>
      <c r="N12" s="72">
        <f>+M7/K5</f>
        <v>0.38429742688226637</v>
      </c>
      <c r="O12" t="s">
        <v>225</v>
      </c>
    </row>
    <row r="13" spans="2:16" x14ac:dyDescent="0.2">
      <c r="B13" t="s">
        <v>400</v>
      </c>
      <c r="C13" t="s">
        <v>391</v>
      </c>
      <c r="D13" t="s">
        <v>391</v>
      </c>
      <c r="E13" s="1">
        <v>180000</v>
      </c>
      <c r="F13" s="1">
        <v>0</v>
      </c>
      <c r="L13" s="76" t="s">
        <v>226</v>
      </c>
      <c r="M13" s="73">
        <f>M15/M4</f>
        <v>0.25344352617079891</v>
      </c>
      <c r="N13" s="72">
        <f>+M7/M4</f>
        <v>0.62416082644628101</v>
      </c>
      <c r="O13" t="s">
        <v>227</v>
      </c>
    </row>
    <row r="14" spans="2:16" x14ac:dyDescent="0.2">
      <c r="B14" t="s">
        <v>400</v>
      </c>
      <c r="C14" t="s">
        <v>361</v>
      </c>
      <c r="D14" t="s">
        <v>310</v>
      </c>
      <c r="E14" s="1">
        <v>1060920</v>
      </c>
      <c r="F14" s="1">
        <f>+E14</f>
        <v>1060920</v>
      </c>
    </row>
    <row r="15" spans="2:16" x14ac:dyDescent="0.2">
      <c r="B15" t="s">
        <v>400</v>
      </c>
      <c r="C15" t="s">
        <v>369</v>
      </c>
      <c r="D15" t="s">
        <v>381</v>
      </c>
      <c r="E15" s="1">
        <v>0</v>
      </c>
      <c r="F15" s="1">
        <f>+E15</f>
        <v>0</v>
      </c>
      <c r="L15" s="74" t="s">
        <v>229</v>
      </c>
      <c r="M15" s="77">
        <f>$I$54</f>
        <v>4600000</v>
      </c>
    </row>
    <row r="16" spans="2:16" x14ac:dyDescent="0.2">
      <c r="B16" t="s">
        <v>400</v>
      </c>
      <c r="C16" t="s">
        <v>385</v>
      </c>
      <c r="D16" t="s">
        <v>387</v>
      </c>
      <c r="E16" s="1">
        <v>0</v>
      </c>
      <c r="F16" s="1">
        <v>0</v>
      </c>
      <c r="L16" t="s">
        <v>231</v>
      </c>
      <c r="M16" s="11">
        <f>+M7-M15</f>
        <v>6728519</v>
      </c>
    </row>
    <row r="17" spans="2:19" x14ac:dyDescent="0.2">
      <c r="B17" t="s">
        <v>400</v>
      </c>
      <c r="C17" t="s">
        <v>386</v>
      </c>
      <c r="D17" t="s">
        <v>388</v>
      </c>
      <c r="E17" s="1">
        <v>0</v>
      </c>
      <c r="F17" s="1">
        <v>0</v>
      </c>
    </row>
    <row r="18" spans="2:19" x14ac:dyDescent="0.2">
      <c r="B18" t="s">
        <v>399</v>
      </c>
      <c r="C18" t="s">
        <v>199</v>
      </c>
      <c r="D18" t="s">
        <v>183</v>
      </c>
      <c r="E18" s="1">
        <v>3000000</v>
      </c>
      <c r="F18" s="1">
        <v>0</v>
      </c>
    </row>
    <row r="19" spans="2:19" x14ac:dyDescent="0.2">
      <c r="B19" t="s">
        <v>399</v>
      </c>
      <c r="C19" t="s">
        <v>118</v>
      </c>
      <c r="D19" t="s">
        <v>218</v>
      </c>
      <c r="E19" s="1">
        <v>300000</v>
      </c>
      <c r="F19" s="1">
        <v>0</v>
      </c>
    </row>
    <row r="20" spans="2:19" x14ac:dyDescent="0.2">
      <c r="B20" t="s">
        <v>399</v>
      </c>
      <c r="C20" t="s">
        <v>118</v>
      </c>
      <c r="D20" t="s">
        <v>178</v>
      </c>
      <c r="E20" s="1">
        <v>350000</v>
      </c>
      <c r="F20" s="1">
        <v>0</v>
      </c>
    </row>
    <row r="21" spans="2:19" x14ac:dyDescent="0.2">
      <c r="B21" t="s">
        <v>399</v>
      </c>
      <c r="C21" t="s">
        <v>112</v>
      </c>
      <c r="D21" t="s">
        <v>179</v>
      </c>
      <c r="E21" s="1">
        <v>1350000</v>
      </c>
      <c r="F21" s="1">
        <v>100000</v>
      </c>
    </row>
    <row r="22" spans="2:19" ht="15" thickBot="1" x14ac:dyDescent="0.25">
      <c r="B22" t="s">
        <v>399</v>
      </c>
      <c r="C22" t="s">
        <v>181</v>
      </c>
      <c r="D22" t="s">
        <v>182</v>
      </c>
      <c r="E22" s="1">
        <v>0</v>
      </c>
      <c r="F22" s="96">
        <v>0</v>
      </c>
      <c r="S22" s="1"/>
    </row>
    <row r="23" spans="2:19" ht="15" thickTop="1" x14ac:dyDescent="0.2">
      <c r="B23" t="s">
        <v>399</v>
      </c>
      <c r="C23" t="s">
        <v>111</v>
      </c>
      <c r="D23" t="s">
        <v>180</v>
      </c>
      <c r="E23" s="1">
        <v>1599599</v>
      </c>
      <c r="F23" s="97">
        <f>+SUM(F5:F22)</f>
        <v>1560920</v>
      </c>
      <c r="S23" s="1"/>
    </row>
    <row r="24" spans="2:19" x14ac:dyDescent="0.2">
      <c r="B24" t="s">
        <v>216</v>
      </c>
      <c r="E24" s="1">
        <v>11328519</v>
      </c>
      <c r="S24" s="1"/>
    </row>
    <row r="25" spans="2:19" x14ac:dyDescent="0.2">
      <c r="E25" s="1"/>
      <c r="S25" s="1"/>
    </row>
    <row r="26" spans="2:19" x14ac:dyDescent="0.2">
      <c r="E26" s="1"/>
      <c r="S26" s="1"/>
    </row>
    <row r="27" spans="2:19" x14ac:dyDescent="0.2">
      <c r="E27" s="1"/>
      <c r="S27" s="1"/>
    </row>
    <row r="28" spans="2:19" x14ac:dyDescent="0.2">
      <c r="E28" s="1"/>
      <c r="S28" s="1"/>
    </row>
    <row r="29" spans="2:19" x14ac:dyDescent="0.2">
      <c r="E29" s="1"/>
      <c r="S29" s="1"/>
    </row>
    <row r="34" spans="2:12" x14ac:dyDescent="0.2">
      <c r="B34" s="7" t="s">
        <v>137</v>
      </c>
      <c r="C34" s="7" t="s">
        <v>167</v>
      </c>
      <c r="D34" s="7" t="s">
        <v>107</v>
      </c>
      <c r="H34" s="23" t="s">
        <v>171</v>
      </c>
      <c r="I34" s="23" t="s">
        <v>107</v>
      </c>
    </row>
    <row r="35" spans="2:12" x14ac:dyDescent="0.2">
      <c r="B35" t="s">
        <v>135</v>
      </c>
      <c r="C35" s="4" t="s">
        <v>169</v>
      </c>
      <c r="D35" s="33">
        <v>10000000</v>
      </c>
      <c r="H35" s="24" t="s">
        <v>139</v>
      </c>
      <c r="I35" s="34">
        <v>200000</v>
      </c>
    </row>
    <row r="36" spans="2:12" x14ac:dyDescent="0.2">
      <c r="B36" t="s">
        <v>173</v>
      </c>
      <c r="C36" s="4" t="s">
        <v>174</v>
      </c>
      <c r="D36" s="33">
        <v>1800000</v>
      </c>
      <c r="H36" s="24" t="s">
        <v>141</v>
      </c>
      <c r="I36" s="34">
        <f>50*20000</f>
        <v>1000000</v>
      </c>
      <c r="K36" t="s">
        <v>355</v>
      </c>
    </row>
    <row r="37" spans="2:12" x14ac:dyDescent="0.2">
      <c r="B37" t="s">
        <v>110</v>
      </c>
      <c r="C37" s="4" t="s">
        <v>168</v>
      </c>
      <c r="D37" s="33">
        <v>600000</v>
      </c>
      <c r="H37" s="24" t="s">
        <v>356</v>
      </c>
      <c r="I37" s="34">
        <v>0</v>
      </c>
      <c r="K37" t="s">
        <v>357</v>
      </c>
    </row>
    <row r="38" spans="2:12" x14ac:dyDescent="0.2">
      <c r="B38" t="s">
        <v>129</v>
      </c>
      <c r="C38" s="4" t="s">
        <v>168</v>
      </c>
      <c r="D38" s="33">
        <v>600000</v>
      </c>
      <c r="H38" s="24" t="s">
        <v>165</v>
      </c>
      <c r="I38" s="34">
        <v>280000</v>
      </c>
      <c r="K38" t="s">
        <v>358</v>
      </c>
    </row>
    <row r="39" spans="2:12" x14ac:dyDescent="0.2">
      <c r="B39" t="s">
        <v>109</v>
      </c>
      <c r="C39" s="4" t="s">
        <v>168</v>
      </c>
      <c r="D39" s="33">
        <v>500000</v>
      </c>
      <c r="H39" s="24" t="s">
        <v>138</v>
      </c>
      <c r="I39" s="34">
        <v>300000</v>
      </c>
      <c r="K39" t="s">
        <v>359</v>
      </c>
    </row>
    <row r="40" spans="2:12" x14ac:dyDescent="0.2">
      <c r="B40" t="s">
        <v>131</v>
      </c>
      <c r="C40" s="4" t="s">
        <v>169</v>
      </c>
      <c r="D40" s="33">
        <v>480000</v>
      </c>
      <c r="H40" s="24" t="s">
        <v>140</v>
      </c>
      <c r="I40" s="34">
        <v>0</v>
      </c>
    </row>
    <row r="41" spans="2:12" x14ac:dyDescent="0.2">
      <c r="B41" t="s">
        <v>136</v>
      </c>
      <c r="C41" s="4" t="s">
        <v>169</v>
      </c>
      <c r="D41" s="33">
        <v>320000</v>
      </c>
      <c r="H41" s="25" t="s">
        <v>145</v>
      </c>
      <c r="I41" s="35">
        <v>200000</v>
      </c>
      <c r="K41" t="s">
        <v>360</v>
      </c>
      <c r="L41" s="98">
        <v>200000</v>
      </c>
    </row>
    <row r="42" spans="2:12" ht="15" thickBot="1" x14ac:dyDescent="0.25">
      <c r="B42" t="s">
        <v>401</v>
      </c>
      <c r="C42" s="4" t="s">
        <v>169</v>
      </c>
      <c r="D42" s="33">
        <v>200000</v>
      </c>
      <c r="H42" s="32" t="s">
        <v>202</v>
      </c>
      <c r="I42" s="36">
        <v>150000</v>
      </c>
    </row>
    <row r="43" spans="2:12" ht="15" thickTop="1" x14ac:dyDescent="0.2">
      <c r="B43" t="s">
        <v>170</v>
      </c>
      <c r="C43" s="4" t="s">
        <v>168</v>
      </c>
      <c r="D43" s="33">
        <v>200000</v>
      </c>
      <c r="H43" t="s">
        <v>108</v>
      </c>
      <c r="I43" s="1">
        <f>SUBTOTAL(109,Stock_Actual[Valor])</f>
        <v>2130000</v>
      </c>
    </row>
    <row r="44" spans="2:12" x14ac:dyDescent="0.2">
      <c r="B44" t="s">
        <v>127</v>
      </c>
      <c r="C44" s="4" t="s">
        <v>168</v>
      </c>
      <c r="D44" s="33">
        <v>200000</v>
      </c>
    </row>
    <row r="45" spans="2:12" x14ac:dyDescent="0.2">
      <c r="B45" t="s">
        <v>120</v>
      </c>
      <c r="C45" s="4" t="s">
        <v>168</v>
      </c>
      <c r="D45" s="33">
        <v>200000</v>
      </c>
    </row>
    <row r="46" spans="2:12" x14ac:dyDescent="0.2">
      <c r="B46" t="s">
        <v>133</v>
      </c>
      <c r="C46" s="4" t="s">
        <v>168</v>
      </c>
      <c r="D46" s="33">
        <v>150000</v>
      </c>
      <c r="H46" s="23" t="s">
        <v>171</v>
      </c>
      <c r="I46" s="23" t="s">
        <v>107</v>
      </c>
    </row>
    <row r="47" spans="2:12" x14ac:dyDescent="0.2">
      <c r="B47" t="s">
        <v>130</v>
      </c>
      <c r="C47" s="4" t="s">
        <v>169</v>
      </c>
      <c r="D47" s="33">
        <v>120000</v>
      </c>
      <c r="H47" s="24" t="s">
        <v>139</v>
      </c>
      <c r="I47" s="34">
        <v>1500000</v>
      </c>
    </row>
    <row r="48" spans="2:12" x14ac:dyDescent="0.2">
      <c r="B48" t="s">
        <v>123</v>
      </c>
      <c r="C48" s="4" t="s">
        <v>168</v>
      </c>
      <c r="D48" s="33">
        <v>120000</v>
      </c>
      <c r="H48" s="24" t="s">
        <v>141</v>
      </c>
      <c r="I48" s="34">
        <f>50*20000</f>
        <v>1000000</v>
      </c>
    </row>
    <row r="49" spans="2:13" x14ac:dyDescent="0.2">
      <c r="B49" t="s">
        <v>126</v>
      </c>
      <c r="C49" s="4" t="s">
        <v>168</v>
      </c>
      <c r="D49" s="33">
        <v>100000</v>
      </c>
      <c r="H49" s="24" t="s">
        <v>165</v>
      </c>
      <c r="I49" s="34">
        <v>800000</v>
      </c>
      <c r="K49" t="s">
        <v>353</v>
      </c>
      <c r="M49" t="s">
        <v>352</v>
      </c>
    </row>
    <row r="50" spans="2:13" x14ac:dyDescent="0.2">
      <c r="B50" t="s">
        <v>124</v>
      </c>
      <c r="C50" s="4" t="s">
        <v>168</v>
      </c>
      <c r="D50" s="33">
        <v>90000</v>
      </c>
      <c r="H50" s="24" t="s">
        <v>138</v>
      </c>
      <c r="I50" s="34">
        <v>300000</v>
      </c>
      <c r="M50" t="s">
        <v>351</v>
      </c>
    </row>
    <row r="51" spans="2:13" x14ac:dyDescent="0.2">
      <c r="B51" t="s">
        <v>142</v>
      </c>
      <c r="C51" s="4" t="s">
        <v>169</v>
      </c>
      <c r="D51" s="33">
        <v>70000</v>
      </c>
      <c r="H51" s="24" t="s">
        <v>140</v>
      </c>
      <c r="I51" s="34">
        <v>500000</v>
      </c>
    </row>
    <row r="52" spans="2:13" x14ac:dyDescent="0.2">
      <c r="B52" t="s">
        <v>122</v>
      </c>
      <c r="C52" s="4" t="s">
        <v>168</v>
      </c>
      <c r="D52" s="33">
        <v>70000</v>
      </c>
      <c r="H52" s="25" t="s">
        <v>145</v>
      </c>
      <c r="I52" s="35">
        <v>200000</v>
      </c>
    </row>
    <row r="53" spans="2:13" ht="15" thickBot="1" x14ac:dyDescent="0.25">
      <c r="B53" t="s">
        <v>128</v>
      </c>
      <c r="C53" s="4" t="s">
        <v>168</v>
      </c>
      <c r="D53" s="33">
        <f>35000*2</f>
        <v>70000</v>
      </c>
      <c r="H53" s="32" t="s">
        <v>202</v>
      </c>
      <c r="I53" s="36">
        <v>300000</v>
      </c>
    </row>
    <row r="54" spans="2:13" ht="15" thickTop="1" x14ac:dyDescent="0.2">
      <c r="B54" t="s">
        <v>134</v>
      </c>
      <c r="C54" s="4" t="s">
        <v>168</v>
      </c>
      <c r="D54" s="33">
        <v>70000</v>
      </c>
      <c r="H54" t="s">
        <v>108</v>
      </c>
      <c r="I54" s="1">
        <f>SUBTOTAL(109,Stock_Ideal[Valor])</f>
        <v>4600000</v>
      </c>
    </row>
    <row r="55" spans="2:13" x14ac:dyDescent="0.2">
      <c r="B55" t="s">
        <v>125</v>
      </c>
      <c r="C55" s="4" t="s">
        <v>168</v>
      </c>
      <c r="D55" s="33">
        <v>60000</v>
      </c>
    </row>
    <row r="56" spans="2:13" x14ac:dyDescent="0.2">
      <c r="B56" t="s">
        <v>108</v>
      </c>
      <c r="D56" s="1">
        <f>SUBTOTAL(109,Planta_y_Equipo[Valor])</f>
        <v>16020000</v>
      </c>
    </row>
  </sheetData>
  <mergeCells count="1">
    <mergeCell ref="K5:K9"/>
  </mergeCells>
  <phoneticPr fontId="20" type="noConversion"/>
  <pageMargins left="0.7" right="0.7" top="0.75" bottom="0.75" header="0.3" footer="0.3"/>
  <pageSetup orientation="portrait" verticalDpi="0" r:id="rId2"/>
  <drawing r:id="rId3"/>
  <legacyDrawing r:id="rId4"/>
  <tableParts count="4">
    <tablePart r:id="rId5"/>
    <tablePart r:id="rId6"/>
    <tablePart r:id="rId7"/>
    <tablePart r:id="rId8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6" tint="0.39997558519241921"/>
  </sheetPr>
  <dimension ref="A2:AT34"/>
  <sheetViews>
    <sheetView showGridLines="0" topLeftCell="H1" zoomScale="70" zoomScaleNormal="70" workbookViewId="0"/>
  </sheetViews>
  <sheetFormatPr baseColWidth="10" defaultRowHeight="14.25" outlineLevelCol="1" x14ac:dyDescent="0.2"/>
  <cols>
    <col min="1" max="1" width="12.5" hidden="1" customWidth="1" outlineLevel="1"/>
    <col min="2" max="2" width="14.75" hidden="1" customWidth="1" outlineLevel="1"/>
    <col min="3" max="3" width="7.875" hidden="1" customWidth="1" outlineLevel="1"/>
    <col min="4" max="4" width="10" hidden="1" customWidth="1" outlineLevel="1"/>
    <col min="5" max="5" width="11.375" hidden="1" customWidth="1" outlineLevel="1"/>
    <col min="6" max="6" width="9" hidden="1" customWidth="1" outlineLevel="1"/>
    <col min="7" max="7" width="9.125" hidden="1" customWidth="1" outlineLevel="1"/>
    <col min="8" max="8" width="11" collapsed="1"/>
    <col min="20" max="20" width="8.125" customWidth="1"/>
    <col min="21" max="21" width="6" customWidth="1"/>
    <col min="22" max="22" width="11.375" customWidth="1"/>
    <col min="23" max="23" width="21" bestFit="1" customWidth="1"/>
    <col min="24" max="24" width="13" bestFit="1" customWidth="1"/>
    <col min="25" max="25" width="17.25" bestFit="1" customWidth="1"/>
    <col min="26" max="26" width="12.625" bestFit="1" customWidth="1"/>
    <col min="27" max="27" width="15" bestFit="1" customWidth="1"/>
    <col min="28" max="28" width="21.875" bestFit="1" customWidth="1"/>
    <col min="29" max="29" width="17.125" bestFit="1" customWidth="1"/>
    <col min="30" max="30" width="13.375" bestFit="1" customWidth="1"/>
    <col min="32" max="32" width="12.375" bestFit="1" customWidth="1"/>
    <col min="37" max="37" width="12.25" bestFit="1" customWidth="1"/>
    <col min="38" max="38" width="7.625" bestFit="1" customWidth="1"/>
    <col min="39" max="39" width="11.375" bestFit="1" customWidth="1"/>
    <col min="40" max="40" width="10.125" bestFit="1" customWidth="1"/>
    <col min="44" max="44" width="12.25" bestFit="1" customWidth="1"/>
    <col min="45" max="45" width="7.625" bestFit="1" customWidth="1"/>
    <col min="46" max="46" width="10" bestFit="1" customWidth="1"/>
    <col min="47" max="47" width="9" bestFit="1" customWidth="1"/>
    <col min="48" max="48" width="13.375" bestFit="1" customWidth="1"/>
  </cols>
  <sheetData>
    <row r="2" spans="1:46" x14ac:dyDescent="0.2">
      <c r="A2" s="29" t="s">
        <v>158</v>
      </c>
      <c r="B2" t="s">
        <v>295</v>
      </c>
      <c r="W2" s="30" t="s">
        <v>263</v>
      </c>
      <c r="X2" t="s">
        <v>159</v>
      </c>
      <c r="Y2" t="s">
        <v>264</v>
      </c>
      <c r="Z2" t="s">
        <v>260</v>
      </c>
      <c r="AA2" t="s">
        <v>265</v>
      </c>
      <c r="AB2" t="s">
        <v>266</v>
      </c>
      <c r="AQ2" s="29" t="s">
        <v>158</v>
      </c>
      <c r="AR2" t="s">
        <v>295</v>
      </c>
    </row>
    <row r="3" spans="1:46" x14ac:dyDescent="0.2">
      <c r="W3" t="s">
        <v>275</v>
      </c>
      <c r="X3" s="1">
        <v>5230000</v>
      </c>
      <c r="Y3" s="1">
        <v>174333.33333333334</v>
      </c>
      <c r="Z3" s="1">
        <v>1082730</v>
      </c>
      <c r="AA3" s="83">
        <v>747770</v>
      </c>
      <c r="AB3" s="83">
        <v>24925.666666666668</v>
      </c>
      <c r="AD3" s="83"/>
      <c r="AF3" s="1"/>
    </row>
    <row r="4" spans="1:46" x14ac:dyDescent="0.2">
      <c r="A4" s="29" t="s">
        <v>0</v>
      </c>
      <c r="B4" s="29" t="s">
        <v>149</v>
      </c>
      <c r="C4" s="29" t="s">
        <v>150</v>
      </c>
      <c r="D4" t="s">
        <v>159</v>
      </c>
      <c r="E4" t="s">
        <v>260</v>
      </c>
      <c r="AD4" s="71"/>
      <c r="AE4" s="71"/>
      <c r="AJ4" s="29" t="s">
        <v>0</v>
      </c>
      <c r="AK4" s="29" t="s">
        <v>149</v>
      </c>
      <c r="AL4" s="29" t="s">
        <v>150</v>
      </c>
      <c r="AM4" t="s">
        <v>159</v>
      </c>
      <c r="AQ4" s="29" t="s">
        <v>0</v>
      </c>
      <c r="AR4" s="29" t="s">
        <v>149</v>
      </c>
      <c r="AS4" s="29" t="s">
        <v>150</v>
      </c>
      <c r="AT4" t="s">
        <v>260</v>
      </c>
    </row>
    <row r="5" spans="1:46" ht="15" thickBot="1" x14ac:dyDescent="0.25">
      <c r="A5" t="s">
        <v>275</v>
      </c>
      <c r="B5" s="28" t="s">
        <v>276</v>
      </c>
      <c r="C5" t="s">
        <v>375</v>
      </c>
      <c r="D5" s="1">
        <v>150000</v>
      </c>
      <c r="E5" s="1">
        <v>25091</v>
      </c>
      <c r="AJ5" t="s">
        <v>275</v>
      </c>
      <c r="AK5" s="28" t="s">
        <v>276</v>
      </c>
      <c r="AL5" t="s">
        <v>375</v>
      </c>
      <c r="AM5" s="1">
        <v>150000</v>
      </c>
      <c r="AQ5" t="s">
        <v>275</v>
      </c>
      <c r="AR5" s="28" t="s">
        <v>276</v>
      </c>
      <c r="AS5" t="s">
        <v>375</v>
      </c>
      <c r="AT5" s="1">
        <v>25091</v>
      </c>
    </row>
    <row r="6" spans="1:46" ht="15" thickBot="1" x14ac:dyDescent="0.25">
      <c r="B6" s="28" t="s">
        <v>277</v>
      </c>
      <c r="C6" t="s">
        <v>376</v>
      </c>
      <c r="D6" s="1">
        <v>160000</v>
      </c>
      <c r="E6" s="1">
        <v>25091</v>
      </c>
      <c r="W6" s="31" t="s">
        <v>267</v>
      </c>
      <c r="X6" s="88" t="s">
        <v>261</v>
      </c>
      <c r="Y6" s="88" t="s">
        <v>157</v>
      </c>
      <c r="Z6" s="88" t="s">
        <v>259</v>
      </c>
      <c r="AA6" s="88" t="s">
        <v>268</v>
      </c>
      <c r="AB6" s="88" t="s">
        <v>269</v>
      </c>
      <c r="AC6" s="88" t="s">
        <v>271</v>
      </c>
      <c r="AD6" s="88" t="s">
        <v>270</v>
      </c>
      <c r="AK6" s="28" t="s">
        <v>277</v>
      </c>
      <c r="AL6" t="s">
        <v>376</v>
      </c>
      <c r="AM6" s="1">
        <v>160000</v>
      </c>
      <c r="AR6" s="28" t="s">
        <v>277</v>
      </c>
      <c r="AS6" t="s">
        <v>376</v>
      </c>
      <c r="AT6" s="1">
        <v>25091</v>
      </c>
    </row>
    <row r="7" spans="1:46" ht="15" thickBot="1" x14ac:dyDescent="0.25">
      <c r="B7" s="28" t="s">
        <v>278</v>
      </c>
      <c r="C7" t="s">
        <v>370</v>
      </c>
      <c r="D7" s="1">
        <v>160000</v>
      </c>
      <c r="E7" s="1">
        <v>25091</v>
      </c>
      <c r="W7" s="84" t="s">
        <v>162</v>
      </c>
      <c r="X7" s="277">
        <f>+SUBTOTAL(3,B5:B1048576)</f>
        <v>30</v>
      </c>
      <c r="Y7" s="277"/>
      <c r="Z7" s="277"/>
      <c r="AK7" s="28" t="s">
        <v>278</v>
      </c>
      <c r="AL7" t="s">
        <v>370</v>
      </c>
      <c r="AM7" s="1">
        <v>160000</v>
      </c>
      <c r="AR7" s="28" t="s">
        <v>278</v>
      </c>
      <c r="AS7" t="s">
        <v>370</v>
      </c>
      <c r="AT7" s="1">
        <v>25091</v>
      </c>
    </row>
    <row r="8" spans="1:46" ht="15" thickBot="1" x14ac:dyDescent="0.25">
      <c r="B8" s="28" t="s">
        <v>279</v>
      </c>
      <c r="C8" t="s">
        <v>371</v>
      </c>
      <c r="D8" s="1">
        <v>160000</v>
      </c>
      <c r="E8" s="1">
        <v>35091</v>
      </c>
      <c r="W8" s="84" t="s">
        <v>163</v>
      </c>
      <c r="X8" s="31">
        <f>+SUBTOTAL(9,D5:D1048576)/SUBTOTAL(3,B5:B1048576)</f>
        <v>174333.33333333334</v>
      </c>
      <c r="Y8" s="31">
        <f>+SUBTOTAL(9,E5:E1048576)/SUBTOTAL(3,B5:B1048576)</f>
        <v>36091</v>
      </c>
      <c r="Z8" s="31">
        <f>+SUBTOTAL(9,F5:F1048576)/SUBTOTAL(3,B5:B1048576)</f>
        <v>0</v>
      </c>
      <c r="AA8" s="89">
        <f>+Y8-Z8</f>
        <v>36091</v>
      </c>
      <c r="AB8" s="89">
        <f>+AB9/30</f>
        <v>53333.333333333336</v>
      </c>
      <c r="AC8" s="89">
        <f>+AB8+Z8</f>
        <v>53333.333333333336</v>
      </c>
      <c r="AD8" s="89">
        <f>+AD9/30</f>
        <v>177777.77777777778</v>
      </c>
      <c r="AF8">
        <v>143241</v>
      </c>
      <c r="AK8" s="28" t="s">
        <v>279</v>
      </c>
      <c r="AL8" t="s">
        <v>371</v>
      </c>
      <c r="AM8" s="1">
        <v>160000</v>
      </c>
      <c r="AR8" s="28" t="s">
        <v>279</v>
      </c>
      <c r="AS8" t="s">
        <v>371</v>
      </c>
      <c r="AT8" s="1">
        <v>35091</v>
      </c>
    </row>
    <row r="9" spans="1:46" x14ac:dyDescent="0.2">
      <c r="B9" s="28" t="s">
        <v>280</v>
      </c>
      <c r="C9" t="s">
        <v>372</v>
      </c>
      <c r="D9" s="1">
        <v>160000</v>
      </c>
      <c r="E9" s="1">
        <v>35091</v>
      </c>
      <c r="W9" s="84" t="s">
        <v>161</v>
      </c>
      <c r="X9" s="31">
        <f>+X8*30</f>
        <v>5230000</v>
      </c>
      <c r="Y9" s="31">
        <f>+Y8*30</f>
        <v>1082730</v>
      </c>
      <c r="Z9" s="31">
        <f>+Z8*30</f>
        <v>0</v>
      </c>
      <c r="AA9" s="89">
        <f>+AA8*30</f>
        <v>1082730</v>
      </c>
      <c r="AB9" s="89">
        <f>+(20000*30)+1000000</f>
        <v>1600000</v>
      </c>
      <c r="AC9" s="89">
        <f>+AB9+Z9</f>
        <v>1600000</v>
      </c>
      <c r="AD9" s="89">
        <f>(AC9*100)/30</f>
        <v>5333333.333333333</v>
      </c>
      <c r="AF9" s="1">
        <v>174333.33333333334</v>
      </c>
      <c r="AG9" s="71">
        <f>+AF9/AF8</f>
        <v>1.2170630848244102</v>
      </c>
      <c r="AH9" s="1">
        <f>+AF9-AF8</f>
        <v>31092.333333333343</v>
      </c>
      <c r="AK9" s="28" t="s">
        <v>280</v>
      </c>
      <c r="AL9" t="s">
        <v>372</v>
      </c>
      <c r="AM9" s="1">
        <v>160000</v>
      </c>
      <c r="AR9" s="28" t="s">
        <v>280</v>
      </c>
      <c r="AS9" t="s">
        <v>372</v>
      </c>
      <c r="AT9" s="1">
        <v>35091</v>
      </c>
    </row>
    <row r="10" spans="1:46" ht="15" thickBot="1" x14ac:dyDescent="0.25">
      <c r="B10" s="28" t="s">
        <v>281</v>
      </c>
      <c r="C10" t="s">
        <v>373</v>
      </c>
      <c r="D10" s="1">
        <v>80000</v>
      </c>
      <c r="E10" s="1">
        <v>35091</v>
      </c>
      <c r="AD10" s="1"/>
      <c r="AK10" s="28" t="s">
        <v>281</v>
      </c>
      <c r="AL10" t="s">
        <v>373</v>
      </c>
      <c r="AM10" s="1">
        <v>80000</v>
      </c>
      <c r="AR10" s="28" t="s">
        <v>281</v>
      </c>
      <c r="AS10" t="s">
        <v>373</v>
      </c>
      <c r="AT10" s="1">
        <v>35091</v>
      </c>
    </row>
    <row r="11" spans="1:46" ht="15" thickBot="1" x14ac:dyDescent="0.25">
      <c r="B11" s="28" t="s">
        <v>282</v>
      </c>
      <c r="C11" t="s">
        <v>374</v>
      </c>
      <c r="D11" s="1">
        <v>200000</v>
      </c>
      <c r="E11" s="1">
        <v>35091</v>
      </c>
      <c r="X11" s="86" t="s">
        <v>261</v>
      </c>
      <c r="Y11" s="86" t="s">
        <v>157</v>
      </c>
      <c r="Z11" s="86" t="s">
        <v>259</v>
      </c>
      <c r="AA11" s="87" t="s">
        <v>262</v>
      </c>
      <c r="AB11" s="88" t="s">
        <v>274</v>
      </c>
      <c r="AC11" s="88" t="s">
        <v>272</v>
      </c>
      <c r="AD11" s="88" t="s">
        <v>273</v>
      </c>
      <c r="AK11" s="28" t="s">
        <v>282</v>
      </c>
      <c r="AL11" t="s">
        <v>374</v>
      </c>
      <c r="AM11" s="1">
        <v>200000</v>
      </c>
      <c r="AR11" s="28" t="s">
        <v>282</v>
      </c>
      <c r="AS11" t="s">
        <v>374</v>
      </c>
      <c r="AT11" s="1">
        <v>35091</v>
      </c>
    </row>
    <row r="12" spans="1:46" ht="15" thickBot="1" x14ac:dyDescent="0.25">
      <c r="B12" s="28" t="s">
        <v>283</v>
      </c>
      <c r="C12" t="s">
        <v>375</v>
      </c>
      <c r="D12" s="1">
        <v>80000</v>
      </c>
      <c r="E12" s="1">
        <v>35091</v>
      </c>
      <c r="W12" s="88" t="s">
        <v>153</v>
      </c>
      <c r="X12" s="31" t="e">
        <f t="shared" ref="X12:X18" si="0">+AVERAGEIF($C$5:$C$1048576,$W12,$D$5:$D$1048576)</f>
        <v>#DIV/0!</v>
      </c>
      <c r="Y12" s="31" t="e">
        <f>+AVERAGEIF($C$5:$C$1048576,W12,$E$5:$E$1048576)</f>
        <v>#DIV/0!</v>
      </c>
      <c r="Z12" s="31" t="e">
        <f>+AVERAGEIF($C$5:$C$1048576,W12,$F$5:$F$1048576)</f>
        <v>#DIV/0!</v>
      </c>
      <c r="AA12" s="85" t="e">
        <f>+Y12-Z12</f>
        <v>#DIV/0!</v>
      </c>
      <c r="AB12" s="90" t="e">
        <f t="shared" ref="AB12:AB18" si="1">+X12/$X$20</f>
        <v>#DIV/0!</v>
      </c>
      <c r="AC12" s="11" t="e">
        <f>+AB12*$AD$8</f>
        <v>#DIV/0!</v>
      </c>
      <c r="AD12" s="71" t="e">
        <f t="shared" ref="AD12:AD18" si="2">+AC12/X12-1</f>
        <v>#DIV/0!</v>
      </c>
      <c r="AK12" s="28" t="s">
        <v>283</v>
      </c>
      <c r="AL12" t="s">
        <v>375</v>
      </c>
      <c r="AM12" s="1">
        <v>80000</v>
      </c>
      <c r="AR12" s="28" t="s">
        <v>283</v>
      </c>
      <c r="AS12" t="s">
        <v>375</v>
      </c>
      <c r="AT12" s="1">
        <v>35091</v>
      </c>
    </row>
    <row r="13" spans="1:46" ht="15" thickBot="1" x14ac:dyDescent="0.25">
      <c r="B13" s="28" t="s">
        <v>284</v>
      </c>
      <c r="C13" t="s">
        <v>376</v>
      </c>
      <c r="D13" s="1">
        <v>300000</v>
      </c>
      <c r="E13" s="1">
        <v>35091</v>
      </c>
      <c r="W13" s="88" t="s">
        <v>154</v>
      </c>
      <c r="X13" s="31" t="e">
        <f t="shared" si="0"/>
        <v>#DIV/0!</v>
      </c>
      <c r="Y13" s="31" t="e">
        <f t="shared" ref="Y13:Y18" si="3">+AVERAGEIF($C$5:$C$1048576,W13,$E$5:$E$1048576)</f>
        <v>#DIV/0!</v>
      </c>
      <c r="Z13" s="31" t="e">
        <f t="shared" ref="Z13:Z18" si="4">+AVERAGEIF($C$5:$C$1048576,W13,$F$5:$F$1048576)</f>
        <v>#DIV/0!</v>
      </c>
      <c r="AA13" s="85" t="e">
        <f t="shared" ref="AA13:AA18" si="5">+Y13-Z13</f>
        <v>#DIV/0!</v>
      </c>
      <c r="AB13" s="90" t="e">
        <f t="shared" si="1"/>
        <v>#DIV/0!</v>
      </c>
      <c r="AC13" s="11" t="e">
        <f t="shared" ref="AC13:AC18" si="6">+AB13*$AD$8</f>
        <v>#DIV/0!</v>
      </c>
      <c r="AD13" s="71" t="e">
        <f t="shared" si="2"/>
        <v>#DIV/0!</v>
      </c>
      <c r="AK13" s="28" t="s">
        <v>284</v>
      </c>
      <c r="AL13" t="s">
        <v>376</v>
      </c>
      <c r="AM13" s="1">
        <v>300000</v>
      </c>
      <c r="AR13" s="28" t="s">
        <v>284</v>
      </c>
      <c r="AS13" t="s">
        <v>376</v>
      </c>
      <c r="AT13" s="1">
        <v>35091</v>
      </c>
    </row>
    <row r="14" spans="1:46" ht="15" thickBot="1" x14ac:dyDescent="0.25">
      <c r="B14" s="28" t="s">
        <v>285</v>
      </c>
      <c r="C14" t="s">
        <v>370</v>
      </c>
      <c r="D14" s="1">
        <v>320000</v>
      </c>
      <c r="E14" s="1">
        <v>35091</v>
      </c>
      <c r="W14" s="88" t="s">
        <v>155</v>
      </c>
      <c r="X14" s="31" t="e">
        <f t="shared" si="0"/>
        <v>#DIV/0!</v>
      </c>
      <c r="Y14" s="31" t="e">
        <f t="shared" si="3"/>
        <v>#DIV/0!</v>
      </c>
      <c r="Z14" s="31" t="e">
        <f t="shared" si="4"/>
        <v>#DIV/0!</v>
      </c>
      <c r="AA14" s="85" t="e">
        <f t="shared" si="5"/>
        <v>#DIV/0!</v>
      </c>
      <c r="AB14" s="90" t="e">
        <f t="shared" si="1"/>
        <v>#DIV/0!</v>
      </c>
      <c r="AC14" s="11" t="e">
        <f t="shared" si="6"/>
        <v>#DIV/0!</v>
      </c>
      <c r="AD14" s="71" t="e">
        <f t="shared" si="2"/>
        <v>#DIV/0!</v>
      </c>
      <c r="AK14" s="28" t="s">
        <v>285</v>
      </c>
      <c r="AL14" t="s">
        <v>370</v>
      </c>
      <c r="AM14" s="1">
        <v>320000</v>
      </c>
      <c r="AR14" s="28" t="s">
        <v>285</v>
      </c>
      <c r="AS14" t="s">
        <v>370</v>
      </c>
      <c r="AT14" s="1">
        <v>35091</v>
      </c>
    </row>
    <row r="15" spans="1:46" ht="15" thickBot="1" x14ac:dyDescent="0.25">
      <c r="B15" s="28" t="s">
        <v>286</v>
      </c>
      <c r="C15" t="s">
        <v>371</v>
      </c>
      <c r="D15" s="1">
        <v>150000</v>
      </c>
      <c r="E15" s="1">
        <v>35091</v>
      </c>
      <c r="W15" s="88" t="s">
        <v>148</v>
      </c>
      <c r="X15" s="31" t="e">
        <f t="shared" si="0"/>
        <v>#DIV/0!</v>
      </c>
      <c r="Y15" s="31" t="e">
        <f t="shared" si="3"/>
        <v>#DIV/0!</v>
      </c>
      <c r="Z15" s="31" t="e">
        <f t="shared" si="4"/>
        <v>#DIV/0!</v>
      </c>
      <c r="AA15" s="85" t="e">
        <f t="shared" si="5"/>
        <v>#DIV/0!</v>
      </c>
      <c r="AB15" s="90" t="e">
        <f t="shared" si="1"/>
        <v>#DIV/0!</v>
      </c>
      <c r="AC15" s="11" t="e">
        <f t="shared" si="6"/>
        <v>#DIV/0!</v>
      </c>
      <c r="AD15" s="71" t="e">
        <f t="shared" si="2"/>
        <v>#DIV/0!</v>
      </c>
      <c r="AK15" s="28" t="s">
        <v>286</v>
      </c>
      <c r="AL15" t="s">
        <v>371</v>
      </c>
      <c r="AM15" s="1">
        <v>150000</v>
      </c>
      <c r="AR15" s="28" t="s">
        <v>286</v>
      </c>
      <c r="AS15" t="s">
        <v>371</v>
      </c>
      <c r="AT15" s="1">
        <v>35091</v>
      </c>
    </row>
    <row r="16" spans="1:46" ht="15" thickBot="1" x14ac:dyDescent="0.25">
      <c r="B16" s="28" t="s">
        <v>287</v>
      </c>
      <c r="C16" t="s">
        <v>372</v>
      </c>
      <c r="D16" s="1">
        <v>100000</v>
      </c>
      <c r="E16" s="1">
        <v>35091</v>
      </c>
      <c r="W16" s="88" t="s">
        <v>156</v>
      </c>
      <c r="X16" s="31" t="e">
        <f t="shared" si="0"/>
        <v>#DIV/0!</v>
      </c>
      <c r="Y16" s="31" t="e">
        <f t="shared" si="3"/>
        <v>#DIV/0!</v>
      </c>
      <c r="Z16" s="31" t="e">
        <f t="shared" si="4"/>
        <v>#DIV/0!</v>
      </c>
      <c r="AA16" s="85" t="e">
        <f t="shared" si="5"/>
        <v>#DIV/0!</v>
      </c>
      <c r="AB16" s="90" t="e">
        <f t="shared" si="1"/>
        <v>#DIV/0!</v>
      </c>
      <c r="AC16" s="11" t="e">
        <f t="shared" si="6"/>
        <v>#DIV/0!</v>
      </c>
      <c r="AD16" s="71" t="e">
        <f t="shared" si="2"/>
        <v>#DIV/0!</v>
      </c>
      <c r="AK16" s="28" t="s">
        <v>287</v>
      </c>
      <c r="AL16" t="s">
        <v>372</v>
      </c>
      <c r="AM16" s="1">
        <v>100000</v>
      </c>
      <c r="AR16" s="28" t="s">
        <v>287</v>
      </c>
      <c r="AS16" t="s">
        <v>372</v>
      </c>
      <c r="AT16" s="1">
        <v>35091</v>
      </c>
    </row>
    <row r="17" spans="2:46" ht="15" thickBot="1" x14ac:dyDescent="0.25">
      <c r="B17" s="28" t="s">
        <v>288</v>
      </c>
      <c r="C17" t="s">
        <v>373</v>
      </c>
      <c r="D17" s="1">
        <v>70000</v>
      </c>
      <c r="E17" s="1">
        <v>35091</v>
      </c>
      <c r="W17" s="88" t="s">
        <v>151</v>
      </c>
      <c r="X17" s="31" t="e">
        <f t="shared" si="0"/>
        <v>#DIV/0!</v>
      </c>
      <c r="Y17" s="31" t="e">
        <f t="shared" si="3"/>
        <v>#DIV/0!</v>
      </c>
      <c r="Z17" s="31" t="e">
        <f t="shared" si="4"/>
        <v>#DIV/0!</v>
      </c>
      <c r="AA17" s="85" t="e">
        <f t="shared" si="5"/>
        <v>#DIV/0!</v>
      </c>
      <c r="AB17" s="90" t="e">
        <f t="shared" si="1"/>
        <v>#DIV/0!</v>
      </c>
      <c r="AC17" s="11" t="e">
        <f t="shared" si="6"/>
        <v>#DIV/0!</v>
      </c>
      <c r="AD17" s="71" t="e">
        <f t="shared" si="2"/>
        <v>#DIV/0!</v>
      </c>
      <c r="AK17" s="28" t="s">
        <v>288</v>
      </c>
      <c r="AL17" t="s">
        <v>373</v>
      </c>
      <c r="AM17" s="1">
        <v>70000</v>
      </c>
      <c r="AR17" s="28" t="s">
        <v>288</v>
      </c>
      <c r="AS17" t="s">
        <v>373</v>
      </c>
      <c r="AT17" s="1">
        <v>35091</v>
      </c>
    </row>
    <row r="18" spans="2:46" x14ac:dyDescent="0.2">
      <c r="B18" s="28" t="s">
        <v>289</v>
      </c>
      <c r="C18" t="s">
        <v>374</v>
      </c>
      <c r="D18" s="1">
        <v>120000</v>
      </c>
      <c r="E18" s="1">
        <v>35091</v>
      </c>
      <c r="W18" s="88" t="s">
        <v>152</v>
      </c>
      <c r="X18" s="31" t="e">
        <f t="shared" si="0"/>
        <v>#DIV/0!</v>
      </c>
      <c r="Y18" s="31" t="e">
        <f t="shared" si="3"/>
        <v>#DIV/0!</v>
      </c>
      <c r="Z18" s="31" t="e">
        <f t="shared" si="4"/>
        <v>#DIV/0!</v>
      </c>
      <c r="AA18" s="85" t="e">
        <f t="shared" si="5"/>
        <v>#DIV/0!</v>
      </c>
      <c r="AB18" s="90" t="e">
        <f t="shared" si="1"/>
        <v>#DIV/0!</v>
      </c>
      <c r="AC18" s="11" t="e">
        <f t="shared" si="6"/>
        <v>#DIV/0!</v>
      </c>
      <c r="AD18" s="71" t="e">
        <f t="shared" si="2"/>
        <v>#DIV/0!</v>
      </c>
      <c r="AK18" s="28" t="s">
        <v>289</v>
      </c>
      <c r="AL18" t="s">
        <v>374</v>
      </c>
      <c r="AM18" s="1">
        <v>120000</v>
      </c>
      <c r="AR18" s="28" t="s">
        <v>289</v>
      </c>
      <c r="AS18" t="s">
        <v>374</v>
      </c>
      <c r="AT18" s="1">
        <v>35091</v>
      </c>
    </row>
    <row r="19" spans="2:46" x14ac:dyDescent="0.2">
      <c r="B19" s="28" t="s">
        <v>290</v>
      </c>
      <c r="C19" t="s">
        <v>375</v>
      </c>
      <c r="D19" s="1">
        <v>120000</v>
      </c>
      <c r="E19" s="1">
        <v>35091</v>
      </c>
      <c r="AK19" s="28" t="s">
        <v>290</v>
      </c>
      <c r="AL19" t="s">
        <v>375</v>
      </c>
      <c r="AM19" s="1">
        <v>120000</v>
      </c>
      <c r="AR19" s="28" t="s">
        <v>290</v>
      </c>
      <c r="AS19" t="s">
        <v>375</v>
      </c>
      <c r="AT19" s="1">
        <v>35091</v>
      </c>
    </row>
    <row r="20" spans="2:46" x14ac:dyDescent="0.2">
      <c r="B20" s="28" t="s">
        <v>291</v>
      </c>
      <c r="C20" t="s">
        <v>376</v>
      </c>
      <c r="D20" s="1">
        <v>320000</v>
      </c>
      <c r="E20" s="1">
        <v>35091</v>
      </c>
      <c r="X20" s="1" t="e">
        <f>+AVERAGE(X12:X18)</f>
        <v>#DIV/0!</v>
      </c>
      <c r="Y20" s="1" t="e">
        <f>+AVERAGE(Y12:Y18)</f>
        <v>#DIV/0!</v>
      </c>
      <c r="Z20" s="1" t="e">
        <f>+AVERAGE(Z12:Z18)</f>
        <v>#DIV/0!</v>
      </c>
      <c r="AC20" s="1" t="e">
        <f>+AVERAGE(AC12:AC18)</f>
        <v>#DIV/0!</v>
      </c>
      <c r="AD20" s="71" t="e">
        <f>+AC20/X20-1</f>
        <v>#DIV/0!</v>
      </c>
      <c r="AK20" s="28" t="s">
        <v>291</v>
      </c>
      <c r="AL20" t="s">
        <v>376</v>
      </c>
      <c r="AM20" s="1">
        <v>320000</v>
      </c>
      <c r="AR20" s="28" t="s">
        <v>291</v>
      </c>
      <c r="AS20" t="s">
        <v>376</v>
      </c>
      <c r="AT20" s="1">
        <v>35091</v>
      </c>
    </row>
    <row r="21" spans="2:46" x14ac:dyDescent="0.2">
      <c r="B21" s="28" t="s">
        <v>292</v>
      </c>
      <c r="C21" t="s">
        <v>370</v>
      </c>
      <c r="D21" s="1">
        <v>450000</v>
      </c>
      <c r="E21" s="1">
        <v>35091</v>
      </c>
      <c r="X21" s="1" t="e">
        <f>+AVERAGE(X12:X15)</f>
        <v>#DIV/0!</v>
      </c>
      <c r="Y21" s="1" t="e">
        <f>+AVERAGE(Y12:Y15)</f>
        <v>#DIV/0!</v>
      </c>
      <c r="Z21" s="1" t="e">
        <f>+AVERAGE(Z12:Z15)</f>
        <v>#DIV/0!</v>
      </c>
      <c r="AK21" s="28" t="s">
        <v>292</v>
      </c>
      <c r="AL21" t="s">
        <v>370</v>
      </c>
      <c r="AM21" s="1">
        <v>450000</v>
      </c>
      <c r="AR21" s="28" t="s">
        <v>292</v>
      </c>
      <c r="AS21" t="s">
        <v>370</v>
      </c>
      <c r="AT21" s="1">
        <v>35091</v>
      </c>
    </row>
    <row r="22" spans="2:46" x14ac:dyDescent="0.2">
      <c r="B22" s="28" t="s">
        <v>293</v>
      </c>
      <c r="C22" t="s">
        <v>371</v>
      </c>
      <c r="D22" s="1">
        <v>160000</v>
      </c>
      <c r="E22" s="1">
        <v>35091</v>
      </c>
      <c r="AK22" s="28" t="s">
        <v>293</v>
      </c>
      <c r="AL22" t="s">
        <v>371</v>
      </c>
      <c r="AM22" s="1">
        <v>160000</v>
      </c>
      <c r="AR22" s="28" t="s">
        <v>293</v>
      </c>
      <c r="AS22" t="s">
        <v>371</v>
      </c>
      <c r="AT22" s="1">
        <v>35091</v>
      </c>
    </row>
    <row r="23" spans="2:46" x14ac:dyDescent="0.2">
      <c r="B23" s="28" t="s">
        <v>294</v>
      </c>
      <c r="C23" t="s">
        <v>372</v>
      </c>
      <c r="D23" s="1">
        <v>160000</v>
      </c>
      <c r="E23" s="1">
        <v>35091</v>
      </c>
      <c r="AB23">
        <f>15000*30</f>
        <v>450000</v>
      </c>
      <c r="AK23" s="28" t="s">
        <v>294</v>
      </c>
      <c r="AL23" t="s">
        <v>372</v>
      </c>
      <c r="AM23" s="1">
        <v>160000</v>
      </c>
      <c r="AR23" s="28" t="s">
        <v>294</v>
      </c>
      <c r="AS23" t="s">
        <v>372</v>
      </c>
      <c r="AT23" s="1">
        <v>35091</v>
      </c>
    </row>
    <row r="24" spans="2:46" x14ac:dyDescent="0.2">
      <c r="B24" s="28" t="s">
        <v>296</v>
      </c>
      <c r="C24" t="s">
        <v>373</v>
      </c>
      <c r="D24" s="1">
        <v>360000</v>
      </c>
      <c r="E24" s="1">
        <v>35091</v>
      </c>
      <c r="AK24" s="28" t="s">
        <v>296</v>
      </c>
      <c r="AL24" t="s">
        <v>373</v>
      </c>
      <c r="AM24" s="1">
        <v>360000</v>
      </c>
      <c r="AR24" s="28" t="s">
        <v>296</v>
      </c>
      <c r="AS24" t="s">
        <v>373</v>
      </c>
      <c r="AT24" s="1">
        <v>35091</v>
      </c>
    </row>
    <row r="25" spans="2:46" x14ac:dyDescent="0.2">
      <c r="B25" s="28" t="s">
        <v>297</v>
      </c>
      <c r="C25" t="s">
        <v>374</v>
      </c>
      <c r="D25" s="1">
        <v>160000</v>
      </c>
      <c r="E25" s="1">
        <v>35091</v>
      </c>
      <c r="AK25" s="28" t="s">
        <v>297</v>
      </c>
      <c r="AL25" t="s">
        <v>374</v>
      </c>
      <c r="AM25" s="1">
        <v>160000</v>
      </c>
      <c r="AR25" s="28" t="s">
        <v>297</v>
      </c>
      <c r="AS25" t="s">
        <v>374</v>
      </c>
      <c r="AT25" s="1">
        <v>35091</v>
      </c>
    </row>
    <row r="26" spans="2:46" x14ac:dyDescent="0.2">
      <c r="B26" s="28" t="s">
        <v>298</v>
      </c>
      <c r="C26" t="s">
        <v>373</v>
      </c>
      <c r="D26" s="1">
        <v>60000</v>
      </c>
      <c r="E26" s="1">
        <v>55091</v>
      </c>
      <c r="AK26" s="28" t="s">
        <v>298</v>
      </c>
      <c r="AL26" t="s">
        <v>373</v>
      </c>
      <c r="AM26" s="1">
        <v>60000</v>
      </c>
      <c r="AR26" s="28" t="s">
        <v>298</v>
      </c>
      <c r="AS26" t="s">
        <v>373</v>
      </c>
      <c r="AT26" s="1">
        <v>55091</v>
      </c>
    </row>
    <row r="27" spans="2:46" x14ac:dyDescent="0.2">
      <c r="B27" s="28" t="s">
        <v>299</v>
      </c>
      <c r="C27" t="s">
        <v>374</v>
      </c>
      <c r="D27" s="1">
        <v>120000</v>
      </c>
      <c r="E27" s="1">
        <v>55091</v>
      </c>
      <c r="AK27" s="28" t="s">
        <v>299</v>
      </c>
      <c r="AL27" t="s">
        <v>374</v>
      </c>
      <c r="AM27" s="1">
        <v>120000</v>
      </c>
      <c r="AR27" s="28" t="s">
        <v>299</v>
      </c>
      <c r="AS27" t="s">
        <v>374</v>
      </c>
      <c r="AT27" s="1">
        <v>55091</v>
      </c>
    </row>
    <row r="28" spans="2:46" x14ac:dyDescent="0.2">
      <c r="B28" s="28" t="s">
        <v>300</v>
      </c>
      <c r="C28" t="s">
        <v>375</v>
      </c>
      <c r="D28" s="1">
        <v>200000</v>
      </c>
      <c r="E28" s="1">
        <v>55091</v>
      </c>
      <c r="AK28" s="28" t="s">
        <v>300</v>
      </c>
      <c r="AL28" t="s">
        <v>375</v>
      </c>
      <c r="AM28" s="1">
        <v>200000</v>
      </c>
      <c r="AR28" s="28" t="s">
        <v>300</v>
      </c>
      <c r="AS28" t="s">
        <v>375</v>
      </c>
      <c r="AT28" s="1">
        <v>55091</v>
      </c>
    </row>
    <row r="29" spans="2:46" x14ac:dyDescent="0.2">
      <c r="B29" s="28" t="s">
        <v>301</v>
      </c>
      <c r="C29" t="s">
        <v>376</v>
      </c>
      <c r="D29" s="1">
        <v>220000</v>
      </c>
      <c r="E29" s="1">
        <v>55091</v>
      </c>
      <c r="AK29" s="28" t="s">
        <v>301</v>
      </c>
      <c r="AL29" t="s">
        <v>376</v>
      </c>
      <c r="AM29" s="1">
        <v>220000</v>
      </c>
      <c r="AR29" s="28" t="s">
        <v>301</v>
      </c>
      <c r="AS29" t="s">
        <v>376</v>
      </c>
      <c r="AT29" s="1">
        <v>55091</v>
      </c>
    </row>
    <row r="30" spans="2:46" x14ac:dyDescent="0.2">
      <c r="B30" s="28" t="s">
        <v>302</v>
      </c>
      <c r="C30" t="s">
        <v>370</v>
      </c>
      <c r="D30" s="1">
        <v>380000</v>
      </c>
      <c r="E30" s="1">
        <v>55091</v>
      </c>
      <c r="AK30" s="28" t="s">
        <v>302</v>
      </c>
      <c r="AL30" t="s">
        <v>370</v>
      </c>
      <c r="AM30" s="1">
        <v>380000</v>
      </c>
      <c r="AR30" s="28" t="s">
        <v>302</v>
      </c>
      <c r="AS30" t="s">
        <v>370</v>
      </c>
      <c r="AT30" s="1">
        <v>55091</v>
      </c>
    </row>
    <row r="31" spans="2:46" x14ac:dyDescent="0.2">
      <c r="B31" s="28" t="s">
        <v>303</v>
      </c>
      <c r="C31" t="s">
        <v>371</v>
      </c>
      <c r="D31" s="1">
        <v>80000</v>
      </c>
      <c r="E31" s="1">
        <v>25091</v>
      </c>
      <c r="AK31" s="28" t="s">
        <v>303</v>
      </c>
      <c r="AL31" t="s">
        <v>371</v>
      </c>
      <c r="AM31" s="1">
        <v>80000</v>
      </c>
      <c r="AR31" s="28" t="s">
        <v>303</v>
      </c>
      <c r="AS31" t="s">
        <v>371</v>
      </c>
      <c r="AT31" s="1">
        <v>25091</v>
      </c>
    </row>
    <row r="32" spans="2:46" x14ac:dyDescent="0.2">
      <c r="B32" s="28" t="s">
        <v>304</v>
      </c>
      <c r="C32" t="s">
        <v>372</v>
      </c>
      <c r="D32" s="1">
        <v>140000</v>
      </c>
      <c r="E32" s="1">
        <v>25091</v>
      </c>
      <c r="AK32" s="28" t="s">
        <v>304</v>
      </c>
      <c r="AL32" t="s">
        <v>372</v>
      </c>
      <c r="AM32" s="1">
        <v>140000</v>
      </c>
      <c r="AR32" s="28" t="s">
        <v>304</v>
      </c>
      <c r="AS32" t="s">
        <v>372</v>
      </c>
      <c r="AT32" s="1">
        <v>25091</v>
      </c>
    </row>
    <row r="33" spans="2:46" x14ac:dyDescent="0.2">
      <c r="B33" s="28" t="s">
        <v>305</v>
      </c>
      <c r="C33" t="s">
        <v>373</v>
      </c>
      <c r="D33" s="1">
        <v>50000</v>
      </c>
      <c r="E33" s="1">
        <v>25091</v>
      </c>
      <c r="AK33" s="28" t="s">
        <v>305</v>
      </c>
      <c r="AL33" t="s">
        <v>373</v>
      </c>
      <c r="AM33" s="1">
        <v>50000</v>
      </c>
      <c r="AR33" s="28" t="s">
        <v>305</v>
      </c>
      <c r="AS33" t="s">
        <v>373</v>
      </c>
      <c r="AT33" s="1">
        <v>25091</v>
      </c>
    </row>
    <row r="34" spans="2:46" x14ac:dyDescent="0.2">
      <c r="B34" s="28" t="s">
        <v>306</v>
      </c>
      <c r="C34" t="s">
        <v>374</v>
      </c>
      <c r="D34" s="1">
        <v>40000</v>
      </c>
      <c r="E34" s="1">
        <v>25091</v>
      </c>
      <c r="AK34" s="28" t="s">
        <v>306</v>
      </c>
      <c r="AL34" t="s">
        <v>374</v>
      </c>
      <c r="AM34" s="1">
        <v>40000</v>
      </c>
      <c r="AR34" s="28" t="s">
        <v>306</v>
      </c>
      <c r="AS34" t="s">
        <v>374</v>
      </c>
      <c r="AT34" s="1">
        <v>25091</v>
      </c>
    </row>
  </sheetData>
  <mergeCells count="1">
    <mergeCell ref="X7:Z7"/>
  </mergeCells>
  <conditionalFormatting sqref="X12:X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5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2">
    <tabColor theme="6" tint="0.79998168889431442"/>
  </sheetPr>
  <dimension ref="A1:AI36"/>
  <sheetViews>
    <sheetView showGridLines="0" zoomScale="85" zoomScaleNormal="85" workbookViewId="0">
      <pane xSplit="3" ySplit="5" topLeftCell="D6" activePane="bottomRight" state="frozen"/>
      <selection pane="topRight" activeCell="C1" sqref="C1"/>
      <selection pane="bottomLeft" activeCell="A4" sqref="A4"/>
      <selection pane="bottomRight" activeCell="O2" sqref="O2"/>
    </sheetView>
  </sheetViews>
  <sheetFormatPr baseColWidth="10" defaultColWidth="12.5" defaultRowHeight="14.25" outlineLevelCol="1" x14ac:dyDescent="0.2"/>
  <cols>
    <col min="1" max="1" width="18" customWidth="1"/>
    <col min="2" max="2" width="19.375" bestFit="1" customWidth="1"/>
    <col min="3" max="3" width="19.625" customWidth="1"/>
    <col min="4" max="5" width="13.5" hidden="1" customWidth="1" outlineLevel="1"/>
    <col min="6" max="11" width="12.75" hidden="1" customWidth="1" outlineLevel="1"/>
    <col min="12" max="12" width="12.75" customWidth="1" collapsed="1"/>
    <col min="13" max="18" width="12.75" customWidth="1"/>
    <col min="19" max="19" width="2.875" customWidth="1"/>
    <col min="20" max="20" width="15" customWidth="1"/>
    <col min="21" max="21" width="14.375" customWidth="1"/>
    <col min="22" max="24" width="12.5" customWidth="1"/>
    <col min="25" max="29" width="12.875" customWidth="1"/>
    <col min="30" max="30" width="13.375" customWidth="1"/>
    <col min="32" max="32" width="23" bestFit="1" customWidth="1"/>
    <col min="34" max="34" width="13.75" bestFit="1" customWidth="1"/>
  </cols>
  <sheetData>
    <row r="1" spans="1:35" x14ac:dyDescent="0.2">
      <c r="A1" s="60"/>
      <c r="B1" s="60"/>
      <c r="C1" s="60"/>
      <c r="X1" t="s">
        <v>196</v>
      </c>
    </row>
    <row r="2" spans="1:35" x14ac:dyDescent="0.2">
      <c r="A2" s="60"/>
      <c r="B2" s="60"/>
      <c r="C2" s="60"/>
      <c r="T2" s="4"/>
      <c r="U2" s="4">
        <f>+T2*100</f>
        <v>0</v>
      </c>
      <c r="X2" t="s">
        <v>197</v>
      </c>
    </row>
    <row r="3" spans="1:35" x14ac:dyDescent="0.2">
      <c r="A3" s="60"/>
      <c r="B3" s="60"/>
      <c r="C3" s="60"/>
      <c r="G3">
        <v>70000</v>
      </c>
    </row>
    <row r="4" spans="1:35" ht="15.75" x14ac:dyDescent="0.2">
      <c r="A4" s="60"/>
      <c r="B4" s="60"/>
      <c r="C4" s="60"/>
      <c r="D4" s="12"/>
      <c r="E4" s="12"/>
      <c r="F4" s="12"/>
      <c r="G4" s="12"/>
      <c r="H4" s="12"/>
      <c r="I4" s="12"/>
      <c r="J4" s="12"/>
      <c r="K4" s="12"/>
      <c r="L4" s="12" t="s">
        <v>395</v>
      </c>
      <c r="M4" s="12"/>
      <c r="N4" s="12"/>
      <c r="O4" s="12"/>
      <c r="P4" s="12"/>
      <c r="Q4" s="12"/>
      <c r="R4" s="12"/>
      <c r="S4" s="12"/>
      <c r="U4" s="278" t="s">
        <v>194</v>
      </c>
      <c r="V4" s="279"/>
      <c r="W4" s="279"/>
      <c r="X4" s="280"/>
      <c r="Y4" s="278" t="s">
        <v>215</v>
      </c>
      <c r="Z4" s="279"/>
      <c r="AA4" s="279"/>
      <c r="AB4" s="279"/>
      <c r="AC4" s="279"/>
      <c r="AD4" s="280"/>
    </row>
    <row r="5" spans="1:35" ht="28.5" x14ac:dyDescent="0.35">
      <c r="A5" s="38" t="s">
        <v>185</v>
      </c>
      <c r="B5" s="37" t="s">
        <v>113</v>
      </c>
      <c r="C5" s="37" t="s">
        <v>217</v>
      </c>
      <c r="D5" s="50" t="s">
        <v>146</v>
      </c>
      <c r="E5" s="51" t="s">
        <v>186</v>
      </c>
      <c r="F5" s="50" t="s">
        <v>147</v>
      </c>
      <c r="G5" s="51" t="s">
        <v>187</v>
      </c>
      <c r="H5" s="166" t="s">
        <v>198</v>
      </c>
      <c r="I5" s="168" t="s">
        <v>349</v>
      </c>
      <c r="J5" s="50" t="s">
        <v>363</v>
      </c>
      <c r="K5" s="51" t="s">
        <v>350</v>
      </c>
      <c r="L5" s="37" t="s">
        <v>389</v>
      </c>
      <c r="M5" s="239" t="s">
        <v>397</v>
      </c>
      <c r="N5" s="236" t="s">
        <v>394</v>
      </c>
      <c r="O5" s="236" t="s">
        <v>396</v>
      </c>
      <c r="P5" s="235" t="s">
        <v>368</v>
      </c>
      <c r="Q5" s="249" t="s">
        <v>402</v>
      </c>
      <c r="R5" s="249" t="s">
        <v>405</v>
      </c>
      <c r="S5" s="149"/>
      <c r="U5" s="39" t="s">
        <v>193</v>
      </c>
      <c r="V5" s="39" t="s">
        <v>115</v>
      </c>
      <c r="W5" s="39" t="s">
        <v>116</v>
      </c>
      <c r="X5" s="39" t="s">
        <v>117</v>
      </c>
      <c r="Z5" s="57" t="s">
        <v>188</v>
      </c>
      <c r="AA5" s="57" t="s">
        <v>189</v>
      </c>
      <c r="AB5" s="57" t="s">
        <v>190</v>
      </c>
      <c r="AC5" s="57" t="s">
        <v>191</v>
      </c>
      <c r="AD5" s="13" t="s">
        <v>192</v>
      </c>
      <c r="AE5" s="13" t="s">
        <v>114</v>
      </c>
    </row>
    <row r="6" spans="1:35" ht="31.5" customHeight="1" x14ac:dyDescent="0.35">
      <c r="A6" t="s">
        <v>206</v>
      </c>
      <c r="B6" s="47" t="s">
        <v>118</v>
      </c>
      <c r="C6" s="163" t="s">
        <v>400</v>
      </c>
      <c r="D6" s="40">
        <v>1088000</v>
      </c>
      <c r="E6" s="170">
        <v>0</v>
      </c>
      <c r="F6" s="41">
        <v>1088000</v>
      </c>
      <c r="G6" s="170">
        <v>0</v>
      </c>
      <c r="H6" s="149">
        <f>+Pasivos[[#This Row],[Abril]]</f>
        <v>1088000</v>
      </c>
      <c r="I6" s="172">
        <v>0</v>
      </c>
      <c r="J6" s="150">
        <v>1088000</v>
      </c>
      <c r="K6" s="234">
        <v>0</v>
      </c>
      <c r="L6" s="150">
        <v>1088000</v>
      </c>
      <c r="M6" s="238">
        <v>0</v>
      </c>
      <c r="N6" s="238">
        <v>0</v>
      </c>
      <c r="O6" s="238">
        <v>0</v>
      </c>
      <c r="P6" s="174" t="s">
        <v>364</v>
      </c>
      <c r="Q6" s="250" t="s">
        <v>404</v>
      </c>
      <c r="R6" s="248">
        <v>0</v>
      </c>
      <c r="S6" s="149"/>
      <c r="U6" s="53" t="s">
        <v>147</v>
      </c>
      <c r="V6" s="53"/>
      <c r="W6" s="54"/>
      <c r="X6" s="55">
        <v>0.05</v>
      </c>
      <c r="Z6" s="56"/>
      <c r="AA6" s="56"/>
      <c r="AB6" s="56"/>
      <c r="AC6" s="56"/>
      <c r="AD6" s="56"/>
      <c r="AE6" s="56">
        <f>+SUM(Z6:AC6)</f>
        <v>0</v>
      </c>
      <c r="AI6" s="4"/>
    </row>
    <row r="7" spans="1:35" ht="17.25" x14ac:dyDescent="0.35">
      <c r="A7" t="s">
        <v>218</v>
      </c>
      <c r="B7" s="48" t="s">
        <v>118</v>
      </c>
      <c r="C7" s="162" t="s">
        <v>399</v>
      </c>
      <c r="D7" s="40">
        <v>300000</v>
      </c>
      <c r="E7" s="170">
        <v>0</v>
      </c>
      <c r="F7" s="41">
        <v>300000</v>
      </c>
      <c r="G7" s="170">
        <v>60000</v>
      </c>
      <c r="H7" s="167">
        <v>240000</v>
      </c>
      <c r="I7" s="172">
        <v>0</v>
      </c>
      <c r="J7" s="150">
        <v>240000</v>
      </c>
      <c r="K7" s="173">
        <v>0</v>
      </c>
      <c r="L7" s="150">
        <v>240000</v>
      </c>
      <c r="M7" s="238">
        <v>0</v>
      </c>
      <c r="N7" s="238">
        <v>0</v>
      </c>
      <c r="O7" s="238">
        <v>0</v>
      </c>
      <c r="P7" s="174" t="s">
        <v>364</v>
      </c>
      <c r="Q7" s="251" t="s">
        <v>403</v>
      </c>
      <c r="R7" s="252">
        <f>+L7</f>
        <v>240000</v>
      </c>
      <c r="S7" s="149"/>
      <c r="U7" s="52" t="s">
        <v>147</v>
      </c>
      <c r="V7" s="52"/>
      <c r="W7" s="58"/>
      <c r="X7" s="59">
        <v>0</v>
      </c>
      <c r="Z7" s="56"/>
      <c r="AA7" s="56"/>
      <c r="AB7" s="56"/>
      <c r="AC7" s="56"/>
      <c r="AD7" s="56"/>
      <c r="AE7" s="56">
        <f t="shared" ref="AE7:AE20" si="0">+SUM(Z7:AC7)</f>
        <v>0</v>
      </c>
      <c r="AI7" s="4"/>
    </row>
    <row r="8" spans="1:35" ht="17.25" x14ac:dyDescent="0.35">
      <c r="A8" t="s">
        <v>178</v>
      </c>
      <c r="B8" s="48" t="s">
        <v>118</v>
      </c>
      <c r="C8" s="162" t="s">
        <v>399</v>
      </c>
      <c r="D8" s="40">
        <v>350000</v>
      </c>
      <c r="E8" s="170">
        <v>0</v>
      </c>
      <c r="F8" s="41">
        <v>350000</v>
      </c>
      <c r="G8" s="170">
        <v>0</v>
      </c>
      <c r="H8" s="167">
        <v>350000</v>
      </c>
      <c r="I8" s="172">
        <v>0</v>
      </c>
      <c r="J8" s="150">
        <v>350000</v>
      </c>
      <c r="K8" s="173">
        <v>0</v>
      </c>
      <c r="L8" s="150">
        <v>350000</v>
      </c>
      <c r="M8" s="238">
        <v>0</v>
      </c>
      <c r="N8" s="238">
        <v>0</v>
      </c>
      <c r="O8" s="238">
        <v>0</v>
      </c>
      <c r="P8" s="174" t="s">
        <v>364</v>
      </c>
      <c r="Q8" s="250" t="s">
        <v>404</v>
      </c>
      <c r="R8" s="248">
        <v>0</v>
      </c>
      <c r="S8" s="149"/>
      <c r="T8" s="14"/>
      <c r="U8" s="53" t="s">
        <v>147</v>
      </c>
      <c r="V8" s="53"/>
      <c r="W8" s="54"/>
      <c r="X8" s="55">
        <v>0.05</v>
      </c>
      <c r="Z8" s="56"/>
      <c r="AA8" s="56"/>
      <c r="AB8" s="56"/>
      <c r="AC8" s="56"/>
      <c r="AD8" s="56"/>
      <c r="AE8" s="56">
        <f t="shared" si="0"/>
        <v>0</v>
      </c>
      <c r="AI8" s="4"/>
    </row>
    <row r="9" spans="1:35" ht="17.25" x14ac:dyDescent="0.35">
      <c r="A9" t="s">
        <v>179</v>
      </c>
      <c r="B9" s="49" t="s">
        <v>112</v>
      </c>
      <c r="C9" s="162" t="s">
        <v>399</v>
      </c>
      <c r="D9" s="40">
        <v>1350000</v>
      </c>
      <c r="E9" s="170">
        <v>0</v>
      </c>
      <c r="F9" s="41">
        <v>1350000</v>
      </c>
      <c r="G9" s="170">
        <v>0</v>
      </c>
      <c r="H9" s="167">
        <v>1350000</v>
      </c>
      <c r="I9" s="172">
        <v>0</v>
      </c>
      <c r="J9" s="150">
        <v>1350000</v>
      </c>
      <c r="K9" s="173">
        <v>0</v>
      </c>
      <c r="L9" s="150">
        <v>1350000</v>
      </c>
      <c r="M9" s="238">
        <v>0</v>
      </c>
      <c r="N9" s="238">
        <v>0</v>
      </c>
      <c r="O9" s="238">
        <v>0</v>
      </c>
      <c r="P9" s="174" t="s">
        <v>364</v>
      </c>
      <c r="Q9" s="251" t="s">
        <v>403</v>
      </c>
      <c r="R9" s="248">
        <f>+L9/2</f>
        <v>675000</v>
      </c>
      <c r="S9" s="149"/>
      <c r="U9" s="52" t="s">
        <v>147</v>
      </c>
      <c r="V9" s="52"/>
      <c r="W9" s="58"/>
      <c r="X9" s="59">
        <v>0</v>
      </c>
      <c r="Z9" s="56"/>
      <c r="AA9" s="56"/>
      <c r="AB9" s="56"/>
      <c r="AC9" s="56"/>
      <c r="AD9" s="56"/>
      <c r="AE9" s="56">
        <f t="shared" si="0"/>
        <v>0</v>
      </c>
      <c r="AI9" s="4"/>
    </row>
    <row r="10" spans="1:35" ht="17.25" x14ac:dyDescent="0.35">
      <c r="A10" t="s">
        <v>180</v>
      </c>
      <c r="B10" s="48" t="s">
        <v>111</v>
      </c>
      <c r="C10" s="162" t="s">
        <v>399</v>
      </c>
      <c r="D10" s="40">
        <f>1399599+200000</f>
        <v>1599599</v>
      </c>
      <c r="E10" s="170">
        <v>0</v>
      </c>
      <c r="F10" s="41">
        <v>1599599</v>
      </c>
      <c r="G10" s="170">
        <v>0</v>
      </c>
      <c r="H10" s="167">
        <v>1599599</v>
      </c>
      <c r="I10" s="172">
        <v>0</v>
      </c>
      <c r="J10" s="150">
        <v>1599599</v>
      </c>
      <c r="K10" s="173">
        <v>0</v>
      </c>
      <c r="L10" s="150">
        <v>1599599</v>
      </c>
      <c r="M10" s="238">
        <v>0</v>
      </c>
      <c r="N10" s="238">
        <v>0</v>
      </c>
      <c r="O10" s="238">
        <v>0</v>
      </c>
      <c r="P10" s="174" t="s">
        <v>364</v>
      </c>
      <c r="Q10" s="251" t="s">
        <v>403</v>
      </c>
      <c r="R10" s="248">
        <f>+L10/2</f>
        <v>799799.5</v>
      </c>
      <c r="S10" s="149"/>
      <c r="U10" s="53" t="s">
        <v>147</v>
      </c>
      <c r="V10" s="53"/>
      <c r="W10" s="54"/>
      <c r="X10" s="55"/>
      <c r="Z10" s="56">
        <f>+Pasivos[[#This Row],[Valor pagado
Marzo]]</f>
        <v>0</v>
      </c>
      <c r="AA10" s="56"/>
      <c r="AB10" s="56"/>
      <c r="AC10" s="56"/>
      <c r="AD10" s="56"/>
      <c r="AE10" s="56"/>
      <c r="AI10" s="4"/>
    </row>
    <row r="11" spans="1:35" ht="17.25" x14ac:dyDescent="0.35">
      <c r="A11" t="s">
        <v>182</v>
      </c>
      <c r="B11" s="48" t="s">
        <v>181</v>
      </c>
      <c r="C11" s="162" t="s">
        <v>399</v>
      </c>
      <c r="D11" s="40">
        <v>800000</v>
      </c>
      <c r="E11" s="170">
        <v>0</v>
      </c>
      <c r="F11" s="41">
        <v>0</v>
      </c>
      <c r="G11" s="170">
        <v>0</v>
      </c>
      <c r="H11" s="167">
        <v>0</v>
      </c>
      <c r="I11" s="172">
        <v>0</v>
      </c>
      <c r="J11" s="150">
        <v>0</v>
      </c>
      <c r="K11" s="173">
        <f>+Pasivos[[#This Row],[Junio]]</f>
        <v>0</v>
      </c>
      <c r="L11" s="150">
        <v>0</v>
      </c>
      <c r="M11" s="238">
        <v>0</v>
      </c>
      <c r="N11" s="238">
        <v>0</v>
      </c>
      <c r="O11" s="238">
        <v>0</v>
      </c>
      <c r="P11" s="176" t="s">
        <v>366</v>
      </c>
      <c r="Q11" s="175" t="s">
        <v>366</v>
      </c>
      <c r="R11" s="248">
        <f>+Pasivos[[#This Row],[Julio]]</f>
        <v>0</v>
      </c>
      <c r="S11" s="149"/>
      <c r="U11" s="52" t="s">
        <v>147</v>
      </c>
      <c r="V11" s="52"/>
      <c r="W11" s="58"/>
      <c r="X11" s="59"/>
      <c r="Z11" s="56"/>
      <c r="AA11" s="56"/>
      <c r="AB11" s="56"/>
      <c r="AC11" s="56"/>
      <c r="AD11" s="56"/>
      <c r="AE11" s="56"/>
      <c r="AI11" s="4"/>
    </row>
    <row r="12" spans="1:35" ht="17.25" x14ac:dyDescent="0.35">
      <c r="A12" t="s">
        <v>219</v>
      </c>
      <c r="B12" s="49" t="s">
        <v>112</v>
      </c>
      <c r="C12" s="163" t="s">
        <v>400</v>
      </c>
      <c r="D12" s="40">
        <v>480000</v>
      </c>
      <c r="E12" s="170">
        <f>+Pasivos[[#This Row],[Marzo]]-Pasivos[[#This Row],[Abril]]</f>
        <v>100000</v>
      </c>
      <c r="F12" s="41">
        <v>380000</v>
      </c>
      <c r="G12" s="170">
        <v>0</v>
      </c>
      <c r="H12" s="167">
        <v>380000</v>
      </c>
      <c r="I12" s="172">
        <v>0</v>
      </c>
      <c r="J12" s="150">
        <v>380000</v>
      </c>
      <c r="K12" s="173">
        <v>0</v>
      </c>
      <c r="L12" s="150">
        <v>380000</v>
      </c>
      <c r="M12" s="238">
        <v>0</v>
      </c>
      <c r="N12" s="238">
        <v>0</v>
      </c>
      <c r="O12" s="238">
        <v>0</v>
      </c>
      <c r="P12" s="174" t="s">
        <v>364</v>
      </c>
      <c r="Q12" s="251" t="s">
        <v>403</v>
      </c>
      <c r="R12" s="252">
        <f>+L12</f>
        <v>380000</v>
      </c>
      <c r="S12" s="149"/>
      <c r="U12" s="53" t="s">
        <v>147</v>
      </c>
      <c r="V12" s="53"/>
      <c r="W12" s="54"/>
      <c r="X12" s="55">
        <v>0</v>
      </c>
      <c r="Z12" s="56"/>
      <c r="AA12" s="56"/>
      <c r="AB12" s="56"/>
      <c r="AC12" s="56"/>
      <c r="AD12" s="56"/>
      <c r="AE12" s="56">
        <f t="shared" si="0"/>
        <v>0</v>
      </c>
      <c r="AI12" s="4"/>
    </row>
    <row r="13" spans="1:35" ht="17.25" x14ac:dyDescent="0.35">
      <c r="A13" t="s">
        <v>222</v>
      </c>
      <c r="B13" s="49" t="s">
        <v>223</v>
      </c>
      <c r="C13" s="163" t="s">
        <v>400</v>
      </c>
      <c r="D13" s="40">
        <v>750000</v>
      </c>
      <c r="E13" s="170">
        <v>0</v>
      </c>
      <c r="F13" s="41">
        <v>750000</v>
      </c>
      <c r="G13" s="170">
        <v>0</v>
      </c>
      <c r="H13" s="167">
        <v>750000</v>
      </c>
      <c r="I13" s="172">
        <v>0</v>
      </c>
      <c r="J13" s="150">
        <v>750000</v>
      </c>
      <c r="K13" s="173">
        <v>0</v>
      </c>
      <c r="L13" s="151">
        <v>750000</v>
      </c>
      <c r="M13" s="238">
        <v>150000</v>
      </c>
      <c r="N13" s="238"/>
      <c r="O13" s="238">
        <v>150000</v>
      </c>
      <c r="P13" s="175" t="s">
        <v>365</v>
      </c>
      <c r="Q13" s="251" t="s">
        <v>403</v>
      </c>
      <c r="R13" s="252">
        <f>+L13</f>
        <v>750000</v>
      </c>
      <c r="S13" s="149"/>
      <c r="U13" s="52" t="s">
        <v>147</v>
      </c>
      <c r="V13" s="52"/>
      <c r="W13" s="58"/>
      <c r="X13" s="59"/>
      <c r="Z13" s="56"/>
      <c r="AA13" s="56"/>
      <c r="AB13" s="56"/>
      <c r="AC13" s="56"/>
      <c r="AD13" s="56"/>
      <c r="AE13" s="56">
        <f t="shared" si="0"/>
        <v>0</v>
      </c>
      <c r="AI13" s="4"/>
    </row>
    <row r="14" spans="1:35" ht="17.25" x14ac:dyDescent="0.35">
      <c r="A14" t="s">
        <v>222</v>
      </c>
      <c r="B14" s="42" t="s">
        <v>203</v>
      </c>
      <c r="C14" s="163" t="s">
        <v>400</v>
      </c>
      <c r="D14" s="40">
        <v>400000</v>
      </c>
      <c r="E14" s="170">
        <v>0</v>
      </c>
      <c r="F14" s="41">
        <v>400000</v>
      </c>
      <c r="G14" s="170">
        <v>0</v>
      </c>
      <c r="H14" s="167">
        <v>400000</v>
      </c>
      <c r="I14" s="172">
        <v>0</v>
      </c>
      <c r="J14" s="150">
        <v>400000</v>
      </c>
      <c r="K14" s="173">
        <v>0</v>
      </c>
      <c r="L14" s="150">
        <v>400000</v>
      </c>
      <c r="M14" s="238">
        <v>0</v>
      </c>
      <c r="N14" s="238">
        <v>0</v>
      </c>
      <c r="O14" s="238">
        <v>0</v>
      </c>
      <c r="P14" s="174" t="s">
        <v>364</v>
      </c>
      <c r="Q14" s="250" t="s">
        <v>404</v>
      </c>
      <c r="R14" s="248">
        <v>0</v>
      </c>
      <c r="S14" s="149"/>
      <c r="U14" s="52" t="s">
        <v>147</v>
      </c>
      <c r="V14" s="52"/>
      <c r="W14" s="58"/>
      <c r="X14" s="59"/>
      <c r="Z14" s="56"/>
      <c r="AA14" s="56"/>
      <c r="AB14" s="56"/>
      <c r="AC14" s="56"/>
      <c r="AD14" s="56"/>
      <c r="AE14" s="56"/>
      <c r="AI14" s="4"/>
    </row>
    <row r="15" spans="1:35" ht="17.25" x14ac:dyDescent="0.35">
      <c r="A15" t="s">
        <v>362</v>
      </c>
      <c r="B15" s="42" t="s">
        <v>354</v>
      </c>
      <c r="C15" s="163" t="s">
        <v>400</v>
      </c>
      <c r="D15" s="41">
        <v>370000</v>
      </c>
      <c r="E15" s="170">
        <v>0</v>
      </c>
      <c r="F15" s="41">
        <v>370000</v>
      </c>
      <c r="G15" s="170">
        <v>0</v>
      </c>
      <c r="H15" s="167">
        <v>370000</v>
      </c>
      <c r="I15" s="172">
        <v>0</v>
      </c>
      <c r="J15" s="150">
        <v>370000</v>
      </c>
      <c r="K15" s="173">
        <v>0</v>
      </c>
      <c r="L15" s="150">
        <v>370000</v>
      </c>
      <c r="M15" s="238">
        <v>0</v>
      </c>
      <c r="N15" s="238">
        <v>0</v>
      </c>
      <c r="O15" s="238">
        <v>0</v>
      </c>
      <c r="P15" s="174" t="s">
        <v>364</v>
      </c>
      <c r="Q15" s="250" t="s">
        <v>404</v>
      </c>
      <c r="R15" s="248">
        <v>0</v>
      </c>
      <c r="S15" s="149"/>
      <c r="U15" s="53" t="s">
        <v>147</v>
      </c>
      <c r="V15" s="53"/>
      <c r="W15" s="54"/>
      <c r="X15" s="55"/>
      <c r="Z15" s="56"/>
      <c r="AA15" s="56"/>
      <c r="AB15" s="56"/>
      <c r="AC15" s="56"/>
      <c r="AD15" s="56"/>
      <c r="AE15" s="56"/>
      <c r="AI15" s="4"/>
    </row>
    <row r="16" spans="1:35" ht="17.25" x14ac:dyDescent="0.35">
      <c r="A16" s="62" t="s">
        <v>205</v>
      </c>
      <c r="B16" s="42" t="s">
        <v>200</v>
      </c>
      <c r="C16" s="163" t="s">
        <v>400</v>
      </c>
      <c r="D16" s="41">
        <v>0</v>
      </c>
      <c r="E16" s="170">
        <v>0</v>
      </c>
      <c r="F16" s="41">
        <v>0</v>
      </c>
      <c r="G16" s="170">
        <v>0</v>
      </c>
      <c r="H16" s="167">
        <v>240000</v>
      </c>
      <c r="I16" s="172">
        <v>0</v>
      </c>
      <c r="J16" s="150">
        <v>0</v>
      </c>
      <c r="K16" s="173">
        <v>0</v>
      </c>
      <c r="L16" s="150">
        <v>750000</v>
      </c>
      <c r="M16" s="238">
        <v>750000</v>
      </c>
      <c r="N16" s="238">
        <v>0</v>
      </c>
      <c r="O16" s="238">
        <f>+Pasivos[[#This Row],[Pagos Julio x programar]]</f>
        <v>750000</v>
      </c>
      <c r="P16" s="175" t="s">
        <v>365</v>
      </c>
      <c r="Q16" s="251" t="s">
        <v>403</v>
      </c>
      <c r="R16" s="252">
        <f>+L16</f>
        <v>750000</v>
      </c>
      <c r="S16" s="149"/>
      <c r="U16" s="52" t="s">
        <v>147</v>
      </c>
      <c r="V16" s="52"/>
      <c r="W16" s="58"/>
      <c r="X16" s="59"/>
      <c r="Z16" s="56"/>
      <c r="AA16" s="56"/>
      <c r="AB16" s="56"/>
      <c r="AC16" s="56"/>
      <c r="AD16" s="56"/>
      <c r="AE16" s="56">
        <f t="shared" si="0"/>
        <v>0</v>
      </c>
      <c r="AI16" s="4"/>
    </row>
    <row r="17" spans="1:35" ht="17.25" x14ac:dyDescent="0.35">
      <c r="A17" s="62" t="str">
        <f>+Pasivos[[#This Row],[Proveedor]]</f>
        <v>Vitrina, ollas</v>
      </c>
      <c r="B17" s="42" t="s">
        <v>391</v>
      </c>
      <c r="C17" s="163" t="s">
        <v>400</v>
      </c>
      <c r="D17" s="167">
        <v>180000</v>
      </c>
      <c r="E17" s="170">
        <v>0</v>
      </c>
      <c r="F17" s="167">
        <v>180000</v>
      </c>
      <c r="G17" s="170">
        <v>0</v>
      </c>
      <c r="H17" s="167">
        <v>180000</v>
      </c>
      <c r="I17" s="172">
        <v>0</v>
      </c>
      <c r="J17" s="150">
        <v>120000</v>
      </c>
      <c r="K17" s="173">
        <f>+Pasivos[[#This Row],[Junio]]</f>
        <v>120000</v>
      </c>
      <c r="L17" s="150">
        <v>0</v>
      </c>
      <c r="M17" s="238">
        <v>0</v>
      </c>
      <c r="N17" s="238">
        <v>0</v>
      </c>
      <c r="O17" s="238">
        <v>0</v>
      </c>
      <c r="P17" s="175" t="s">
        <v>366</v>
      </c>
      <c r="Q17" s="250" t="s">
        <v>404</v>
      </c>
      <c r="R17" s="248">
        <f>+Pasivos[[#This Row],[Julio]]</f>
        <v>0</v>
      </c>
      <c r="S17" s="149"/>
      <c r="U17" s="53" t="s">
        <v>147</v>
      </c>
      <c r="V17" s="53"/>
      <c r="W17" s="54">
        <v>150000</v>
      </c>
      <c r="X17" s="55"/>
      <c r="Z17" s="56"/>
      <c r="AA17" s="56"/>
      <c r="AB17" s="56"/>
      <c r="AC17" s="56"/>
      <c r="AD17" s="56"/>
      <c r="AE17" s="56"/>
      <c r="AI17" s="4"/>
    </row>
    <row r="18" spans="1:35" ht="17.25" x14ac:dyDescent="0.35">
      <c r="A18" t="s">
        <v>183</v>
      </c>
      <c r="B18" s="42" t="s">
        <v>199</v>
      </c>
      <c r="C18" s="162" t="s">
        <v>399</v>
      </c>
      <c r="D18" s="40">
        <v>3000000</v>
      </c>
      <c r="E18" s="170">
        <v>0</v>
      </c>
      <c r="F18" s="41">
        <v>3000000</v>
      </c>
      <c r="G18" s="170">
        <v>150000</v>
      </c>
      <c r="H18" s="165">
        <v>3000000</v>
      </c>
      <c r="I18" s="170">
        <v>150000</v>
      </c>
      <c r="J18" s="41">
        <v>3000000</v>
      </c>
      <c r="K18" s="173">
        <v>150000</v>
      </c>
      <c r="L18" s="41">
        <v>3000000</v>
      </c>
      <c r="M18" s="241">
        <v>150000</v>
      </c>
      <c r="N18" s="238">
        <v>150000</v>
      </c>
      <c r="O18" s="238">
        <v>0</v>
      </c>
      <c r="P18" s="175" t="s">
        <v>398</v>
      </c>
      <c r="Q18" s="251" t="s">
        <v>403</v>
      </c>
      <c r="R18" s="248">
        <f>+L18/2</f>
        <v>1500000</v>
      </c>
      <c r="S18" s="149"/>
      <c r="U18" s="53"/>
      <c r="V18" s="53"/>
      <c r="W18" s="54"/>
      <c r="X18" s="55"/>
      <c r="Z18" s="56"/>
      <c r="AA18" s="56"/>
      <c r="AB18" s="56"/>
      <c r="AC18" s="56"/>
      <c r="AD18" s="56"/>
      <c r="AE18" s="56"/>
      <c r="AI18" s="4"/>
    </row>
    <row r="19" spans="1:35" ht="17.25" x14ac:dyDescent="0.35">
      <c r="A19" t="s">
        <v>204</v>
      </c>
      <c r="B19" s="42" t="s">
        <v>199</v>
      </c>
      <c r="C19" s="163" t="s">
        <v>400</v>
      </c>
      <c r="D19" s="40">
        <v>500000</v>
      </c>
      <c r="E19" s="170">
        <f>+Pasivos[[#This Row],[Marzo]]-Pasivos[[#This Row],[Abril]]</f>
        <v>150000</v>
      </c>
      <c r="F19" s="41">
        <v>350000</v>
      </c>
      <c r="G19" s="170">
        <v>0</v>
      </c>
      <c r="H19" s="165">
        <v>260000</v>
      </c>
      <c r="I19" s="172">
        <v>0</v>
      </c>
      <c r="J19" s="41">
        <v>150000</v>
      </c>
      <c r="K19" s="173">
        <f>+Pasivos[[#This Row],[Junio]]</f>
        <v>150000</v>
      </c>
      <c r="L19" s="41">
        <v>0</v>
      </c>
      <c r="M19" s="241">
        <v>0</v>
      </c>
      <c r="N19" s="238">
        <v>0</v>
      </c>
      <c r="O19" s="238">
        <v>0</v>
      </c>
      <c r="P19" s="175" t="s">
        <v>366</v>
      </c>
      <c r="Q19" s="250" t="s">
        <v>404</v>
      </c>
      <c r="R19" s="248">
        <f>+Pasivos[[#This Row],[Julio]]</f>
        <v>0</v>
      </c>
      <c r="S19" s="149"/>
      <c r="U19" s="52" t="s">
        <v>147</v>
      </c>
      <c r="V19" s="52" t="s">
        <v>195</v>
      </c>
      <c r="W19" s="58"/>
      <c r="X19" s="59"/>
      <c r="Z19" s="56">
        <f>+Pasivos[[#This Row],[Valor pagado
Marzo]]</f>
        <v>150000</v>
      </c>
      <c r="AA19" s="56"/>
      <c r="AB19" s="56"/>
      <c r="AC19" s="56"/>
      <c r="AD19" s="56"/>
      <c r="AE19" s="56">
        <f t="shared" si="0"/>
        <v>150000</v>
      </c>
      <c r="AI19" s="4"/>
    </row>
    <row r="20" spans="1:35" ht="17.25" x14ac:dyDescent="0.35">
      <c r="A20" s="43" t="s">
        <v>343</v>
      </c>
      <c r="B20" s="42" t="s">
        <v>177</v>
      </c>
      <c r="C20" s="163" t="s">
        <v>400</v>
      </c>
      <c r="D20" s="43">
        <f>(30000*3)+(150000+60000)</f>
        <v>300000</v>
      </c>
      <c r="E20" s="170">
        <v>150000</v>
      </c>
      <c r="F20" s="41">
        <v>150000</v>
      </c>
      <c r="G20" s="170">
        <v>150000</v>
      </c>
      <c r="H20" s="167">
        <v>0</v>
      </c>
      <c r="I20" s="172">
        <v>0</v>
      </c>
      <c r="J20" s="150">
        <v>100000</v>
      </c>
      <c r="K20" s="173">
        <f>+Pasivos[[#This Row],[Junio]]</f>
        <v>100000</v>
      </c>
      <c r="L20" s="150">
        <v>0</v>
      </c>
      <c r="M20" s="238">
        <v>0</v>
      </c>
      <c r="N20" s="238">
        <v>0</v>
      </c>
      <c r="O20" s="238">
        <v>0</v>
      </c>
      <c r="P20" s="175" t="s">
        <v>366</v>
      </c>
      <c r="Q20" s="251" t="s">
        <v>403</v>
      </c>
      <c r="R20" s="248">
        <f>+Pasivos[[#This Row],[Julio]]</f>
        <v>0</v>
      </c>
      <c r="S20" s="149"/>
      <c r="U20" s="52" t="s">
        <v>147</v>
      </c>
      <c r="V20" s="52" t="s">
        <v>106</v>
      </c>
      <c r="W20" s="58"/>
      <c r="X20" s="59"/>
      <c r="Z20" s="56"/>
      <c r="AA20" s="56"/>
      <c r="AB20" s="56"/>
      <c r="AC20" s="56"/>
      <c r="AD20" s="56"/>
      <c r="AE20" s="56">
        <f t="shared" si="0"/>
        <v>0</v>
      </c>
    </row>
    <row r="21" spans="1:35" ht="17.25" x14ac:dyDescent="0.35">
      <c r="A21" t="s">
        <v>310</v>
      </c>
      <c r="B21" s="42" t="s">
        <v>361</v>
      </c>
      <c r="C21" s="163" t="s">
        <v>400</v>
      </c>
      <c r="D21" s="41">
        <v>429710</v>
      </c>
      <c r="E21" s="171">
        <f>+Pasivos[[#This Row],[Marzo]]-Pasivos[[#This Row],[Abril]]</f>
        <v>-631210</v>
      </c>
      <c r="F21" s="41">
        <v>1060920</v>
      </c>
      <c r="G21" s="171">
        <f>+Pasivos[[#This Row],[Abril]]-Pasivos[[#This Row],[Mayo]]</f>
        <v>-463290</v>
      </c>
      <c r="H21" s="165">
        <v>1524210</v>
      </c>
      <c r="I21" s="170">
        <v>37000</v>
      </c>
      <c r="J21" s="169">
        <v>1524210</v>
      </c>
      <c r="K21" s="173">
        <v>30000</v>
      </c>
      <c r="L21" s="237">
        <v>734830</v>
      </c>
      <c r="M21" s="241">
        <v>150000</v>
      </c>
      <c r="N21" s="238"/>
      <c r="O21" s="238">
        <f>+Pasivos[[#This Row],[Pagos Julio x programar]]</f>
        <v>150000</v>
      </c>
      <c r="P21" s="175" t="s">
        <v>365</v>
      </c>
      <c r="Q21" s="251" t="s">
        <v>403</v>
      </c>
      <c r="R21" s="252">
        <f>+Pasivos[[#This Row],[Julio]]</f>
        <v>734830</v>
      </c>
      <c r="S21" s="149"/>
      <c r="U21" s="52"/>
      <c r="V21" s="52"/>
      <c r="W21" s="58"/>
      <c r="X21" s="59"/>
      <c r="Z21" s="56"/>
      <c r="AA21" s="56"/>
      <c r="AB21" s="56"/>
      <c r="AC21" s="56"/>
      <c r="AD21" s="56"/>
      <c r="AE21" s="56"/>
    </row>
    <row r="22" spans="1:35" ht="17.25" x14ac:dyDescent="0.35">
      <c r="A22" t="s">
        <v>381</v>
      </c>
      <c r="B22" s="42" t="s">
        <v>369</v>
      </c>
      <c r="C22" s="163" t="s">
        <v>400</v>
      </c>
      <c r="D22" s="41">
        <v>0</v>
      </c>
      <c r="E22" s="171">
        <v>0</v>
      </c>
      <c r="F22" s="41">
        <v>0</v>
      </c>
      <c r="G22" s="171">
        <v>0</v>
      </c>
      <c r="H22" s="41">
        <v>0</v>
      </c>
      <c r="I22" s="170">
        <v>0</v>
      </c>
      <c r="J22" s="41">
        <v>400000</v>
      </c>
      <c r="K22" s="173">
        <f>+Pasivos[[#This Row],[Junio]]</f>
        <v>400000</v>
      </c>
      <c r="L22" s="41">
        <v>450000</v>
      </c>
      <c r="M22" s="241">
        <v>450000</v>
      </c>
      <c r="N22" s="238">
        <v>0</v>
      </c>
      <c r="O22" s="238">
        <f>+Pasivos[[#This Row],[Pagos Julio x programar]]</f>
        <v>450000</v>
      </c>
      <c r="P22" s="175" t="s">
        <v>365</v>
      </c>
      <c r="Q22" s="251" t="s">
        <v>403</v>
      </c>
      <c r="R22" s="252">
        <f>+Pasivos[[#This Row],[Julio]]</f>
        <v>450000</v>
      </c>
      <c r="S22" s="149"/>
      <c r="U22" s="52"/>
      <c r="V22" s="52"/>
      <c r="W22" s="58"/>
      <c r="X22" s="59"/>
      <c r="Z22" s="56"/>
      <c r="AA22" s="56"/>
      <c r="AB22" s="56"/>
      <c r="AC22" s="56"/>
      <c r="AD22" s="56"/>
      <c r="AE22" s="56"/>
    </row>
    <row r="23" spans="1:35" ht="18" thickBot="1" x14ac:dyDescent="0.4">
      <c r="A23" t="s">
        <v>387</v>
      </c>
      <c r="B23" s="42" t="s">
        <v>385</v>
      </c>
      <c r="C23" s="163" t="s">
        <v>400</v>
      </c>
      <c r="D23" s="41">
        <v>0</v>
      </c>
      <c r="E23" s="171"/>
      <c r="F23" s="41">
        <v>0</v>
      </c>
      <c r="G23" s="171"/>
      <c r="H23" s="41">
        <v>0</v>
      </c>
      <c r="I23" s="170"/>
      <c r="J23" s="41">
        <v>100000</v>
      </c>
      <c r="K23" s="173">
        <f>+Pasivos[[#This Row],[Junio]]</f>
        <v>100000</v>
      </c>
      <c r="L23" s="41">
        <v>0</v>
      </c>
      <c r="M23" s="241">
        <v>0</v>
      </c>
      <c r="N23" s="238">
        <v>0</v>
      </c>
      <c r="O23" s="238">
        <v>0</v>
      </c>
      <c r="P23" s="175" t="s">
        <v>366</v>
      </c>
      <c r="Q23" s="175" t="s">
        <v>366</v>
      </c>
      <c r="R23" s="248">
        <f>+Pasivos[[#This Row],[Julio]]</f>
        <v>0</v>
      </c>
      <c r="S23" s="149"/>
      <c r="U23" s="52"/>
      <c r="V23" s="52"/>
      <c r="W23" s="58"/>
      <c r="X23" s="59"/>
      <c r="Z23" s="56"/>
      <c r="AA23" s="56"/>
      <c r="AB23" s="56"/>
      <c r="AC23" s="56"/>
      <c r="AD23" s="56"/>
      <c r="AE23" s="56"/>
    </row>
    <row r="24" spans="1:35" ht="18" thickTop="1" x14ac:dyDescent="0.35">
      <c r="A24" t="s">
        <v>388</v>
      </c>
      <c r="B24" s="42" t="s">
        <v>386</v>
      </c>
      <c r="C24" s="163" t="s">
        <v>400</v>
      </c>
      <c r="D24" s="41">
        <v>0</v>
      </c>
      <c r="E24" s="171"/>
      <c r="F24" s="41">
        <v>0</v>
      </c>
      <c r="G24" s="171"/>
      <c r="H24" s="41">
        <v>0</v>
      </c>
      <c r="I24" s="170"/>
      <c r="J24" s="41">
        <v>0</v>
      </c>
      <c r="K24" s="173">
        <v>20000</v>
      </c>
      <c r="L24" s="41">
        <v>0</v>
      </c>
      <c r="M24" s="241">
        <v>0</v>
      </c>
      <c r="N24" s="238">
        <v>0</v>
      </c>
      <c r="O24" s="238">
        <v>0</v>
      </c>
      <c r="P24" s="175" t="s">
        <v>366</v>
      </c>
      <c r="Q24" s="175" t="s">
        <v>366</v>
      </c>
      <c r="R24" s="248">
        <f>+Pasivos[[#This Row],[Julio]]</f>
        <v>0</v>
      </c>
      <c r="S24" s="149"/>
      <c r="U24" s="15"/>
      <c r="V24" s="15"/>
      <c r="W24" s="16">
        <f>+SUM(W6:W13)</f>
        <v>0</v>
      </c>
      <c r="X24" s="17"/>
      <c r="Z24" s="18">
        <f>+SUM(Z6:Z19)</f>
        <v>150000</v>
      </c>
      <c r="AA24" s="18">
        <f>+SUM(AA6:AA19)</f>
        <v>0</v>
      </c>
      <c r="AB24" s="18">
        <f>+SUM(AB6:AB19)</f>
        <v>0</v>
      </c>
      <c r="AC24" s="18">
        <f>+SUM(AC6:AC19)</f>
        <v>0</v>
      </c>
      <c r="AD24" s="18"/>
      <c r="AE24" s="18">
        <f>+SUM(AE6:AE19)</f>
        <v>150000</v>
      </c>
    </row>
    <row r="25" spans="1:35" ht="17.25" x14ac:dyDescent="0.35">
      <c r="A25" s="45"/>
      <c r="B25" s="44" t="s">
        <v>108</v>
      </c>
      <c r="C25" s="44"/>
      <c r="D25" s="46">
        <f>SUBTOTAL(109,Pasivos[Marzo])</f>
        <v>11897309</v>
      </c>
      <c r="E25" s="46">
        <f>+SUM(Pasivos[Valor pagado
Marzo])</f>
        <v>-231210</v>
      </c>
      <c r="F25" s="46">
        <f>+SUM(Pasivos[Abril])</f>
        <v>11328519</v>
      </c>
      <c r="G25" s="46">
        <f>+SUM(Pasivos[Valor pagado
Abril])</f>
        <v>-103290</v>
      </c>
      <c r="H25" s="46">
        <f>+SUM(Pasivos[Mayo])</f>
        <v>11731809</v>
      </c>
      <c r="I25" s="46">
        <f>+SUM(Pasivos[Valor pagado
Mayo])</f>
        <v>187000</v>
      </c>
      <c r="J25" s="46">
        <f>+SUM(Pasivos[Junio])</f>
        <v>11921809</v>
      </c>
      <c r="K25" s="46">
        <f>+SUM(Pasivos[Valor pagado
Junio])</f>
        <v>1070000</v>
      </c>
      <c r="L25" s="46">
        <f>+SUM(Pasivos[Julio])</f>
        <v>11462429</v>
      </c>
      <c r="M25" s="240">
        <f>+SUM(Pasivos[Pagos Julio x programar])</f>
        <v>1650000</v>
      </c>
      <c r="N25" s="240">
        <f>+SUM(Pasivos[Valor pagado
Julio])</f>
        <v>150000</v>
      </c>
      <c r="O25" s="240">
        <f>+SUM(Pasivos[Valor por Pagar])</f>
        <v>1500000</v>
      </c>
      <c r="P25" s="164"/>
      <c r="Q25" s="247"/>
      <c r="R25" s="240">
        <f>+SUM(Pasivos[Saldo nuevo admón])</f>
        <v>6279629.5</v>
      </c>
      <c r="S25" s="149"/>
      <c r="Y25" s="19"/>
      <c r="Z25" s="19"/>
      <c r="AA25" s="19"/>
      <c r="AB25" s="19"/>
      <c r="AC25" s="19"/>
      <c r="AD25" s="20"/>
    </row>
    <row r="26" spans="1:35" ht="17.25" x14ac:dyDescent="0.35">
      <c r="E26" s="19"/>
      <c r="L26" s="98"/>
      <c r="M26" s="98"/>
      <c r="P26" s="230"/>
      <c r="R26" s="152"/>
      <c r="S26" s="149"/>
      <c r="U26" s="53" t="s">
        <v>147</v>
      </c>
      <c r="V26" s="53"/>
      <c r="W26" s="54"/>
      <c r="X26" s="55"/>
      <c r="Z26" s="56"/>
      <c r="AA26" s="56"/>
      <c r="AB26" s="56"/>
      <c r="AC26" s="56"/>
      <c r="AD26" s="56"/>
      <c r="AE26" s="56"/>
      <c r="AI26" s="4"/>
    </row>
    <row r="27" spans="1:35" ht="17.25" x14ac:dyDescent="0.35">
      <c r="A27" s="61" t="s">
        <v>201</v>
      </c>
      <c r="B27" s="163" t="s">
        <v>221</v>
      </c>
      <c r="C27" t="s">
        <v>222</v>
      </c>
      <c r="D27" s="40">
        <v>280000</v>
      </c>
      <c r="E27" s="170">
        <v>0</v>
      </c>
      <c r="F27" s="41">
        <v>280000</v>
      </c>
      <c r="G27" s="170">
        <v>280000</v>
      </c>
      <c r="H27" s="167">
        <v>250000</v>
      </c>
      <c r="I27" s="172">
        <v>0</v>
      </c>
      <c r="J27" s="150">
        <v>250000</v>
      </c>
      <c r="K27" s="173"/>
      <c r="L27" s="151">
        <v>250000</v>
      </c>
      <c r="M27" s="151"/>
      <c r="N27" s="151"/>
      <c r="O27" s="151"/>
      <c r="P27" s="170" t="s">
        <v>367</v>
      </c>
      <c r="Q27" s="41" t="s">
        <v>365</v>
      </c>
      <c r="R27" s="152"/>
      <c r="W27" s="21"/>
    </row>
    <row r="29" spans="1:35" x14ac:dyDescent="0.2">
      <c r="R29" s="92"/>
      <c r="AD29" s="14"/>
    </row>
    <row r="30" spans="1:35" x14ac:dyDescent="0.2">
      <c r="G30" s="92" t="s">
        <v>307</v>
      </c>
      <c r="H30" s="92"/>
      <c r="I30" s="92"/>
      <c r="J30" s="92"/>
      <c r="K30" s="92"/>
      <c r="L30" s="92"/>
      <c r="M30" s="92"/>
      <c r="N30" s="92"/>
      <c r="O30" s="92"/>
      <c r="P30" s="92"/>
      <c r="Q30" s="92"/>
    </row>
    <row r="31" spans="1:35" ht="17.25" x14ac:dyDescent="0.35">
      <c r="A31" s="153" t="s">
        <v>184</v>
      </c>
      <c r="B31" s="154" t="s">
        <v>221</v>
      </c>
      <c r="C31" s="155" t="s">
        <v>245</v>
      </c>
      <c r="D31" s="156">
        <v>428760</v>
      </c>
    </row>
    <row r="32" spans="1:35" ht="17.25" x14ac:dyDescent="0.35">
      <c r="A32" s="157" t="s">
        <v>175</v>
      </c>
      <c r="B32" s="158" t="s">
        <v>221</v>
      </c>
      <c r="C32" s="159" t="s">
        <v>310</v>
      </c>
      <c r="D32" s="160">
        <v>161750</v>
      </c>
      <c r="F32" s="21"/>
      <c r="R32" s="4"/>
    </row>
    <row r="33" spans="1:17" ht="17.25" x14ac:dyDescent="0.35">
      <c r="A33" s="153" t="s">
        <v>176</v>
      </c>
      <c r="B33" s="154" t="s">
        <v>221</v>
      </c>
      <c r="C33" s="161" t="s">
        <v>244</v>
      </c>
      <c r="D33" s="156">
        <v>400000</v>
      </c>
      <c r="F33" s="4"/>
      <c r="G33" s="4" t="e">
        <f>+#REF!*#REF!</f>
        <v>#REF!</v>
      </c>
      <c r="H33" s="4"/>
      <c r="I33" s="4"/>
      <c r="J33" s="4"/>
      <c r="K33" s="4"/>
      <c r="L33" s="4"/>
      <c r="M33" s="4"/>
      <c r="N33" s="4"/>
      <c r="O33" s="4"/>
      <c r="P33" s="4"/>
      <c r="Q33" s="4"/>
    </row>
    <row r="35" spans="1:17" x14ac:dyDescent="0.2">
      <c r="F35" s="4"/>
    </row>
    <row r="36" spans="1:17" x14ac:dyDescent="0.2">
      <c r="G36" t="s">
        <v>308</v>
      </c>
    </row>
  </sheetData>
  <mergeCells count="2">
    <mergeCell ref="Y4:AD4"/>
    <mergeCell ref="U4:X4"/>
  </mergeCells>
  <phoneticPr fontId="20" type="noConversion"/>
  <conditionalFormatting sqref="P6:P24">
    <cfRule type="containsText" dxfId="25" priority="9" operator="containsText" text="Urgente">
      <formula>NOT(ISERROR(SEARCH("Urgente",P6)))</formula>
    </cfRule>
    <cfRule type="containsText" dxfId="24" priority="10" operator="containsText" text="Pagado">
      <formula>NOT(ISERROR(SEARCH("Pagado",P6)))</formula>
    </cfRule>
    <cfRule type="containsText" dxfId="23" priority="11" operator="containsText" text="Congelado">
      <formula>NOT(ISERROR(SEARCH("Congelado",P6)))</formula>
    </cfRule>
    <cfRule type="containsText" dxfId="22" priority="12" operator="containsText" text="corto">
      <formula>NOT(ISERROR(SEARCH("corto",P6)))</formula>
    </cfRule>
  </conditionalFormatting>
  <conditionalFormatting sqref="Q11">
    <cfRule type="containsText" dxfId="21" priority="1" operator="containsText" text="Urgente">
      <formula>NOT(ISERROR(SEARCH("Urgente",Q11)))</formula>
    </cfRule>
    <cfRule type="containsText" dxfId="20" priority="2" operator="containsText" text="Pagado">
      <formula>NOT(ISERROR(SEARCH("Pagado",Q11)))</formula>
    </cfRule>
    <cfRule type="containsText" dxfId="19" priority="3" operator="containsText" text="Congelado">
      <formula>NOT(ISERROR(SEARCH("Congelado",Q11)))</formula>
    </cfRule>
    <cfRule type="containsText" dxfId="18" priority="4" operator="containsText" text="corto">
      <formula>NOT(ISERROR(SEARCH("corto",Q11)))</formula>
    </cfRule>
  </conditionalFormatting>
  <conditionalFormatting sqref="Q23:Q24">
    <cfRule type="containsText" dxfId="17" priority="5" operator="containsText" text="Urgente">
      <formula>NOT(ISERROR(SEARCH("Urgente",Q23)))</formula>
    </cfRule>
    <cfRule type="containsText" dxfId="16" priority="6" operator="containsText" text="Pagado">
      <formula>NOT(ISERROR(SEARCH("Pagado",Q23)))</formula>
    </cfRule>
    <cfRule type="containsText" dxfId="15" priority="7" operator="containsText" text="Congelado">
      <formula>NOT(ISERROR(SEARCH("Congelado",Q23)))</formula>
    </cfRule>
    <cfRule type="containsText" dxfId="14" priority="8" operator="containsText" text="corto">
      <formula>NOT(ISERROR(SEARCH("corto",Q23)))</formula>
    </cfRule>
  </conditionalFormatting>
  <dataValidations count="1">
    <dataValidation type="list" allowBlank="1" showInputMessage="1" showErrorMessage="1" sqref="P6:P24" xr:uid="{00000000-0002-0000-0A00-000000000000}">
      <formula1>"Pagar Urgente, Pagar Otro mes,Congelado,Pagado,Financiero"</formula1>
    </dataValidation>
  </dataValidations>
  <pageMargins left="0.7" right="0.7" top="0.75" bottom="0.75" header="0.3" footer="0.3"/>
  <pageSetup paperSize="9" orientation="portrait" horizontalDpi="300" verticalDpi="300" r:id="rId1"/>
  <drawing r:id="rId2"/>
  <legacyDrawing r:id="rId3"/>
  <tableParts count="1"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 tint="0.79998168889431442"/>
  </sheetPr>
  <dimension ref="A1:D8"/>
  <sheetViews>
    <sheetView showGridLines="0" zoomScale="85" zoomScaleNormal="85" workbookViewId="0">
      <pane xSplit="3" ySplit="5" topLeftCell="D6" activePane="bottomRight" state="frozen"/>
      <selection pane="topRight" activeCell="C1" sqref="C1"/>
      <selection pane="bottomLeft" activeCell="A4" sqref="A4"/>
      <selection pane="bottomRight" activeCell="A8" sqref="A8"/>
    </sheetView>
  </sheetViews>
  <sheetFormatPr baseColWidth="10" defaultColWidth="12.5" defaultRowHeight="14.25" outlineLevelCol="1" x14ac:dyDescent="0.2"/>
  <cols>
    <col min="1" max="1" width="18" customWidth="1"/>
    <col min="2" max="2" width="22.25" customWidth="1"/>
    <col min="3" max="3" width="19.625" bestFit="1" customWidth="1"/>
    <col min="4" max="4" width="12.75" customWidth="1" outlineLevel="1"/>
  </cols>
  <sheetData>
    <row r="1" spans="1:4" x14ac:dyDescent="0.2">
      <c r="A1" s="60"/>
      <c r="B1" s="60"/>
      <c r="C1" s="60"/>
    </row>
    <row r="2" spans="1:4" x14ac:dyDescent="0.2">
      <c r="A2" s="60"/>
      <c r="B2" s="60"/>
      <c r="C2" s="60"/>
    </row>
    <row r="3" spans="1:4" x14ac:dyDescent="0.2">
      <c r="A3" s="60"/>
      <c r="B3" s="60"/>
      <c r="C3" s="60"/>
    </row>
    <row r="4" spans="1:4" x14ac:dyDescent="0.2">
      <c r="A4" s="60"/>
      <c r="B4" s="60"/>
      <c r="C4" s="60"/>
      <c r="D4" s="12"/>
    </row>
    <row r="5" spans="1:4" x14ac:dyDescent="0.2">
      <c r="A5" s="37" t="s">
        <v>113</v>
      </c>
      <c r="B5" s="37" t="s">
        <v>217</v>
      </c>
      <c r="C5" s="38" t="s">
        <v>185</v>
      </c>
      <c r="D5" s="50" t="s">
        <v>363</v>
      </c>
    </row>
    <row r="6" spans="1:4" ht="31.5" customHeight="1" x14ac:dyDescent="0.35">
      <c r="A6" s="47" t="s">
        <v>118</v>
      </c>
      <c r="B6" s="162" t="s">
        <v>220</v>
      </c>
      <c r="C6" t="s">
        <v>392</v>
      </c>
      <c r="D6" s="150">
        <v>150000</v>
      </c>
    </row>
    <row r="7" spans="1:4" ht="17.25" x14ac:dyDescent="0.35">
      <c r="A7" s="48" t="s">
        <v>118</v>
      </c>
      <c r="B7" s="162" t="s">
        <v>220</v>
      </c>
      <c r="C7" t="s">
        <v>393</v>
      </c>
      <c r="D7" s="150">
        <v>20000</v>
      </c>
    </row>
    <row r="8" spans="1:4" ht="17.25" x14ac:dyDescent="0.35">
      <c r="A8" s="44" t="s">
        <v>108</v>
      </c>
      <c r="B8" s="44"/>
      <c r="C8" s="45"/>
      <c r="D8" s="46">
        <f>+SUM(Pasivos8[Junio])</f>
        <v>170000</v>
      </c>
    </row>
  </sheetData>
  <pageMargins left="0.7" right="0.7" top="0.75" bottom="0.75" header="0.3" footer="0.3"/>
  <pageSetup paperSize="9" orientation="portrait" horizontalDpi="300" verticalDpi="300" r:id="rId1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J34"/>
  <sheetViews>
    <sheetView showGridLines="0" workbookViewId="0">
      <pane xSplit="1" ySplit="4" topLeftCell="S5" activePane="bottomRight" state="frozen"/>
      <selection pane="topRight" activeCell="B1" sqref="B1"/>
      <selection pane="bottomLeft" activeCell="A5" sqref="A5"/>
      <selection pane="bottomRight" activeCell="Z25" sqref="Z25"/>
    </sheetView>
  </sheetViews>
  <sheetFormatPr baseColWidth="10" defaultRowHeight="14.25" x14ac:dyDescent="0.2"/>
  <cols>
    <col min="1" max="1" width="12.75" bestFit="1" customWidth="1"/>
    <col min="2" max="2" width="9" bestFit="1" customWidth="1"/>
    <col min="3" max="5" width="10.125" bestFit="1" customWidth="1"/>
    <col min="6" max="6" width="8.625" bestFit="1" customWidth="1"/>
    <col min="7" max="7" width="10.125" bestFit="1" customWidth="1"/>
    <col min="8" max="8" width="8.625" bestFit="1" customWidth="1"/>
    <col min="9" max="26" width="10.125" bestFit="1" customWidth="1"/>
    <col min="27" max="32" width="10.125" hidden="1" customWidth="1"/>
    <col min="33" max="33" width="8.625" hidden="1" customWidth="1"/>
    <col min="34" max="34" width="11.125" hidden="1" customWidth="1"/>
    <col min="35" max="35" width="0" hidden="1" customWidth="1"/>
    <col min="38" max="38" width="10.125" bestFit="1" customWidth="1"/>
    <col min="39" max="39" width="7.75" customWidth="1"/>
    <col min="41" max="41" width="11.125" bestFit="1" customWidth="1"/>
    <col min="42" max="42" width="17" bestFit="1" customWidth="1"/>
    <col min="43" max="43" width="6.875" customWidth="1"/>
    <col min="44" max="44" width="19.375" bestFit="1" customWidth="1"/>
    <col min="45" max="45" width="10" bestFit="1" customWidth="1"/>
    <col min="46" max="46" width="12.25" bestFit="1" customWidth="1"/>
  </cols>
  <sheetData>
    <row r="1" spans="1:62" ht="18.75" x14ac:dyDescent="0.3">
      <c r="D1" s="10" t="s">
        <v>146</v>
      </c>
      <c r="I1" s="10" t="s">
        <v>147</v>
      </c>
      <c r="M1" s="10" t="s">
        <v>198</v>
      </c>
      <c r="R1" s="10" t="s">
        <v>363</v>
      </c>
      <c r="V1" s="10" t="s">
        <v>389</v>
      </c>
      <c r="AA1" s="10" t="s">
        <v>390</v>
      </c>
      <c r="AK1" s="281" t="s">
        <v>196</v>
      </c>
      <c r="AL1" s="281"/>
      <c r="AM1" s="281"/>
      <c r="AO1" s="281" t="s">
        <v>383</v>
      </c>
      <c r="AP1" s="281"/>
      <c r="AQ1" s="281"/>
    </row>
    <row r="2" spans="1:62" x14ac:dyDescent="0.2">
      <c r="AO2" s="29" t="s">
        <v>0</v>
      </c>
      <c r="AP2" t="s">
        <v>407</v>
      </c>
    </row>
    <row r="3" spans="1:62" x14ac:dyDescent="0.2">
      <c r="A3" s="29" t="s">
        <v>377</v>
      </c>
      <c r="B3" s="29" t="s">
        <v>379</v>
      </c>
      <c r="AL3" s="184">
        <f>+AVERAGE(AL5:AL11)</f>
        <v>346142.85714285716</v>
      </c>
      <c r="AP3" s="184">
        <f>+AVERAGE(AP5:AP11)</f>
        <v>133641.29032258064</v>
      </c>
    </row>
    <row r="4" spans="1:62" s="7" customFormat="1" ht="15" x14ac:dyDescent="0.25">
      <c r="A4" s="222" t="s">
        <v>150</v>
      </c>
      <c r="B4" s="7">
        <v>0</v>
      </c>
      <c r="C4" s="7">
        <v>1</v>
      </c>
      <c r="D4" s="7">
        <v>2</v>
      </c>
      <c r="E4" s="7">
        <v>3</v>
      </c>
      <c r="F4" s="7">
        <v>4</v>
      </c>
      <c r="G4" s="7">
        <v>5</v>
      </c>
      <c r="H4" s="7">
        <v>6</v>
      </c>
      <c r="I4" s="7">
        <v>7</v>
      </c>
      <c r="J4" s="7">
        <v>8</v>
      </c>
      <c r="K4" s="7">
        <v>9</v>
      </c>
      <c r="L4" s="7">
        <v>10</v>
      </c>
      <c r="M4" s="7">
        <v>11</v>
      </c>
      <c r="N4" s="7">
        <v>12</v>
      </c>
      <c r="O4" s="7">
        <v>13</v>
      </c>
      <c r="P4" s="7">
        <v>14</v>
      </c>
      <c r="Q4" s="7">
        <v>15</v>
      </c>
      <c r="R4" s="7">
        <v>16</v>
      </c>
      <c r="S4" s="7">
        <v>17</v>
      </c>
      <c r="T4" s="7">
        <v>18</v>
      </c>
      <c r="U4" s="7">
        <v>19</v>
      </c>
      <c r="V4" s="7">
        <v>20</v>
      </c>
      <c r="W4" s="7">
        <v>21</v>
      </c>
      <c r="X4" s="7">
        <v>22</v>
      </c>
      <c r="Y4" s="7">
        <v>23</v>
      </c>
      <c r="Z4" s="7">
        <v>24</v>
      </c>
      <c r="AA4" s="7">
        <v>25</v>
      </c>
      <c r="AB4" s="7">
        <v>26</v>
      </c>
      <c r="AC4" s="7">
        <v>27</v>
      </c>
      <c r="AD4" s="7">
        <v>28</v>
      </c>
      <c r="AE4" s="7">
        <v>29</v>
      </c>
      <c r="AF4" s="7">
        <v>30</v>
      </c>
      <c r="AG4" s="7">
        <v>31</v>
      </c>
      <c r="AH4" s="7" t="s">
        <v>216</v>
      </c>
      <c r="AK4" s="185" t="s">
        <v>150</v>
      </c>
      <c r="AL4" s="185" t="s">
        <v>196</v>
      </c>
      <c r="AM4" s="224" t="s">
        <v>380</v>
      </c>
      <c r="AO4" s="222" t="s">
        <v>150</v>
      </c>
      <c r="AP4" s="7" t="s">
        <v>384</v>
      </c>
      <c r="AQ4" s="224" t="s">
        <v>380</v>
      </c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</row>
    <row r="5" spans="1:62" x14ac:dyDescent="0.2">
      <c r="A5" s="211" t="s">
        <v>371</v>
      </c>
      <c r="B5" s="184"/>
      <c r="C5" s="184">
        <v>0</v>
      </c>
      <c r="D5" s="184">
        <v>200000</v>
      </c>
      <c r="E5" s="184">
        <v>90000</v>
      </c>
      <c r="F5" s="184">
        <v>100000</v>
      </c>
      <c r="G5" s="184">
        <v>30000</v>
      </c>
      <c r="H5" s="192">
        <v>80000</v>
      </c>
      <c r="I5" s="192">
        <v>160000</v>
      </c>
      <c r="J5" s="192">
        <v>150000</v>
      </c>
      <c r="K5" s="192">
        <v>160000</v>
      </c>
      <c r="L5" s="184">
        <v>160000</v>
      </c>
      <c r="M5" s="184">
        <v>80000</v>
      </c>
      <c r="N5" s="184">
        <v>90000</v>
      </c>
      <c r="O5" s="184">
        <v>180000</v>
      </c>
      <c r="P5" s="242">
        <v>375000</v>
      </c>
      <c r="Q5" s="227">
        <v>200000</v>
      </c>
      <c r="R5" s="227">
        <v>330000</v>
      </c>
      <c r="S5" s="227">
        <v>380000</v>
      </c>
      <c r="T5" s="227">
        <v>200000</v>
      </c>
      <c r="U5" s="184">
        <v>215000</v>
      </c>
      <c r="V5" s="184">
        <v>162000</v>
      </c>
      <c r="W5" s="184">
        <v>230000</v>
      </c>
      <c r="X5" s="184">
        <v>344000</v>
      </c>
      <c r="Y5" s="245">
        <v>170000</v>
      </c>
      <c r="Z5" s="256">
        <v>248000</v>
      </c>
      <c r="AA5" s="256">
        <v>248000</v>
      </c>
      <c r="AB5" s="256">
        <v>248000</v>
      </c>
      <c r="AC5" s="256">
        <v>248000</v>
      </c>
      <c r="AD5" s="184">
        <v>248000</v>
      </c>
      <c r="AE5" s="184">
        <v>248000</v>
      </c>
      <c r="AF5" s="184">
        <v>248000</v>
      </c>
      <c r="AG5" s="184">
        <v>248000</v>
      </c>
      <c r="AH5" s="184">
        <v>6070000</v>
      </c>
      <c r="AK5" s="194" t="s">
        <v>371</v>
      </c>
      <c r="AL5" s="186">
        <f t="shared" ref="AL5:AL11" si="0">+AVERAGE(W5:Y5)</f>
        <v>248000</v>
      </c>
      <c r="AM5" s="189">
        <f>X5/AL5-1</f>
        <v>0.38709677419354849</v>
      </c>
      <c r="AO5" s="211" t="s">
        <v>371</v>
      </c>
      <c r="AP5" s="184">
        <v>115836.20967741935</v>
      </c>
      <c r="AQ5" s="189">
        <f>+AP5/AL5-1</f>
        <v>-0.53291850936524454</v>
      </c>
    </row>
    <row r="6" spans="1:62" x14ac:dyDescent="0.2">
      <c r="A6" s="211" t="s">
        <v>372</v>
      </c>
      <c r="B6" s="184"/>
      <c r="C6" s="184">
        <v>0</v>
      </c>
      <c r="D6" s="184">
        <v>240000</v>
      </c>
      <c r="E6" s="184">
        <v>90000</v>
      </c>
      <c r="F6" s="184">
        <v>130000</v>
      </c>
      <c r="G6" s="184">
        <v>50000</v>
      </c>
      <c r="H6" s="192">
        <v>140000</v>
      </c>
      <c r="I6" s="192">
        <v>160000</v>
      </c>
      <c r="J6" s="192">
        <v>100000</v>
      </c>
      <c r="K6" s="192">
        <v>160000</v>
      </c>
      <c r="L6" s="184">
        <v>120000</v>
      </c>
      <c r="M6" s="184">
        <v>170000</v>
      </c>
      <c r="N6" s="184">
        <v>110000</v>
      </c>
      <c r="O6" s="184">
        <v>150000</v>
      </c>
      <c r="P6" s="242">
        <v>170000</v>
      </c>
      <c r="Q6" s="227">
        <v>220000</v>
      </c>
      <c r="R6" s="227">
        <v>400000</v>
      </c>
      <c r="S6" s="227">
        <v>250000</v>
      </c>
      <c r="T6" s="227">
        <v>300000</v>
      </c>
      <c r="U6" s="184">
        <v>250000</v>
      </c>
      <c r="V6" s="184">
        <v>281000</v>
      </c>
      <c r="W6" s="184">
        <v>218000</v>
      </c>
      <c r="X6" s="184">
        <v>220000</v>
      </c>
      <c r="Y6" s="245">
        <v>260000</v>
      </c>
      <c r="Z6" s="256">
        <v>232666.66666666666</v>
      </c>
      <c r="AA6" s="256">
        <v>232666.66666666666</v>
      </c>
      <c r="AB6" s="256">
        <v>232666.66666666666</v>
      </c>
      <c r="AC6" s="184">
        <v>232666.66666666666</v>
      </c>
      <c r="AD6" s="184">
        <v>232666.66666666666</v>
      </c>
      <c r="AE6" s="184">
        <v>232666.66666666666</v>
      </c>
      <c r="AF6" s="184">
        <v>232666.66666666666</v>
      </c>
      <c r="AG6" s="184">
        <v>232666.66666666666</v>
      </c>
      <c r="AH6" s="184">
        <v>6050333.3333333358</v>
      </c>
      <c r="AK6" s="194" t="s">
        <v>372</v>
      </c>
      <c r="AL6" s="186">
        <f t="shared" si="0"/>
        <v>232666.66666666666</v>
      </c>
      <c r="AM6" s="189">
        <f t="shared" ref="AM6:AM11" si="1">W6/AL6-1</f>
        <v>-6.3037249283667607E-2</v>
      </c>
      <c r="AO6" s="211" t="s">
        <v>372</v>
      </c>
      <c r="AP6" s="184">
        <v>115836.20967741935</v>
      </c>
      <c r="AQ6" s="189">
        <f t="shared" ref="AQ6:AQ11" si="2">+AP6/AL6-1</f>
        <v>-0.50213663462427216</v>
      </c>
    </row>
    <row r="7" spans="1:62" x14ac:dyDescent="0.2">
      <c r="A7" s="211" t="s">
        <v>373</v>
      </c>
      <c r="B7" s="184"/>
      <c r="C7" s="184">
        <v>0</v>
      </c>
      <c r="D7" s="184">
        <v>280000</v>
      </c>
      <c r="E7" s="184">
        <v>150000</v>
      </c>
      <c r="F7" s="184">
        <v>180000</v>
      </c>
      <c r="G7" s="192">
        <v>60000</v>
      </c>
      <c r="H7" s="192">
        <v>50000</v>
      </c>
      <c r="I7" s="192">
        <v>80000</v>
      </c>
      <c r="J7" s="192">
        <v>70000</v>
      </c>
      <c r="K7" s="192">
        <v>360000</v>
      </c>
      <c r="L7" s="184">
        <v>250000</v>
      </c>
      <c r="M7" s="184">
        <v>240000</v>
      </c>
      <c r="N7" s="184">
        <v>170000</v>
      </c>
      <c r="O7" s="184">
        <v>140000</v>
      </c>
      <c r="P7" s="242">
        <v>260000</v>
      </c>
      <c r="Q7" s="227">
        <v>220000</v>
      </c>
      <c r="R7" s="227">
        <v>320000</v>
      </c>
      <c r="S7" s="227">
        <v>300000</v>
      </c>
      <c r="T7" s="184">
        <v>380000</v>
      </c>
      <c r="U7" s="184">
        <v>150000</v>
      </c>
      <c r="V7" s="184">
        <v>50000</v>
      </c>
      <c r="W7" s="184">
        <v>98000</v>
      </c>
      <c r="X7" s="184">
        <v>175000</v>
      </c>
      <c r="Y7" s="246">
        <v>250000</v>
      </c>
      <c r="Z7" s="256">
        <v>174333.33333333334</v>
      </c>
      <c r="AA7" s="256">
        <v>174333.33333333334</v>
      </c>
      <c r="AB7" s="256">
        <v>174333.33333333334</v>
      </c>
      <c r="AC7" s="184">
        <v>174333.33333333334</v>
      </c>
      <c r="AD7" s="184">
        <v>174333.33333333334</v>
      </c>
      <c r="AE7" s="184">
        <v>174333.33333333334</v>
      </c>
      <c r="AF7" s="184">
        <v>174333.33333333334</v>
      </c>
      <c r="AG7" s="184">
        <v>174333.33333333334</v>
      </c>
      <c r="AH7" s="184">
        <v>5627666.6666666642</v>
      </c>
      <c r="AK7" s="194" t="s">
        <v>373</v>
      </c>
      <c r="AL7" s="186">
        <f t="shared" si="0"/>
        <v>174333.33333333334</v>
      </c>
      <c r="AM7" s="189">
        <f t="shared" si="1"/>
        <v>-0.4378585086042065</v>
      </c>
      <c r="AO7" s="211" t="s">
        <v>373</v>
      </c>
      <c r="AP7" s="184">
        <v>115836.20967741935</v>
      </c>
      <c r="AQ7" s="189">
        <f t="shared" si="2"/>
        <v>-0.33554755443162898</v>
      </c>
    </row>
    <row r="8" spans="1:62" x14ac:dyDescent="0.2">
      <c r="A8" s="211" t="s">
        <v>374</v>
      </c>
      <c r="B8" s="184"/>
      <c r="C8" s="184">
        <v>0</v>
      </c>
      <c r="D8" s="184">
        <v>90000</v>
      </c>
      <c r="E8" s="184">
        <v>240000</v>
      </c>
      <c r="F8" s="184">
        <v>80000</v>
      </c>
      <c r="G8" s="192">
        <v>120000</v>
      </c>
      <c r="H8" s="192">
        <v>40000</v>
      </c>
      <c r="I8" s="192">
        <v>200000</v>
      </c>
      <c r="J8" s="192">
        <v>120000</v>
      </c>
      <c r="K8" s="192">
        <v>160000</v>
      </c>
      <c r="L8" s="184">
        <v>120000</v>
      </c>
      <c r="M8" s="184">
        <v>150000</v>
      </c>
      <c r="N8" s="184">
        <v>180000</v>
      </c>
      <c r="O8" s="184">
        <v>180000</v>
      </c>
      <c r="P8" s="242">
        <v>230000</v>
      </c>
      <c r="Q8" s="227">
        <v>170000</v>
      </c>
      <c r="R8" s="227">
        <v>330000</v>
      </c>
      <c r="S8" s="227">
        <v>200000</v>
      </c>
      <c r="T8" s="184">
        <v>407100</v>
      </c>
      <c r="U8" s="184">
        <v>160000</v>
      </c>
      <c r="V8" s="184">
        <v>436000</v>
      </c>
      <c r="W8" s="184">
        <v>347000</v>
      </c>
      <c r="X8" s="184">
        <v>280000</v>
      </c>
      <c r="Y8" s="245">
        <v>335000</v>
      </c>
      <c r="Z8" s="256">
        <v>320666.66666666669</v>
      </c>
      <c r="AA8" s="256">
        <v>320666.66666666669</v>
      </c>
      <c r="AB8" s="256">
        <v>320666.66666666669</v>
      </c>
      <c r="AC8" s="184">
        <v>320666.66666666669</v>
      </c>
      <c r="AD8" s="184">
        <v>320666.66666666669</v>
      </c>
      <c r="AE8" s="184">
        <v>320666.66666666669</v>
      </c>
      <c r="AF8" s="184">
        <v>320666.66666666669</v>
      </c>
      <c r="AG8" s="184"/>
      <c r="AH8" s="184">
        <v>6819766.6666666688</v>
      </c>
      <c r="AK8" s="194" t="s">
        <v>374</v>
      </c>
      <c r="AL8" s="186">
        <f t="shared" si="0"/>
        <v>320666.66666666669</v>
      </c>
      <c r="AM8" s="189">
        <f t="shared" si="1"/>
        <v>8.2120582120582153E-2</v>
      </c>
      <c r="AO8" s="211" t="s">
        <v>374</v>
      </c>
      <c r="AP8" s="184">
        <v>115836.20967741935</v>
      </c>
      <c r="AQ8" s="189">
        <f t="shared" si="2"/>
        <v>-0.63876441888538671</v>
      </c>
    </row>
    <row r="9" spans="1:62" ht="16.5" x14ac:dyDescent="0.35">
      <c r="A9" s="229" t="s">
        <v>375</v>
      </c>
      <c r="B9" s="201"/>
      <c r="C9" s="202">
        <v>0</v>
      </c>
      <c r="D9" s="202">
        <v>330000</v>
      </c>
      <c r="E9" s="202">
        <v>210000</v>
      </c>
      <c r="F9" s="202">
        <v>100000</v>
      </c>
      <c r="G9" s="203">
        <v>200000</v>
      </c>
      <c r="H9" s="203">
        <v>150000</v>
      </c>
      <c r="I9" s="203">
        <v>80000</v>
      </c>
      <c r="J9" s="203">
        <v>120000</v>
      </c>
      <c r="K9" s="202">
        <v>160000</v>
      </c>
      <c r="L9" s="202">
        <v>150000</v>
      </c>
      <c r="M9" s="202">
        <v>390000</v>
      </c>
      <c r="N9" s="202">
        <v>170000</v>
      </c>
      <c r="O9" s="202">
        <v>300000</v>
      </c>
      <c r="P9" s="243">
        <v>350000</v>
      </c>
      <c r="Q9" s="228">
        <v>270000</v>
      </c>
      <c r="R9" s="228">
        <v>285000</v>
      </c>
      <c r="S9" s="228">
        <v>450000</v>
      </c>
      <c r="T9" s="202">
        <v>380000</v>
      </c>
      <c r="U9" s="201">
        <v>240000</v>
      </c>
      <c r="V9" s="201">
        <v>415000</v>
      </c>
      <c r="W9" s="201">
        <v>406000</v>
      </c>
      <c r="X9" s="201">
        <v>272000</v>
      </c>
      <c r="Y9" s="244">
        <v>407000</v>
      </c>
      <c r="Z9" s="255">
        <v>361666.66666666669</v>
      </c>
      <c r="AA9" s="255">
        <v>361666.66666666669</v>
      </c>
      <c r="AB9" s="255">
        <v>361666.66666666669</v>
      </c>
      <c r="AC9" s="201">
        <v>361666.66666666669</v>
      </c>
      <c r="AD9" s="201">
        <v>361666.66666666669</v>
      </c>
      <c r="AE9" s="201">
        <v>361666.66666666669</v>
      </c>
      <c r="AF9" s="201">
        <v>361666.66666666669</v>
      </c>
      <c r="AG9" s="201"/>
      <c r="AH9" s="202">
        <v>8366666.6666666688</v>
      </c>
      <c r="AK9" s="195" t="s">
        <v>375</v>
      </c>
      <c r="AL9" s="223">
        <f t="shared" si="0"/>
        <v>361666.66666666669</v>
      </c>
      <c r="AM9" s="189">
        <f t="shared" si="1"/>
        <v>0.1225806451612903</v>
      </c>
      <c r="AO9" s="229" t="s">
        <v>375</v>
      </c>
      <c r="AP9" s="202">
        <v>115836.20967741935</v>
      </c>
      <c r="AQ9" s="189">
        <f t="shared" si="2"/>
        <v>-0.67971554927902478</v>
      </c>
    </row>
    <row r="10" spans="1:62" ht="16.5" x14ac:dyDescent="0.35">
      <c r="A10" s="211" t="s">
        <v>376</v>
      </c>
      <c r="B10" s="201"/>
      <c r="C10" s="202">
        <v>200000</v>
      </c>
      <c r="D10" s="202">
        <v>900000</v>
      </c>
      <c r="E10" s="202">
        <v>130000</v>
      </c>
      <c r="F10" s="202">
        <v>120000</v>
      </c>
      <c r="G10" s="203">
        <v>220000</v>
      </c>
      <c r="H10" s="203">
        <v>160000</v>
      </c>
      <c r="I10" s="203">
        <v>300000</v>
      </c>
      <c r="J10" s="203">
        <v>320000</v>
      </c>
      <c r="K10" s="202">
        <v>460000</v>
      </c>
      <c r="L10" s="202">
        <v>80000</v>
      </c>
      <c r="M10" s="202">
        <v>550000</v>
      </c>
      <c r="N10" s="202">
        <v>360000</v>
      </c>
      <c r="O10" s="202">
        <v>470000</v>
      </c>
      <c r="P10" s="243">
        <v>300000</v>
      </c>
      <c r="Q10" s="228">
        <v>370000</v>
      </c>
      <c r="R10" s="228">
        <v>350000</v>
      </c>
      <c r="S10" s="228">
        <v>180000</v>
      </c>
      <c r="T10" s="202">
        <v>490000</v>
      </c>
      <c r="U10" s="201">
        <v>360000</v>
      </c>
      <c r="V10" s="201">
        <v>275000</v>
      </c>
      <c r="W10" s="201">
        <v>230000</v>
      </c>
      <c r="X10" s="244">
        <v>418000</v>
      </c>
      <c r="Y10" s="244">
        <v>622000</v>
      </c>
      <c r="Z10" s="255">
        <v>423333.33333333331</v>
      </c>
      <c r="AA10" s="255">
        <v>423333.33333333331</v>
      </c>
      <c r="AB10" s="255">
        <v>423333.33333333331</v>
      </c>
      <c r="AC10" s="201">
        <v>423333.33333333331</v>
      </c>
      <c r="AD10" s="201">
        <v>423333.33333333331</v>
      </c>
      <c r="AE10" s="201">
        <v>423333.33333333331</v>
      </c>
      <c r="AF10" s="201">
        <v>423333.33333333331</v>
      </c>
      <c r="AG10" s="201"/>
      <c r="AH10" s="202">
        <v>10828333.333333336</v>
      </c>
      <c r="AK10" s="196" t="s">
        <v>376</v>
      </c>
      <c r="AL10" s="223">
        <f t="shared" si="0"/>
        <v>423333.33333333331</v>
      </c>
      <c r="AM10" s="189">
        <f t="shared" si="1"/>
        <v>-0.45669291338582674</v>
      </c>
      <c r="AO10" s="211" t="s">
        <v>376</v>
      </c>
      <c r="AP10" s="202">
        <v>177971.77419354836</v>
      </c>
      <c r="AQ10" s="189">
        <f>+AP10/AL10-1</f>
        <v>-0.57959423418846834</v>
      </c>
    </row>
    <row r="11" spans="1:62" ht="17.25" thickBot="1" x14ac:dyDescent="0.4">
      <c r="A11" s="210" t="s">
        <v>370</v>
      </c>
      <c r="B11" s="201">
        <v>0</v>
      </c>
      <c r="C11" s="202">
        <v>800000</v>
      </c>
      <c r="D11" s="202">
        <v>600000</v>
      </c>
      <c r="E11" s="202">
        <v>200000</v>
      </c>
      <c r="F11" s="202">
        <v>150000</v>
      </c>
      <c r="G11" s="203">
        <v>380000</v>
      </c>
      <c r="H11" s="203">
        <v>160000</v>
      </c>
      <c r="I11" s="203">
        <v>320000</v>
      </c>
      <c r="J11" s="203">
        <v>450000</v>
      </c>
      <c r="K11" s="202">
        <v>350000</v>
      </c>
      <c r="L11" s="202">
        <v>1100000</v>
      </c>
      <c r="M11" s="202">
        <v>430000</v>
      </c>
      <c r="N11" s="202">
        <v>150000</v>
      </c>
      <c r="O11" s="202">
        <v>400000</v>
      </c>
      <c r="P11" s="243">
        <v>200000</v>
      </c>
      <c r="Q11" s="228">
        <v>400000</v>
      </c>
      <c r="R11" s="228">
        <v>380000</v>
      </c>
      <c r="S11" s="228">
        <v>300000</v>
      </c>
      <c r="T11" s="202">
        <v>450000</v>
      </c>
      <c r="U11" s="201">
        <v>700000</v>
      </c>
      <c r="V11" s="201">
        <v>320000</v>
      </c>
      <c r="W11" s="201">
        <v>933000</v>
      </c>
      <c r="X11" s="244">
        <v>681000</v>
      </c>
      <c r="Y11" s="244">
        <v>373000</v>
      </c>
      <c r="Z11" s="255">
        <v>662333.33333333337</v>
      </c>
      <c r="AA11" s="255">
        <v>662333.33333333337</v>
      </c>
      <c r="AB11" s="255">
        <v>662333.33333333337</v>
      </c>
      <c r="AC11" s="201">
        <v>662333.33333333337</v>
      </c>
      <c r="AD11" s="201">
        <v>662333.33333333337</v>
      </c>
      <c r="AE11" s="201">
        <v>662333.33333333337</v>
      </c>
      <c r="AF11" s="201">
        <v>662333.33333333337</v>
      </c>
      <c r="AG11" s="201"/>
      <c r="AH11" s="202">
        <v>14863333.333333338</v>
      </c>
      <c r="AK11" s="197" t="s">
        <v>370</v>
      </c>
      <c r="AL11" s="223">
        <f t="shared" si="0"/>
        <v>662333.33333333337</v>
      </c>
      <c r="AM11" s="226">
        <f t="shared" si="1"/>
        <v>0.4086562657272268</v>
      </c>
      <c r="AO11" s="210" t="s">
        <v>370</v>
      </c>
      <c r="AP11" s="202">
        <v>178336.20967741933</v>
      </c>
      <c r="AQ11" s="226">
        <f t="shared" si="2"/>
        <v>-0.73074553143821941</v>
      </c>
    </row>
    <row r="12" spans="1:62" ht="15" thickTop="1" x14ac:dyDescent="0.2">
      <c r="A12" s="183" t="s">
        <v>216</v>
      </c>
      <c r="B12" s="184">
        <v>0</v>
      </c>
      <c r="C12" s="184">
        <v>1000000</v>
      </c>
      <c r="D12" s="184">
        <v>2640000</v>
      </c>
      <c r="E12" s="184">
        <v>1110000</v>
      </c>
      <c r="F12" s="184">
        <v>860000</v>
      </c>
      <c r="G12" s="184">
        <v>1060000</v>
      </c>
      <c r="H12" s="184">
        <v>780000</v>
      </c>
      <c r="I12" s="184">
        <v>1300000</v>
      </c>
      <c r="J12" s="184">
        <v>1330000</v>
      </c>
      <c r="K12" s="184">
        <v>1810000</v>
      </c>
      <c r="L12" s="184">
        <v>1980000</v>
      </c>
      <c r="M12" s="184">
        <v>2010000</v>
      </c>
      <c r="N12" s="184">
        <v>1230000</v>
      </c>
      <c r="O12" s="184">
        <v>1820000</v>
      </c>
      <c r="P12" s="184">
        <v>1885000</v>
      </c>
      <c r="Q12" s="184">
        <v>1850000</v>
      </c>
      <c r="R12" s="184">
        <v>2395000</v>
      </c>
      <c r="S12" s="184">
        <v>2060000</v>
      </c>
      <c r="T12" s="184">
        <v>2607100</v>
      </c>
      <c r="U12" s="184">
        <v>2075000</v>
      </c>
      <c r="V12" s="184">
        <v>1939000</v>
      </c>
      <c r="W12" s="184">
        <v>2462000</v>
      </c>
      <c r="X12" s="184">
        <v>2390000</v>
      </c>
      <c r="Y12" s="184">
        <v>2417000</v>
      </c>
      <c r="Z12" s="184">
        <v>2423000</v>
      </c>
      <c r="AA12" s="184">
        <v>2423000</v>
      </c>
      <c r="AB12" s="184">
        <v>2423000</v>
      </c>
      <c r="AC12" s="184">
        <v>2423000</v>
      </c>
      <c r="AD12" s="184">
        <v>2423000</v>
      </c>
      <c r="AE12" s="184">
        <v>2423000</v>
      </c>
      <c r="AF12" s="184">
        <v>2423000</v>
      </c>
      <c r="AG12" s="184">
        <v>655000</v>
      </c>
      <c r="AH12" s="184">
        <v>58626100.000000007</v>
      </c>
      <c r="AK12" s="188" t="s">
        <v>216</v>
      </c>
      <c r="AL12" s="187">
        <f t="shared" ref="AL12" si="3">+AVERAGE(W12:Y12)</f>
        <v>2423000</v>
      </c>
      <c r="AM12" s="189">
        <f>+AVERAGE(AM5:AM11)</f>
        <v>6.123656561278128E-3</v>
      </c>
      <c r="AO12" s="183" t="s">
        <v>216</v>
      </c>
      <c r="AP12" s="184">
        <v>135938.72008324659</v>
      </c>
      <c r="AQ12" s="225">
        <f>+AP12/AL12-1</f>
        <v>-0.94389652493468978</v>
      </c>
    </row>
    <row r="13" spans="1:62" x14ac:dyDescent="0.2">
      <c r="D13" s="189">
        <f>+D12/C12-1</f>
        <v>1.6400000000000001</v>
      </c>
      <c r="E13" s="189">
        <f t="shared" ref="E13:J13" si="4">+E12/D12-1</f>
        <v>-0.57954545454545459</v>
      </c>
      <c r="F13" s="189">
        <f t="shared" si="4"/>
        <v>-0.22522522522522526</v>
      </c>
      <c r="G13" s="189">
        <f t="shared" si="4"/>
        <v>0.23255813953488369</v>
      </c>
      <c r="H13" s="189">
        <f t="shared" si="4"/>
        <v>-0.26415094339622647</v>
      </c>
      <c r="I13" s="189">
        <f t="shared" si="4"/>
        <v>0.66666666666666674</v>
      </c>
      <c r="J13" s="189">
        <f t="shared" si="4"/>
        <v>2.3076923076922995E-2</v>
      </c>
      <c r="K13" s="189">
        <f t="shared" ref="K13:U13" si="5">+K12/J12-1</f>
        <v>0.36090225563909772</v>
      </c>
      <c r="L13" s="189">
        <f t="shared" si="5"/>
        <v>9.3922651933701751E-2</v>
      </c>
      <c r="M13" s="189">
        <f t="shared" si="5"/>
        <v>1.5151515151515138E-2</v>
      </c>
      <c r="N13" s="189">
        <f t="shared" si="5"/>
        <v>-0.38805970149253732</v>
      </c>
      <c r="O13" s="189">
        <f t="shared" si="5"/>
        <v>0.47967479674796754</v>
      </c>
      <c r="P13" s="189">
        <f t="shared" si="5"/>
        <v>3.5714285714285809E-2</v>
      </c>
      <c r="Q13" s="189">
        <f t="shared" si="5"/>
        <v>-1.8567639257294433E-2</v>
      </c>
      <c r="R13" s="189">
        <f t="shared" si="5"/>
        <v>0.29459459459459469</v>
      </c>
      <c r="S13" s="189">
        <f t="shared" si="5"/>
        <v>-0.13987473903966596</v>
      </c>
      <c r="T13" s="189">
        <f t="shared" si="5"/>
        <v>0.26558252427184459</v>
      </c>
      <c r="U13" s="189">
        <f t="shared" si="5"/>
        <v>-0.20409650569598403</v>
      </c>
      <c r="V13" s="189">
        <f t="shared" ref="V13" si="6">+V12/U12-1</f>
        <v>-6.5542168674698753E-2</v>
      </c>
      <c r="W13" s="189">
        <f t="shared" ref="W13" si="7">+W12/V12-1</f>
        <v>0.26972666322846828</v>
      </c>
      <c r="X13" s="189">
        <f t="shared" ref="X13" si="8">+X12/W12-1</f>
        <v>-2.924451665312755E-2</v>
      </c>
      <c r="Y13" s="189">
        <f t="shared" ref="Y13" si="9">+Y12/X12-1</f>
        <v>1.1297071129707126E-2</v>
      </c>
      <c r="Z13" s="189">
        <f t="shared" ref="Z13" si="10">+Z12/Y12-1</f>
        <v>2.4824162184526877E-3</v>
      </c>
      <c r="AA13" s="189">
        <f t="shared" ref="AA13" si="11">+AA12/Z12-1</f>
        <v>0</v>
      </c>
      <c r="AB13" s="189">
        <f t="shared" ref="AB13" si="12">+AB12/AA12-1</f>
        <v>0</v>
      </c>
      <c r="AC13" s="189"/>
    </row>
    <row r="16" spans="1:62" x14ac:dyDescent="0.2">
      <c r="A16" s="185" t="s">
        <v>150</v>
      </c>
      <c r="B16" s="191">
        <v>0</v>
      </c>
      <c r="C16" s="191">
        <v>1</v>
      </c>
      <c r="D16" s="191">
        <v>2</v>
      </c>
      <c r="E16" s="191">
        <v>3</v>
      </c>
      <c r="F16" s="191">
        <v>4</v>
      </c>
      <c r="G16" s="191">
        <v>5</v>
      </c>
      <c r="H16" s="191">
        <v>6</v>
      </c>
      <c r="I16" s="191">
        <v>7</v>
      </c>
      <c r="J16" s="191">
        <v>8</v>
      </c>
      <c r="K16" s="191">
        <v>9</v>
      </c>
      <c r="L16" s="191">
        <v>10</v>
      </c>
      <c r="M16" s="191">
        <v>11</v>
      </c>
      <c r="N16" s="191">
        <v>12</v>
      </c>
      <c r="O16" s="191">
        <v>13</v>
      </c>
      <c r="P16" s="191">
        <v>14</v>
      </c>
      <c r="Q16" s="191">
        <f>+P16+1</f>
        <v>15</v>
      </c>
      <c r="R16" s="191">
        <f t="shared" ref="R16:W16" si="13">+Q16+1</f>
        <v>16</v>
      </c>
      <c r="S16" s="191">
        <f t="shared" si="13"/>
        <v>17</v>
      </c>
      <c r="T16" s="191">
        <f t="shared" si="13"/>
        <v>18</v>
      </c>
      <c r="U16" s="191">
        <f t="shared" si="13"/>
        <v>19</v>
      </c>
      <c r="V16" s="191">
        <f t="shared" si="13"/>
        <v>20</v>
      </c>
      <c r="W16" s="191">
        <f t="shared" si="13"/>
        <v>21</v>
      </c>
    </row>
    <row r="17" spans="1:23" x14ac:dyDescent="0.2">
      <c r="A17" s="194" t="s">
        <v>371</v>
      </c>
      <c r="B17" s="186"/>
      <c r="C17" s="186">
        <v>0</v>
      </c>
      <c r="D17" s="186">
        <v>0</v>
      </c>
      <c r="E17" s="189">
        <f t="shared" ref="E17:E24" si="14">+E5/D5-1</f>
        <v>-0.55000000000000004</v>
      </c>
      <c r="F17" s="189">
        <f t="shared" ref="F17:Q17" si="15">+F5/E5-1</f>
        <v>0.11111111111111116</v>
      </c>
      <c r="G17" s="189">
        <f t="shared" si="15"/>
        <v>-0.7</v>
      </c>
      <c r="H17" s="193">
        <f t="shared" si="15"/>
        <v>1.6666666666666665</v>
      </c>
      <c r="I17" s="193">
        <f t="shared" si="15"/>
        <v>1</v>
      </c>
      <c r="J17" s="193">
        <f t="shared" si="15"/>
        <v>-6.25E-2</v>
      </c>
      <c r="K17" s="193">
        <f t="shared" si="15"/>
        <v>6.6666666666666652E-2</v>
      </c>
      <c r="L17" s="189">
        <f t="shared" si="15"/>
        <v>0</v>
      </c>
      <c r="M17" s="189">
        <f t="shared" si="15"/>
        <v>-0.5</v>
      </c>
      <c r="N17" s="189">
        <f t="shared" si="15"/>
        <v>0.125</v>
      </c>
      <c r="O17" s="189">
        <f t="shared" si="15"/>
        <v>1</v>
      </c>
      <c r="P17" s="189">
        <f t="shared" si="15"/>
        <v>1.0833333333333335</v>
      </c>
      <c r="Q17" s="189">
        <f t="shared" si="15"/>
        <v>-0.46666666666666667</v>
      </c>
      <c r="R17" s="189">
        <f t="shared" ref="R17:R24" si="16">+R5/Q5-1</f>
        <v>0.64999999999999991</v>
      </c>
      <c r="S17" s="189">
        <f t="shared" ref="S17:S24" si="17">+S5/R5-1</f>
        <v>0.1515151515151516</v>
      </c>
      <c r="T17" s="189">
        <f t="shared" ref="T17:T24" si="18">+T5/S5-1</f>
        <v>-0.47368421052631582</v>
      </c>
      <c r="U17" s="189">
        <f t="shared" ref="U17:U24" si="19">+U5/T5-1</f>
        <v>7.4999999999999956E-2</v>
      </c>
      <c r="V17" s="189">
        <f t="shared" ref="V17:V24" si="20">+V5/U5-1</f>
        <v>-0.24651162790697678</v>
      </c>
      <c r="W17" s="189">
        <f t="shared" ref="W17:W24" si="21">+W5/V5-1</f>
        <v>0.41975308641975317</v>
      </c>
    </row>
    <row r="18" spans="1:23" x14ac:dyDescent="0.2">
      <c r="A18" s="194" t="s">
        <v>372</v>
      </c>
      <c r="B18" s="186"/>
      <c r="C18" s="186">
        <v>0</v>
      </c>
      <c r="D18" s="186">
        <v>0</v>
      </c>
      <c r="E18" s="189">
        <f t="shared" si="14"/>
        <v>-0.625</v>
      </c>
      <c r="F18" s="189">
        <f t="shared" ref="F18:Q18" si="22">+F6/E6-1</f>
        <v>0.44444444444444442</v>
      </c>
      <c r="G18" s="189">
        <f t="shared" si="22"/>
        <v>-0.61538461538461542</v>
      </c>
      <c r="H18" s="193">
        <f t="shared" si="22"/>
        <v>1.7999999999999998</v>
      </c>
      <c r="I18" s="193">
        <f t="shared" si="22"/>
        <v>0.14285714285714279</v>
      </c>
      <c r="J18" s="193">
        <f t="shared" si="22"/>
        <v>-0.375</v>
      </c>
      <c r="K18" s="193">
        <f t="shared" si="22"/>
        <v>0.60000000000000009</v>
      </c>
      <c r="L18" s="189">
        <f t="shared" si="22"/>
        <v>-0.25</v>
      </c>
      <c r="M18" s="189">
        <f t="shared" si="22"/>
        <v>0.41666666666666674</v>
      </c>
      <c r="N18" s="189">
        <f t="shared" si="22"/>
        <v>-0.3529411764705882</v>
      </c>
      <c r="O18" s="189">
        <f t="shared" si="22"/>
        <v>0.36363636363636354</v>
      </c>
      <c r="P18" s="189">
        <f t="shared" si="22"/>
        <v>0.1333333333333333</v>
      </c>
      <c r="Q18" s="189">
        <f t="shared" si="22"/>
        <v>0.29411764705882359</v>
      </c>
      <c r="R18" s="189">
        <f t="shared" si="16"/>
        <v>0.81818181818181812</v>
      </c>
      <c r="S18" s="189">
        <f t="shared" si="17"/>
        <v>-0.375</v>
      </c>
      <c r="T18" s="189">
        <f t="shared" si="18"/>
        <v>0.19999999999999996</v>
      </c>
      <c r="U18" s="189">
        <f t="shared" si="19"/>
        <v>-0.16666666666666663</v>
      </c>
      <c r="V18" s="189">
        <f t="shared" si="20"/>
        <v>0.12400000000000011</v>
      </c>
      <c r="W18" s="189">
        <f t="shared" si="21"/>
        <v>-0.22419928825622781</v>
      </c>
    </row>
    <row r="19" spans="1:23" x14ac:dyDescent="0.2">
      <c r="A19" s="194" t="s">
        <v>373</v>
      </c>
      <c r="B19" s="186"/>
      <c r="C19" s="186">
        <v>0</v>
      </c>
      <c r="D19" s="186">
        <v>0</v>
      </c>
      <c r="E19" s="189">
        <f t="shared" si="14"/>
        <v>-0.4642857142857143</v>
      </c>
      <c r="F19" s="189">
        <f t="shared" ref="F19:Q19" si="23">+F7/E7-1</f>
        <v>0.19999999999999996</v>
      </c>
      <c r="G19" s="193">
        <f t="shared" si="23"/>
        <v>-0.66666666666666674</v>
      </c>
      <c r="H19" s="193">
        <f t="shared" si="23"/>
        <v>-0.16666666666666663</v>
      </c>
      <c r="I19" s="193">
        <f t="shared" si="23"/>
        <v>0.60000000000000009</v>
      </c>
      <c r="J19" s="193">
        <f t="shared" si="23"/>
        <v>-0.125</v>
      </c>
      <c r="K19" s="193">
        <f t="shared" si="23"/>
        <v>4.1428571428571432</v>
      </c>
      <c r="L19" s="189">
        <f t="shared" si="23"/>
        <v>-0.30555555555555558</v>
      </c>
      <c r="M19" s="189">
        <f t="shared" si="23"/>
        <v>-4.0000000000000036E-2</v>
      </c>
      <c r="N19" s="189">
        <f t="shared" si="23"/>
        <v>-0.29166666666666663</v>
      </c>
      <c r="O19" s="189">
        <f t="shared" si="23"/>
        <v>-0.17647058823529416</v>
      </c>
      <c r="P19" s="189">
        <f t="shared" si="23"/>
        <v>0.85714285714285721</v>
      </c>
      <c r="Q19" s="189">
        <f t="shared" si="23"/>
        <v>-0.15384615384615385</v>
      </c>
      <c r="R19" s="189">
        <f t="shared" si="16"/>
        <v>0.45454545454545459</v>
      </c>
      <c r="S19" s="189">
        <f t="shared" si="17"/>
        <v>-6.25E-2</v>
      </c>
      <c r="T19" s="189">
        <f t="shared" si="18"/>
        <v>0.26666666666666661</v>
      </c>
      <c r="U19" s="189">
        <f t="shared" si="19"/>
        <v>-0.60526315789473684</v>
      </c>
      <c r="V19" s="189">
        <f t="shared" si="20"/>
        <v>-0.66666666666666674</v>
      </c>
      <c r="W19" s="189">
        <f t="shared" si="21"/>
        <v>0.96</v>
      </c>
    </row>
    <row r="20" spans="1:23" x14ac:dyDescent="0.2">
      <c r="A20" s="216" t="s">
        <v>374</v>
      </c>
      <c r="B20" s="217"/>
      <c r="C20" s="217">
        <v>0</v>
      </c>
      <c r="D20" s="217">
        <v>0</v>
      </c>
      <c r="E20" s="218">
        <f t="shared" si="14"/>
        <v>1.6666666666666665</v>
      </c>
      <c r="F20" s="218">
        <f t="shared" ref="F20:Q20" si="24">+F8/E8-1</f>
        <v>-0.66666666666666674</v>
      </c>
      <c r="G20" s="219">
        <f t="shared" si="24"/>
        <v>0.5</v>
      </c>
      <c r="H20" s="219">
        <f t="shared" si="24"/>
        <v>-0.66666666666666674</v>
      </c>
      <c r="I20" s="219">
        <f t="shared" si="24"/>
        <v>4</v>
      </c>
      <c r="J20" s="219">
        <f t="shared" si="24"/>
        <v>-0.4</v>
      </c>
      <c r="K20" s="219">
        <f t="shared" si="24"/>
        <v>0.33333333333333326</v>
      </c>
      <c r="L20" s="218">
        <f t="shared" si="24"/>
        <v>-0.25</v>
      </c>
      <c r="M20" s="218">
        <f t="shared" si="24"/>
        <v>0.25</v>
      </c>
      <c r="N20" s="218">
        <f t="shared" si="24"/>
        <v>0.19999999999999996</v>
      </c>
      <c r="O20" s="218">
        <f t="shared" si="24"/>
        <v>0</v>
      </c>
      <c r="P20" s="218">
        <f t="shared" si="24"/>
        <v>0.27777777777777768</v>
      </c>
      <c r="Q20" s="218">
        <f t="shared" si="24"/>
        <v>-0.26086956521739135</v>
      </c>
      <c r="R20" s="218">
        <f t="shared" si="16"/>
        <v>0.94117647058823528</v>
      </c>
      <c r="S20" s="218">
        <f t="shared" si="17"/>
        <v>-0.39393939393939392</v>
      </c>
      <c r="T20" s="218">
        <f t="shared" si="18"/>
        <v>1.0354999999999999</v>
      </c>
      <c r="U20" s="218">
        <f t="shared" si="19"/>
        <v>-0.60697617293048389</v>
      </c>
      <c r="V20" s="218">
        <f t="shared" si="20"/>
        <v>1.7250000000000001</v>
      </c>
      <c r="W20" s="218">
        <f t="shared" si="21"/>
        <v>-0.20412844036697253</v>
      </c>
    </row>
    <row r="21" spans="1:23" x14ac:dyDescent="0.2">
      <c r="A21" s="212" t="s">
        <v>375</v>
      </c>
      <c r="B21" s="213"/>
      <c r="C21" s="213">
        <v>0</v>
      </c>
      <c r="D21" s="213">
        <v>0</v>
      </c>
      <c r="E21" s="214">
        <f t="shared" si="14"/>
        <v>-0.36363636363636365</v>
      </c>
      <c r="F21" s="214">
        <f t="shared" ref="F21:Q21" si="25">+F9/E9-1</f>
        <v>-0.52380952380952384</v>
      </c>
      <c r="G21" s="215">
        <f t="shared" si="25"/>
        <v>1</v>
      </c>
      <c r="H21" s="215">
        <f t="shared" si="25"/>
        <v>-0.25</v>
      </c>
      <c r="I21" s="215">
        <f t="shared" si="25"/>
        <v>-0.46666666666666667</v>
      </c>
      <c r="J21" s="215">
        <f t="shared" si="25"/>
        <v>0.5</v>
      </c>
      <c r="K21" s="214">
        <f t="shared" si="25"/>
        <v>0.33333333333333326</v>
      </c>
      <c r="L21" s="214">
        <f t="shared" si="25"/>
        <v>-6.25E-2</v>
      </c>
      <c r="M21" s="214">
        <f t="shared" si="25"/>
        <v>1.6</v>
      </c>
      <c r="N21" s="214">
        <f t="shared" si="25"/>
        <v>-0.5641025641025641</v>
      </c>
      <c r="O21" s="214">
        <f t="shared" si="25"/>
        <v>0.76470588235294112</v>
      </c>
      <c r="P21" s="214">
        <f t="shared" si="25"/>
        <v>0.16666666666666674</v>
      </c>
      <c r="Q21" s="214">
        <f t="shared" si="25"/>
        <v>-0.22857142857142854</v>
      </c>
      <c r="R21" s="214">
        <f t="shared" si="16"/>
        <v>5.555555555555558E-2</v>
      </c>
      <c r="S21" s="214">
        <f t="shared" si="17"/>
        <v>0.57894736842105265</v>
      </c>
      <c r="T21" s="214">
        <f t="shared" si="18"/>
        <v>-0.15555555555555556</v>
      </c>
      <c r="U21" s="214">
        <f t="shared" si="19"/>
        <v>-0.36842105263157898</v>
      </c>
      <c r="V21" s="214">
        <f t="shared" si="20"/>
        <v>0.72916666666666674</v>
      </c>
      <c r="W21" s="214">
        <f t="shared" si="21"/>
        <v>-2.168674698795181E-2</v>
      </c>
    </row>
    <row r="22" spans="1:23" x14ac:dyDescent="0.2">
      <c r="A22" s="196" t="s">
        <v>376</v>
      </c>
      <c r="B22" s="198"/>
      <c r="C22" s="198">
        <v>0</v>
      </c>
      <c r="D22" s="199">
        <f>+D10/C10-1</f>
        <v>3.5</v>
      </c>
      <c r="E22" s="199">
        <f t="shared" si="14"/>
        <v>-0.85555555555555562</v>
      </c>
      <c r="F22" s="199">
        <f t="shared" ref="F22:Q22" si="26">+F10/E10-1</f>
        <v>-7.6923076923076872E-2</v>
      </c>
      <c r="G22" s="200">
        <f t="shared" si="26"/>
        <v>0.83333333333333326</v>
      </c>
      <c r="H22" s="200">
        <f t="shared" si="26"/>
        <v>-0.27272727272727271</v>
      </c>
      <c r="I22" s="200">
        <f t="shared" si="26"/>
        <v>0.875</v>
      </c>
      <c r="J22" s="200">
        <f t="shared" si="26"/>
        <v>6.6666666666666652E-2</v>
      </c>
      <c r="K22" s="199">
        <f t="shared" si="26"/>
        <v>0.4375</v>
      </c>
      <c r="L22" s="199">
        <f t="shared" si="26"/>
        <v>-0.82608695652173914</v>
      </c>
      <c r="M22" s="199">
        <f t="shared" si="26"/>
        <v>5.875</v>
      </c>
      <c r="N22" s="199">
        <f t="shared" si="26"/>
        <v>-0.34545454545454546</v>
      </c>
      <c r="O22" s="199">
        <f t="shared" si="26"/>
        <v>0.30555555555555558</v>
      </c>
      <c r="P22" s="199">
        <f t="shared" si="26"/>
        <v>-0.36170212765957444</v>
      </c>
      <c r="Q22" s="199">
        <f t="shared" si="26"/>
        <v>0.23333333333333339</v>
      </c>
      <c r="R22" s="199">
        <f t="shared" si="16"/>
        <v>-5.4054054054054057E-2</v>
      </c>
      <c r="S22" s="199">
        <f t="shared" si="17"/>
        <v>-0.48571428571428577</v>
      </c>
      <c r="T22" s="199">
        <f t="shared" si="18"/>
        <v>1.7222222222222223</v>
      </c>
      <c r="U22" s="199">
        <f t="shared" si="19"/>
        <v>-0.26530612244897955</v>
      </c>
      <c r="V22" s="199">
        <f t="shared" si="20"/>
        <v>-0.23611111111111116</v>
      </c>
      <c r="W22" s="199">
        <f t="shared" si="21"/>
        <v>-0.16363636363636369</v>
      </c>
    </row>
    <row r="23" spans="1:23" ht="15" thickBot="1" x14ac:dyDescent="0.25">
      <c r="A23" s="197" t="s">
        <v>370</v>
      </c>
      <c r="B23" s="198">
        <v>0</v>
      </c>
      <c r="C23" s="198">
        <v>0</v>
      </c>
      <c r="D23" s="199">
        <f>+D11/C11-1</f>
        <v>-0.25</v>
      </c>
      <c r="E23" s="199">
        <f t="shared" si="14"/>
        <v>-0.66666666666666674</v>
      </c>
      <c r="F23" s="199">
        <f t="shared" ref="F23:Q23" si="27">+F11/E11-1</f>
        <v>-0.25</v>
      </c>
      <c r="G23" s="200">
        <f t="shared" si="27"/>
        <v>1.5333333333333332</v>
      </c>
      <c r="H23" s="200">
        <f t="shared" si="27"/>
        <v>-0.57894736842105265</v>
      </c>
      <c r="I23" s="200">
        <f t="shared" si="27"/>
        <v>1</v>
      </c>
      <c r="J23" s="200">
        <f t="shared" si="27"/>
        <v>0.40625</v>
      </c>
      <c r="K23" s="199">
        <f t="shared" si="27"/>
        <v>-0.22222222222222221</v>
      </c>
      <c r="L23" s="199">
        <f t="shared" si="27"/>
        <v>2.1428571428571428</v>
      </c>
      <c r="M23" s="199">
        <f t="shared" si="27"/>
        <v>-0.60909090909090913</v>
      </c>
      <c r="N23" s="199">
        <f t="shared" si="27"/>
        <v>-0.65116279069767447</v>
      </c>
      <c r="O23" s="199">
        <f t="shared" si="27"/>
        <v>1.6666666666666665</v>
      </c>
      <c r="P23" s="199">
        <f t="shared" si="27"/>
        <v>-0.5</v>
      </c>
      <c r="Q23" s="199">
        <f t="shared" si="27"/>
        <v>1</v>
      </c>
      <c r="R23" s="199">
        <f t="shared" si="16"/>
        <v>-5.0000000000000044E-2</v>
      </c>
      <c r="S23" s="199">
        <f t="shared" si="17"/>
        <v>-0.21052631578947367</v>
      </c>
      <c r="T23" s="199">
        <f t="shared" si="18"/>
        <v>0.5</v>
      </c>
      <c r="U23" s="199">
        <f t="shared" si="19"/>
        <v>0.55555555555555558</v>
      </c>
      <c r="V23" s="199">
        <f t="shared" si="20"/>
        <v>-0.54285714285714293</v>
      </c>
      <c r="W23" s="199">
        <f t="shared" si="21"/>
        <v>1.9156249999999999</v>
      </c>
    </row>
    <row r="24" spans="1:23" ht="15" thickTop="1" x14ac:dyDescent="0.2">
      <c r="A24" s="188" t="s">
        <v>216</v>
      </c>
      <c r="B24" s="187">
        <v>0</v>
      </c>
      <c r="C24" s="187">
        <v>142857.14285714287</v>
      </c>
      <c r="D24" s="190">
        <f>+D12/C12-1</f>
        <v>1.6400000000000001</v>
      </c>
      <c r="E24" s="190">
        <f t="shared" si="14"/>
        <v>-0.57954545454545459</v>
      </c>
      <c r="F24" s="190">
        <f t="shared" ref="F24:Q24" si="28">+F12/E12-1</f>
        <v>-0.22522522522522526</v>
      </c>
      <c r="G24" s="190">
        <f t="shared" si="28"/>
        <v>0.23255813953488369</v>
      </c>
      <c r="H24" s="190">
        <f t="shared" si="28"/>
        <v>-0.26415094339622647</v>
      </c>
      <c r="I24" s="190">
        <f t="shared" si="28"/>
        <v>0.66666666666666674</v>
      </c>
      <c r="J24" s="190">
        <f t="shared" si="28"/>
        <v>2.3076923076922995E-2</v>
      </c>
      <c r="K24" s="190">
        <f t="shared" si="28"/>
        <v>0.36090225563909772</v>
      </c>
      <c r="L24" s="190">
        <f t="shared" si="28"/>
        <v>9.3922651933701751E-2</v>
      </c>
      <c r="M24" s="190">
        <f t="shared" si="28"/>
        <v>1.5151515151515138E-2</v>
      </c>
      <c r="N24" s="190">
        <f t="shared" si="28"/>
        <v>-0.38805970149253732</v>
      </c>
      <c r="O24" s="190">
        <f t="shared" si="28"/>
        <v>0.47967479674796754</v>
      </c>
      <c r="P24" s="190">
        <f t="shared" si="28"/>
        <v>3.5714285714285809E-2</v>
      </c>
      <c r="Q24" s="190">
        <f t="shared" si="28"/>
        <v>-1.8567639257294433E-2</v>
      </c>
      <c r="R24" s="190">
        <f t="shared" si="16"/>
        <v>0.29459459459459469</v>
      </c>
      <c r="S24" s="190">
        <f t="shared" si="17"/>
        <v>-0.13987473903966596</v>
      </c>
      <c r="T24" s="190">
        <f t="shared" si="18"/>
        <v>0.26558252427184459</v>
      </c>
      <c r="U24" s="190">
        <f t="shared" si="19"/>
        <v>-0.20409650569598403</v>
      </c>
      <c r="V24" s="190">
        <f t="shared" si="20"/>
        <v>-6.5542168674698753E-2</v>
      </c>
      <c r="W24" s="190">
        <f t="shared" si="21"/>
        <v>0.26972666322846828</v>
      </c>
    </row>
    <row r="26" spans="1:23" x14ac:dyDescent="0.2">
      <c r="A26" s="185" t="s">
        <v>150</v>
      </c>
      <c r="B26" s="191">
        <v>0</v>
      </c>
      <c r="C26" s="191">
        <v>1</v>
      </c>
      <c r="D26" s="191">
        <v>2</v>
      </c>
      <c r="E26" s="191">
        <v>3</v>
      </c>
      <c r="F26" s="191">
        <v>4</v>
      </c>
      <c r="G26" s="191">
        <v>5</v>
      </c>
      <c r="H26" s="191">
        <v>6</v>
      </c>
      <c r="I26" s="191">
        <v>7</v>
      </c>
      <c r="J26" s="191">
        <v>8</v>
      </c>
      <c r="K26" s="191">
        <v>9</v>
      </c>
      <c r="L26" s="191">
        <v>10</v>
      </c>
      <c r="M26" s="191">
        <v>11</v>
      </c>
      <c r="N26" s="191">
        <v>12</v>
      </c>
      <c r="O26" s="191">
        <v>13</v>
      </c>
      <c r="P26" s="191">
        <v>14</v>
      </c>
      <c r="Q26" s="191">
        <f>+P26+1</f>
        <v>15</v>
      </c>
      <c r="R26" s="191">
        <f t="shared" ref="R26:W26" si="29">+Q26+1</f>
        <v>16</v>
      </c>
      <c r="S26" s="191">
        <f t="shared" si="29"/>
        <v>17</v>
      </c>
      <c r="T26" s="191">
        <f t="shared" si="29"/>
        <v>18</v>
      </c>
      <c r="U26" s="191">
        <f t="shared" si="29"/>
        <v>19</v>
      </c>
      <c r="V26" s="191">
        <f t="shared" si="29"/>
        <v>20</v>
      </c>
      <c r="W26" s="191">
        <f t="shared" si="29"/>
        <v>21</v>
      </c>
    </row>
    <row r="27" spans="1:23" x14ac:dyDescent="0.2">
      <c r="A27" s="194" t="s">
        <v>371</v>
      </c>
      <c r="B27" s="186"/>
      <c r="C27" s="186">
        <v>0</v>
      </c>
      <c r="D27" s="186">
        <v>0</v>
      </c>
      <c r="E27" s="204">
        <f>+E5-D5</f>
        <v>-110000</v>
      </c>
      <c r="F27" s="204">
        <f t="shared" ref="F27:Q27" si="30">+F5-E5</f>
        <v>10000</v>
      </c>
      <c r="G27" s="204">
        <f t="shared" si="30"/>
        <v>-70000</v>
      </c>
      <c r="H27" s="205">
        <f t="shared" si="30"/>
        <v>50000</v>
      </c>
      <c r="I27" s="205">
        <f t="shared" si="30"/>
        <v>80000</v>
      </c>
      <c r="J27" s="205">
        <f t="shared" si="30"/>
        <v>-10000</v>
      </c>
      <c r="K27" s="205">
        <f t="shared" si="30"/>
        <v>10000</v>
      </c>
      <c r="L27" s="204">
        <f t="shared" si="30"/>
        <v>0</v>
      </c>
      <c r="M27" s="204">
        <f t="shared" si="30"/>
        <v>-80000</v>
      </c>
      <c r="N27" s="204">
        <f t="shared" si="30"/>
        <v>10000</v>
      </c>
      <c r="O27" s="204">
        <f t="shared" si="30"/>
        <v>90000</v>
      </c>
      <c r="P27" s="206">
        <f t="shared" si="30"/>
        <v>195000</v>
      </c>
      <c r="Q27" s="206">
        <f t="shared" si="30"/>
        <v>-175000</v>
      </c>
      <c r="R27" s="206">
        <f t="shared" ref="R27:R34" si="31">+R5-Q5</f>
        <v>130000</v>
      </c>
      <c r="S27" s="206">
        <f t="shared" ref="S27:S34" si="32">+S5-R5</f>
        <v>50000</v>
      </c>
      <c r="T27" s="206">
        <f t="shared" ref="T27:T34" si="33">+T5-S5</f>
        <v>-180000</v>
      </c>
      <c r="U27" s="206">
        <f t="shared" ref="U27:U34" si="34">+U5-T5</f>
        <v>15000</v>
      </c>
      <c r="V27" s="206">
        <f t="shared" ref="V27:V34" si="35">+V5-U5</f>
        <v>-53000</v>
      </c>
      <c r="W27" s="206">
        <f t="shared" ref="W27:W34" si="36">+W5-V5</f>
        <v>68000</v>
      </c>
    </row>
    <row r="28" spans="1:23" x14ac:dyDescent="0.2">
      <c r="A28" s="194" t="s">
        <v>372</v>
      </c>
      <c r="B28" s="186"/>
      <c r="C28" s="186">
        <v>0</v>
      </c>
      <c r="D28" s="186">
        <v>0</v>
      </c>
      <c r="E28" s="204">
        <f t="shared" ref="E28:Q28" si="37">+E6-D6</f>
        <v>-150000</v>
      </c>
      <c r="F28" s="204">
        <f t="shared" si="37"/>
        <v>40000</v>
      </c>
      <c r="G28" s="204">
        <f t="shared" si="37"/>
        <v>-80000</v>
      </c>
      <c r="H28" s="205">
        <f t="shared" si="37"/>
        <v>90000</v>
      </c>
      <c r="I28" s="205">
        <f t="shared" si="37"/>
        <v>20000</v>
      </c>
      <c r="J28" s="205">
        <f t="shared" si="37"/>
        <v>-60000</v>
      </c>
      <c r="K28" s="205">
        <f t="shared" si="37"/>
        <v>60000</v>
      </c>
      <c r="L28" s="204">
        <f t="shared" si="37"/>
        <v>-40000</v>
      </c>
      <c r="M28" s="204">
        <f t="shared" si="37"/>
        <v>50000</v>
      </c>
      <c r="N28" s="204">
        <f t="shared" si="37"/>
        <v>-60000</v>
      </c>
      <c r="O28" s="204">
        <f t="shared" si="37"/>
        <v>40000</v>
      </c>
      <c r="P28" s="206">
        <f t="shared" si="37"/>
        <v>20000</v>
      </c>
      <c r="Q28" s="206">
        <f t="shared" si="37"/>
        <v>50000</v>
      </c>
      <c r="R28" s="206">
        <f t="shared" si="31"/>
        <v>180000</v>
      </c>
      <c r="S28" s="206">
        <f t="shared" si="32"/>
        <v>-150000</v>
      </c>
      <c r="T28" s="206">
        <f t="shared" si="33"/>
        <v>50000</v>
      </c>
      <c r="U28" s="206">
        <f t="shared" si="34"/>
        <v>-50000</v>
      </c>
      <c r="V28" s="206">
        <f t="shared" si="35"/>
        <v>31000</v>
      </c>
      <c r="W28" s="206">
        <f t="shared" si="36"/>
        <v>-63000</v>
      </c>
    </row>
    <row r="29" spans="1:23" x14ac:dyDescent="0.2">
      <c r="A29" s="194" t="s">
        <v>373</v>
      </c>
      <c r="B29" s="186"/>
      <c r="C29" s="186">
        <v>0</v>
      </c>
      <c r="D29" s="186">
        <v>0</v>
      </c>
      <c r="E29" s="204">
        <f t="shared" ref="E29:Q29" si="38">+E7-D7</f>
        <v>-130000</v>
      </c>
      <c r="F29" s="204">
        <f t="shared" si="38"/>
        <v>30000</v>
      </c>
      <c r="G29" s="205">
        <f t="shared" si="38"/>
        <v>-120000</v>
      </c>
      <c r="H29" s="205">
        <f t="shared" si="38"/>
        <v>-10000</v>
      </c>
      <c r="I29" s="205">
        <f t="shared" si="38"/>
        <v>30000</v>
      </c>
      <c r="J29" s="205">
        <f t="shared" si="38"/>
        <v>-10000</v>
      </c>
      <c r="K29" s="205">
        <f t="shared" si="38"/>
        <v>290000</v>
      </c>
      <c r="L29" s="204">
        <f t="shared" si="38"/>
        <v>-110000</v>
      </c>
      <c r="M29" s="204">
        <f t="shared" si="38"/>
        <v>-10000</v>
      </c>
      <c r="N29" s="204">
        <f t="shared" si="38"/>
        <v>-70000</v>
      </c>
      <c r="O29" s="204">
        <f t="shared" si="38"/>
        <v>-30000</v>
      </c>
      <c r="P29" s="206">
        <f t="shared" si="38"/>
        <v>120000</v>
      </c>
      <c r="Q29" s="206">
        <f t="shared" si="38"/>
        <v>-40000</v>
      </c>
      <c r="R29" s="206">
        <f t="shared" si="31"/>
        <v>100000</v>
      </c>
      <c r="S29" s="206">
        <f t="shared" si="32"/>
        <v>-20000</v>
      </c>
      <c r="T29" s="206">
        <f t="shared" si="33"/>
        <v>80000</v>
      </c>
      <c r="U29" s="206">
        <f t="shared" si="34"/>
        <v>-230000</v>
      </c>
      <c r="V29" s="206">
        <f t="shared" si="35"/>
        <v>-100000</v>
      </c>
      <c r="W29" s="206">
        <f t="shared" si="36"/>
        <v>48000</v>
      </c>
    </row>
    <row r="30" spans="1:23" x14ac:dyDescent="0.2">
      <c r="A30" s="194" t="s">
        <v>374</v>
      </c>
      <c r="B30" s="186"/>
      <c r="C30" s="186">
        <v>0</v>
      </c>
      <c r="D30" s="186">
        <v>0</v>
      </c>
      <c r="E30" s="204">
        <f t="shared" ref="E30:Q30" si="39">+E8-D8</f>
        <v>150000</v>
      </c>
      <c r="F30" s="204">
        <f t="shared" si="39"/>
        <v>-160000</v>
      </c>
      <c r="G30" s="205">
        <f t="shared" si="39"/>
        <v>40000</v>
      </c>
      <c r="H30" s="205">
        <f t="shared" si="39"/>
        <v>-80000</v>
      </c>
      <c r="I30" s="205">
        <f t="shared" si="39"/>
        <v>160000</v>
      </c>
      <c r="J30" s="205">
        <f t="shared" si="39"/>
        <v>-80000</v>
      </c>
      <c r="K30" s="205">
        <f t="shared" si="39"/>
        <v>40000</v>
      </c>
      <c r="L30" s="204">
        <f t="shared" si="39"/>
        <v>-40000</v>
      </c>
      <c r="M30" s="204">
        <f t="shared" si="39"/>
        <v>30000</v>
      </c>
      <c r="N30" s="204">
        <f t="shared" si="39"/>
        <v>30000</v>
      </c>
      <c r="O30" s="204">
        <f t="shared" si="39"/>
        <v>0</v>
      </c>
      <c r="P30" s="206">
        <f t="shared" si="39"/>
        <v>50000</v>
      </c>
      <c r="Q30" s="206">
        <f t="shared" si="39"/>
        <v>-60000</v>
      </c>
      <c r="R30" s="206">
        <f t="shared" si="31"/>
        <v>160000</v>
      </c>
      <c r="S30" s="206">
        <f t="shared" si="32"/>
        <v>-130000</v>
      </c>
      <c r="T30" s="206">
        <f t="shared" si="33"/>
        <v>207100</v>
      </c>
      <c r="U30" s="206">
        <f t="shared" si="34"/>
        <v>-247100</v>
      </c>
      <c r="V30" s="206">
        <f t="shared" si="35"/>
        <v>276000</v>
      </c>
      <c r="W30" s="206">
        <f t="shared" si="36"/>
        <v>-89000</v>
      </c>
    </row>
    <row r="31" spans="1:23" x14ac:dyDescent="0.2">
      <c r="A31" s="195" t="s">
        <v>375</v>
      </c>
      <c r="B31" s="198"/>
      <c r="C31" s="198">
        <v>0</v>
      </c>
      <c r="D31" s="198">
        <v>0</v>
      </c>
      <c r="E31" s="207">
        <f t="shared" ref="E31:Q31" si="40">+E9-D9</f>
        <v>-120000</v>
      </c>
      <c r="F31" s="207">
        <f t="shared" si="40"/>
        <v>-110000</v>
      </c>
      <c r="G31" s="208">
        <f t="shared" si="40"/>
        <v>100000</v>
      </c>
      <c r="H31" s="208">
        <f t="shared" si="40"/>
        <v>-50000</v>
      </c>
      <c r="I31" s="208">
        <f t="shared" si="40"/>
        <v>-70000</v>
      </c>
      <c r="J31" s="208">
        <f t="shared" si="40"/>
        <v>40000</v>
      </c>
      <c r="K31" s="207">
        <f t="shared" si="40"/>
        <v>40000</v>
      </c>
      <c r="L31" s="207">
        <f t="shared" si="40"/>
        <v>-10000</v>
      </c>
      <c r="M31" s="207">
        <f t="shared" si="40"/>
        <v>240000</v>
      </c>
      <c r="N31" s="207">
        <f t="shared" si="40"/>
        <v>-220000</v>
      </c>
      <c r="O31" s="207">
        <f t="shared" si="40"/>
        <v>130000</v>
      </c>
      <c r="P31" s="209">
        <f t="shared" si="40"/>
        <v>50000</v>
      </c>
      <c r="Q31" s="209">
        <f t="shared" si="40"/>
        <v>-80000</v>
      </c>
      <c r="R31" s="209">
        <f t="shared" si="31"/>
        <v>15000</v>
      </c>
      <c r="S31" s="209">
        <f t="shared" si="32"/>
        <v>165000</v>
      </c>
      <c r="T31" s="209">
        <f t="shared" si="33"/>
        <v>-70000</v>
      </c>
      <c r="U31" s="209">
        <f t="shared" si="34"/>
        <v>-140000</v>
      </c>
      <c r="V31" s="209">
        <f t="shared" si="35"/>
        <v>175000</v>
      </c>
      <c r="W31" s="209">
        <f t="shared" si="36"/>
        <v>-9000</v>
      </c>
    </row>
    <row r="32" spans="1:23" x14ac:dyDescent="0.2">
      <c r="A32" s="196" t="s">
        <v>376</v>
      </c>
      <c r="B32" s="198"/>
      <c r="C32" s="198">
        <v>0</v>
      </c>
      <c r="D32" s="207">
        <f>+D10-C10</f>
        <v>700000</v>
      </c>
      <c r="E32" s="207">
        <f t="shared" ref="E32:Q32" si="41">+E10-D10</f>
        <v>-770000</v>
      </c>
      <c r="F32" s="207">
        <f t="shared" si="41"/>
        <v>-10000</v>
      </c>
      <c r="G32" s="208">
        <f t="shared" si="41"/>
        <v>100000</v>
      </c>
      <c r="H32" s="208">
        <f t="shared" si="41"/>
        <v>-60000</v>
      </c>
      <c r="I32" s="208">
        <f t="shared" si="41"/>
        <v>140000</v>
      </c>
      <c r="J32" s="208">
        <f t="shared" si="41"/>
        <v>20000</v>
      </c>
      <c r="K32" s="207">
        <f t="shared" si="41"/>
        <v>140000</v>
      </c>
      <c r="L32" s="207">
        <f t="shared" si="41"/>
        <v>-380000</v>
      </c>
      <c r="M32" s="207">
        <f t="shared" si="41"/>
        <v>470000</v>
      </c>
      <c r="N32" s="207">
        <f t="shared" si="41"/>
        <v>-190000</v>
      </c>
      <c r="O32" s="207">
        <f t="shared" si="41"/>
        <v>110000</v>
      </c>
      <c r="P32" s="209">
        <f t="shared" si="41"/>
        <v>-170000</v>
      </c>
      <c r="Q32" s="209">
        <f t="shared" si="41"/>
        <v>70000</v>
      </c>
      <c r="R32" s="209">
        <f t="shared" si="31"/>
        <v>-20000</v>
      </c>
      <c r="S32" s="209">
        <f t="shared" si="32"/>
        <v>-170000</v>
      </c>
      <c r="T32" s="209">
        <f t="shared" si="33"/>
        <v>310000</v>
      </c>
      <c r="U32" s="209">
        <f t="shared" si="34"/>
        <v>-130000</v>
      </c>
      <c r="V32" s="209">
        <f t="shared" si="35"/>
        <v>-85000</v>
      </c>
      <c r="W32" s="209">
        <f t="shared" si="36"/>
        <v>-45000</v>
      </c>
    </row>
    <row r="33" spans="1:23" ht="15" thickBot="1" x14ac:dyDescent="0.25">
      <c r="A33" s="197" t="s">
        <v>370</v>
      </c>
      <c r="B33" s="198">
        <v>0</v>
      </c>
      <c r="C33" s="198">
        <v>0</v>
      </c>
      <c r="D33" s="207">
        <f t="shared" ref="D33:O34" si="42">+D11-C11</f>
        <v>-200000</v>
      </c>
      <c r="E33" s="207">
        <f t="shared" ref="E33:Q33" si="43">+E11-D11</f>
        <v>-400000</v>
      </c>
      <c r="F33" s="207">
        <f t="shared" si="43"/>
        <v>-50000</v>
      </c>
      <c r="G33" s="208">
        <f t="shared" si="43"/>
        <v>230000</v>
      </c>
      <c r="H33" s="208">
        <f t="shared" si="43"/>
        <v>-220000</v>
      </c>
      <c r="I33" s="208">
        <f t="shared" si="43"/>
        <v>160000</v>
      </c>
      <c r="J33" s="208">
        <f t="shared" si="43"/>
        <v>130000</v>
      </c>
      <c r="K33" s="207">
        <f t="shared" si="43"/>
        <v>-100000</v>
      </c>
      <c r="L33" s="207">
        <f t="shared" si="43"/>
        <v>750000</v>
      </c>
      <c r="M33" s="207">
        <f t="shared" si="43"/>
        <v>-670000</v>
      </c>
      <c r="N33" s="207">
        <f t="shared" si="43"/>
        <v>-280000</v>
      </c>
      <c r="O33" s="207">
        <f t="shared" si="43"/>
        <v>250000</v>
      </c>
      <c r="P33" s="209">
        <f t="shared" si="43"/>
        <v>-200000</v>
      </c>
      <c r="Q33" s="209">
        <f t="shared" si="43"/>
        <v>200000</v>
      </c>
      <c r="R33" s="209">
        <f t="shared" si="31"/>
        <v>-20000</v>
      </c>
      <c r="S33" s="209">
        <f t="shared" si="32"/>
        <v>-80000</v>
      </c>
      <c r="T33" s="209">
        <f t="shared" si="33"/>
        <v>150000</v>
      </c>
      <c r="U33" s="209">
        <f t="shared" si="34"/>
        <v>250000</v>
      </c>
      <c r="V33" s="209">
        <f t="shared" si="35"/>
        <v>-380000</v>
      </c>
      <c r="W33" s="209">
        <f t="shared" si="36"/>
        <v>613000</v>
      </c>
    </row>
    <row r="34" spans="1:23" ht="15" thickTop="1" x14ac:dyDescent="0.2">
      <c r="A34" s="188" t="s">
        <v>216</v>
      </c>
      <c r="B34" s="220">
        <v>0</v>
      </c>
      <c r="C34" s="220">
        <v>142857.14285714287</v>
      </c>
      <c r="D34" s="221">
        <f t="shared" si="42"/>
        <v>1640000</v>
      </c>
      <c r="E34" s="221">
        <f>+E12-D12</f>
        <v>-1530000</v>
      </c>
      <c r="F34" s="221">
        <f t="shared" si="42"/>
        <v>-250000</v>
      </c>
      <c r="G34" s="221">
        <f t="shared" si="42"/>
        <v>200000</v>
      </c>
      <c r="H34" s="221">
        <f t="shared" si="42"/>
        <v>-280000</v>
      </c>
      <c r="I34" s="221">
        <f t="shared" si="42"/>
        <v>520000</v>
      </c>
      <c r="J34" s="221">
        <f t="shared" si="42"/>
        <v>30000</v>
      </c>
      <c r="K34" s="221">
        <f t="shared" si="42"/>
        <v>480000</v>
      </c>
      <c r="L34" s="221">
        <f t="shared" si="42"/>
        <v>170000</v>
      </c>
      <c r="M34" s="221">
        <f t="shared" si="42"/>
        <v>30000</v>
      </c>
      <c r="N34" s="221">
        <f t="shared" si="42"/>
        <v>-780000</v>
      </c>
      <c r="O34" s="221">
        <f t="shared" si="42"/>
        <v>590000</v>
      </c>
      <c r="P34" s="221">
        <f>+P12-O12</f>
        <v>65000</v>
      </c>
      <c r="Q34" s="221">
        <f>+Q12-P12</f>
        <v>-35000</v>
      </c>
      <c r="R34" s="221">
        <f t="shared" si="31"/>
        <v>545000</v>
      </c>
      <c r="S34" s="221">
        <f t="shared" si="32"/>
        <v>-335000</v>
      </c>
      <c r="T34" s="221">
        <f t="shared" si="33"/>
        <v>547100</v>
      </c>
      <c r="U34" s="221">
        <f t="shared" si="34"/>
        <v>-532100</v>
      </c>
      <c r="V34" s="221">
        <f t="shared" si="35"/>
        <v>-136000</v>
      </c>
      <c r="W34" s="221">
        <f t="shared" si="36"/>
        <v>523000</v>
      </c>
    </row>
  </sheetData>
  <mergeCells count="2">
    <mergeCell ref="AK1:AM1"/>
    <mergeCell ref="AO1:AQ1"/>
  </mergeCells>
  <conditionalFormatting sqref="B17:W20">
    <cfRule type="cellIs" dxfId="13" priority="11" operator="greaterThan">
      <formula>0.5</formula>
    </cfRule>
    <cfRule type="cellIs" dxfId="12" priority="14" operator="lessThan">
      <formula>-0.5</formula>
    </cfRule>
  </conditionalFormatting>
  <conditionalFormatting sqref="B21:W23">
    <cfRule type="cellIs" dxfId="11" priority="12" operator="greaterThan">
      <formula>0.4</formula>
    </cfRule>
    <cfRule type="cellIs" dxfId="10" priority="13" operator="lessThan">
      <formula>-0.4</formula>
    </cfRule>
  </conditionalFormatting>
  <conditionalFormatting sqref="B27:W30">
    <cfRule type="cellIs" dxfId="9" priority="3" operator="greaterThan">
      <formula>0.5</formula>
    </cfRule>
    <cfRule type="cellIs" dxfId="8" priority="6" operator="lessThan">
      <formula>-0.5</formula>
    </cfRule>
  </conditionalFormatting>
  <conditionalFormatting sqref="B31:W33">
    <cfRule type="cellIs" dxfId="7" priority="4" operator="greaterThan">
      <formula>0.4</formula>
    </cfRule>
    <cfRule type="cellIs" dxfId="6" priority="5" operator="lessThan">
      <formula>-0.4</formula>
    </cfRule>
  </conditionalFormatting>
  <conditionalFormatting sqref="D13:AC13">
    <cfRule type="cellIs" dxfId="5" priority="35" operator="greaterThan">
      <formula>0.5</formula>
    </cfRule>
    <cfRule type="cellIs" dxfId="4" priority="36" operator="lessThan">
      <formula>-0.5</formula>
    </cfRule>
  </conditionalFormatting>
  <conditionalFormatting sqref="AM5:AM12">
    <cfRule type="cellIs" dxfId="3" priority="1" operator="greaterThan">
      <formula>0.5</formula>
    </cfRule>
    <cfRule type="cellIs" dxfId="2" priority="2" operator="lessThan">
      <formula>-0.5</formula>
    </cfRule>
  </conditionalFormatting>
  <conditionalFormatting sqref="AQ5:AQ12">
    <cfRule type="cellIs" dxfId="1" priority="27" operator="greaterThan">
      <formula>0.5</formula>
    </cfRule>
    <cfRule type="cellIs" dxfId="0" priority="28" operator="lessThan">
      <formula>-0.5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8"/>
  <sheetViews>
    <sheetView workbookViewId="0">
      <selection activeCell="B5" sqref="B5"/>
    </sheetView>
  </sheetViews>
  <sheetFormatPr baseColWidth="10" defaultRowHeight="14.25" x14ac:dyDescent="0.2"/>
  <sheetData>
    <row r="1" spans="1:2" x14ac:dyDescent="0.2">
      <c r="A1" s="179" t="s">
        <v>150</v>
      </c>
      <c r="B1" s="182"/>
    </row>
    <row r="2" spans="1:2" x14ac:dyDescent="0.2">
      <c r="A2" s="180" t="s">
        <v>370</v>
      </c>
      <c r="B2" t="s">
        <v>345</v>
      </c>
    </row>
    <row r="3" spans="1:2" x14ac:dyDescent="0.2">
      <c r="A3" s="181" t="s">
        <v>371</v>
      </c>
      <c r="B3" t="s">
        <v>311</v>
      </c>
    </row>
    <row r="4" spans="1:2" x14ac:dyDescent="0.2">
      <c r="A4" s="180" t="s">
        <v>372</v>
      </c>
      <c r="B4" t="s">
        <v>311</v>
      </c>
    </row>
    <row r="5" spans="1:2" x14ac:dyDescent="0.2">
      <c r="A5" s="181" t="s">
        <v>373</v>
      </c>
      <c r="B5" t="s">
        <v>311</v>
      </c>
    </row>
    <row r="6" spans="1:2" x14ac:dyDescent="0.2">
      <c r="A6" s="180" t="s">
        <v>374</v>
      </c>
      <c r="B6" t="s">
        <v>311</v>
      </c>
    </row>
    <row r="7" spans="1:2" x14ac:dyDescent="0.2">
      <c r="A7" s="181" t="s">
        <v>375</v>
      </c>
      <c r="B7" t="s">
        <v>313</v>
      </c>
    </row>
    <row r="8" spans="1:2" x14ac:dyDescent="0.2">
      <c r="A8" s="180" t="s">
        <v>376</v>
      </c>
      <c r="B8" t="s">
        <v>312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23"/>
  <sheetViews>
    <sheetView showGridLines="0" topLeftCell="G1" zoomScale="115" zoomScaleNormal="115" workbookViewId="0">
      <selection activeCell="J1" sqref="J1"/>
    </sheetView>
  </sheetViews>
  <sheetFormatPr baseColWidth="10" defaultRowHeight="14.25" x14ac:dyDescent="0.2"/>
  <cols>
    <col min="1" max="1" width="7.75" customWidth="1"/>
    <col min="2" max="3" width="9.375" bestFit="1" customWidth="1"/>
    <col min="4" max="4" width="8" bestFit="1" customWidth="1"/>
    <col min="5" max="5" width="10.5" customWidth="1"/>
    <col min="6" max="6" width="9" customWidth="1"/>
    <col min="7" max="7" width="10.375" customWidth="1"/>
    <col min="8" max="8" width="9.375" bestFit="1" customWidth="1"/>
    <col min="9" max="9" width="15.625" bestFit="1" customWidth="1"/>
    <col min="10" max="10" width="9.75" customWidth="1"/>
    <col min="11" max="16" width="10.125" customWidth="1"/>
    <col min="17" max="17" width="9.875" customWidth="1"/>
    <col min="18" max="18" width="8.75" customWidth="1"/>
    <col min="19" max="19" width="12.125" customWidth="1"/>
    <col min="21" max="21" width="11.5" bestFit="1" customWidth="1"/>
  </cols>
  <sheetData>
    <row r="1" spans="1:26" ht="27" customHeight="1" x14ac:dyDescent="0.2">
      <c r="A1" s="99"/>
      <c r="B1" s="100" t="s">
        <v>333</v>
      </c>
      <c r="C1" s="100" t="s">
        <v>149</v>
      </c>
      <c r="D1" s="100" t="s">
        <v>0</v>
      </c>
      <c r="E1" s="101" t="s">
        <v>316</v>
      </c>
      <c r="F1" s="101" t="s">
        <v>328</v>
      </c>
      <c r="G1" s="101" t="s">
        <v>331</v>
      </c>
      <c r="H1" s="102" t="s">
        <v>317</v>
      </c>
      <c r="I1" s="102" t="s">
        <v>326</v>
      </c>
      <c r="J1" s="102" t="s">
        <v>318</v>
      </c>
      <c r="K1" s="102" t="s">
        <v>332</v>
      </c>
      <c r="L1" s="102" t="s">
        <v>335</v>
      </c>
      <c r="M1" s="119" t="s">
        <v>340</v>
      </c>
      <c r="N1" s="119" t="s">
        <v>341</v>
      </c>
      <c r="O1" s="103" t="s">
        <v>319</v>
      </c>
      <c r="P1" s="103" t="s">
        <v>339</v>
      </c>
      <c r="Q1" s="103" t="s">
        <v>327</v>
      </c>
      <c r="R1" s="103" t="s">
        <v>329</v>
      </c>
      <c r="S1" s="103" t="s">
        <v>336</v>
      </c>
      <c r="T1" s="103" t="s">
        <v>330</v>
      </c>
      <c r="U1" s="103" t="s">
        <v>337</v>
      </c>
    </row>
    <row r="2" spans="1:26" x14ac:dyDescent="0.2">
      <c r="B2" s="106" t="s">
        <v>334</v>
      </c>
      <c r="C2" s="106">
        <v>43624</v>
      </c>
      <c r="D2" s="107" t="str">
        <f t="shared" ref="D2:D9" si="0">+TEXT(C2,"mmmm")</f>
        <v>junio</v>
      </c>
      <c r="E2" s="108">
        <v>1000000</v>
      </c>
      <c r="F2" s="110"/>
      <c r="G2" s="112">
        <f>IFERROR(Opex9[[#This Row],[Arriendo]]/Opex9[[#This Row],[No. Días Arriendo]],0)</f>
        <v>0</v>
      </c>
      <c r="H2" s="108">
        <v>430</v>
      </c>
      <c r="I2" s="110">
        <v>0</v>
      </c>
      <c r="J2" s="122">
        <v>0</v>
      </c>
      <c r="K2" s="113">
        <f>IFERROR(Opex9[[#This Row],[Gas]]/Opex9[[#This Row],[Consumo (m3)]],0)</f>
        <v>0</v>
      </c>
      <c r="L2" s="123">
        <f>IFERROR(Opex9[[#This Row],[Gas]]/Opex9[[#This Row],[No. Días Arriendo]],0)</f>
        <v>0</v>
      </c>
      <c r="M2" s="109"/>
      <c r="N2" s="120">
        <f>IFERROR(Opex9[[#This Row],[Agua]]/Opex9[[#This Row],[No. Días Arriendo]],0)</f>
        <v>0</v>
      </c>
      <c r="O2" s="109"/>
      <c r="P2" s="109"/>
      <c r="Q2" s="110">
        <f t="shared" ref="Q2:Q20" si="1">+X2</f>
        <v>0</v>
      </c>
      <c r="R2" s="110"/>
      <c r="S2" s="109">
        <f>IFERROR(Opex9[[#This Row],[Energia]]/Opex9[[#This Row],[Consumo
(KhW]],0)</f>
        <v>0</v>
      </c>
      <c r="T2" s="111"/>
      <c r="U2" s="126">
        <f>IFERROR(Opex9[[#This Row],[Energia]]/Opex9[[#This Row],[No. Días Arriendo]],0)</f>
        <v>0</v>
      </c>
    </row>
    <row r="3" spans="1:26" x14ac:dyDescent="0.2">
      <c r="B3" s="106" t="s">
        <v>334</v>
      </c>
      <c r="C3" s="106">
        <v>43654</v>
      </c>
      <c r="D3" s="107" t="str">
        <f t="shared" si="0"/>
        <v>julio</v>
      </c>
      <c r="E3" s="108">
        <v>1000000</v>
      </c>
      <c r="F3" s="110"/>
      <c r="G3" s="112">
        <f>IFERROR(Opex9[[#This Row],[Arriendo]]/Opex9[[#This Row],[No. Días Arriendo]],0)</f>
        <v>0</v>
      </c>
      <c r="H3" s="108">
        <v>88870</v>
      </c>
      <c r="I3" s="110">
        <f t="shared" ref="I3:I11" si="2">+F2</f>
        <v>0</v>
      </c>
      <c r="J3" s="122">
        <v>112</v>
      </c>
      <c r="K3" s="113">
        <f>IFERROR(Opex9[[#This Row],[Gas]]/Opex9[[#This Row],[Consumo (m3)]],0)</f>
        <v>793.48214285714289</v>
      </c>
      <c r="L3" s="123">
        <f>IFERROR(Opex9[[#This Row],[Gas]]/Opex9[[#This Row],[No. Días Arriendo]],0)</f>
        <v>0</v>
      </c>
      <c r="M3" s="109"/>
      <c r="N3" s="120">
        <f>IFERROR(Opex9[[#This Row],[Agua]]/Opex9[[#This Row],[No. Días Arriendo]],0)</f>
        <v>0</v>
      </c>
      <c r="O3" s="109"/>
      <c r="P3" s="109"/>
      <c r="Q3" s="110">
        <f t="shared" si="1"/>
        <v>0</v>
      </c>
      <c r="R3" s="110"/>
      <c r="S3" s="109">
        <f>IFERROR(Opex9[[#This Row],[Energia]]/Opex9[[#This Row],[Consumo
(KhW]],0)</f>
        <v>0</v>
      </c>
      <c r="T3" s="111"/>
      <c r="U3" s="126">
        <f>IFERROR(Opex9[[#This Row],[Energia]]/Opex9[[#This Row],[No. Días Arriendo]],0)</f>
        <v>0</v>
      </c>
    </row>
    <row r="4" spans="1:26" x14ac:dyDescent="0.2">
      <c r="B4" s="106" t="s">
        <v>334</v>
      </c>
      <c r="C4" s="106">
        <v>43685</v>
      </c>
      <c r="D4" s="107" t="str">
        <f t="shared" si="0"/>
        <v>agosto</v>
      </c>
      <c r="E4" s="108">
        <v>1000000</v>
      </c>
      <c r="F4" s="110"/>
      <c r="G4" s="112">
        <f>IFERROR(Opex9[[#This Row],[Arriendo]]/Opex9[[#This Row],[No. Días Arriendo]],0)</f>
        <v>0</v>
      </c>
      <c r="H4" s="108">
        <v>201040</v>
      </c>
      <c r="I4" s="110">
        <f t="shared" si="2"/>
        <v>0</v>
      </c>
      <c r="J4" s="122">
        <v>233</v>
      </c>
      <c r="K4" s="113">
        <f>IFERROR(Opex9[[#This Row],[Gas]]/Opex9[[#This Row],[Consumo (m3)]],0)</f>
        <v>862.83261802575112</v>
      </c>
      <c r="L4" s="123">
        <f>IFERROR(Opex9[[#This Row],[Gas]]/Opex9[[#This Row],[No. Días Arriendo]],0)</f>
        <v>0</v>
      </c>
      <c r="M4" s="109"/>
      <c r="N4" s="120">
        <f>IFERROR(Opex9[[#This Row],[Agua]]/Opex9[[#This Row],[No. Días Arriendo]],0)</f>
        <v>0</v>
      </c>
      <c r="O4" s="109"/>
      <c r="P4" s="109"/>
      <c r="Q4" s="110">
        <f t="shared" si="1"/>
        <v>0</v>
      </c>
      <c r="R4" s="110"/>
      <c r="S4" s="109">
        <f>IFERROR(Opex9[[#This Row],[Energia]]/Opex9[[#This Row],[Consumo
(KhW]],0)</f>
        <v>0</v>
      </c>
      <c r="T4" s="111"/>
      <c r="U4" s="126">
        <f>IFERROR(Opex9[[#This Row],[Energia]]/Opex9[[#This Row],[No. Días Arriendo]],0)</f>
        <v>0</v>
      </c>
    </row>
    <row r="5" spans="1:26" x14ac:dyDescent="0.2">
      <c r="B5" s="106" t="s">
        <v>334</v>
      </c>
      <c r="C5" s="106">
        <v>43715</v>
      </c>
      <c r="D5" s="107" t="str">
        <f t="shared" si="0"/>
        <v>septiembre</v>
      </c>
      <c r="E5" s="108">
        <v>1000000</v>
      </c>
      <c r="F5" s="110"/>
      <c r="G5" s="112">
        <f>IFERROR(Opex9[[#This Row],[Arriendo]]/Opex9[[#This Row],[No. Días Arriendo]],0)</f>
        <v>0</v>
      </c>
      <c r="H5" s="108">
        <v>177990</v>
      </c>
      <c r="I5" s="110">
        <f t="shared" si="2"/>
        <v>0</v>
      </c>
      <c r="J5" s="122">
        <v>209</v>
      </c>
      <c r="K5" s="113">
        <f>IFERROR(Opex9[[#This Row],[Gas]]/Opex9[[#This Row],[Consumo (m3)]],0)</f>
        <v>851.62679425837325</v>
      </c>
      <c r="L5" s="123">
        <f>IFERROR(Opex9[[#This Row],[Gas]]/Opex9[[#This Row],[No. Días Arriendo]],0)</f>
        <v>0</v>
      </c>
      <c r="M5" s="109"/>
      <c r="N5" s="120">
        <f>IFERROR(Opex9[[#This Row],[Agua]]/Opex9[[#This Row],[No. Días Arriendo]],0)</f>
        <v>0</v>
      </c>
      <c r="O5" s="109"/>
      <c r="P5" s="109"/>
      <c r="Q5" s="110">
        <f t="shared" si="1"/>
        <v>0</v>
      </c>
      <c r="R5" s="110"/>
      <c r="S5" s="109">
        <f>IFERROR(Opex9[[#This Row],[Energia]]/Opex9[[#This Row],[Consumo
(KhW]],0)</f>
        <v>0</v>
      </c>
      <c r="T5" s="111"/>
      <c r="U5" s="126">
        <f>IFERROR(Opex9[[#This Row],[Energia]]/Opex9[[#This Row],[No. Días Arriendo]],0)</f>
        <v>0</v>
      </c>
    </row>
    <row r="6" spans="1:26" x14ac:dyDescent="0.2">
      <c r="B6" s="106" t="s">
        <v>334</v>
      </c>
      <c r="C6" s="106">
        <v>43745</v>
      </c>
      <c r="D6" s="107" t="str">
        <f t="shared" si="0"/>
        <v>octubre</v>
      </c>
      <c r="E6" s="108">
        <v>1000000</v>
      </c>
      <c r="F6" s="110"/>
      <c r="G6" s="112">
        <f>IFERROR(Opex9[[#This Row],[Arriendo]]/Opex9[[#This Row],[No. Días Arriendo]],0)</f>
        <v>0</v>
      </c>
      <c r="H6" s="108">
        <v>174280</v>
      </c>
      <c r="I6" s="110">
        <f t="shared" si="2"/>
        <v>0</v>
      </c>
      <c r="J6" s="122">
        <v>201</v>
      </c>
      <c r="K6" s="113">
        <f>IFERROR(Opex9[[#This Row],[Gas]]/Opex9[[#This Row],[Consumo (m3)]],0)</f>
        <v>867.06467661691545</v>
      </c>
      <c r="L6" s="123">
        <f>IFERROR(Opex9[[#This Row],[Gas]]/Opex9[[#This Row],[No. Días Arriendo]],0)</f>
        <v>0</v>
      </c>
      <c r="M6" s="109"/>
      <c r="N6" s="120">
        <f>IFERROR(Opex9[[#This Row],[Agua]]/Opex9[[#This Row],[No. Días Arriendo]],0)</f>
        <v>0</v>
      </c>
      <c r="O6" s="109"/>
      <c r="P6" s="109"/>
      <c r="Q6" s="110">
        <f t="shared" si="1"/>
        <v>0</v>
      </c>
      <c r="R6" s="110"/>
      <c r="S6" s="109">
        <f>IFERROR(Opex9[[#This Row],[Energia]]/Opex9[[#This Row],[Consumo
(KhW]],0)</f>
        <v>0</v>
      </c>
      <c r="T6" s="111"/>
      <c r="U6" s="126">
        <f>IFERROR(Opex9[[#This Row],[Energia]]/Opex9[[#This Row],[No. Días Arriendo]],0)</f>
        <v>0</v>
      </c>
    </row>
    <row r="7" spans="1:26" x14ac:dyDescent="0.2">
      <c r="B7" s="106" t="s">
        <v>334</v>
      </c>
      <c r="C7" s="106">
        <v>43777</v>
      </c>
      <c r="D7" s="107" t="str">
        <f t="shared" si="0"/>
        <v>noviembre</v>
      </c>
      <c r="E7" s="108">
        <v>1000000</v>
      </c>
      <c r="F7" s="110"/>
      <c r="G7" s="112">
        <f>IFERROR(Opex9[[#This Row],[Arriendo]]/Opex9[[#This Row],[No. Días Arriendo]],0)</f>
        <v>0</v>
      </c>
      <c r="H7" s="108">
        <v>181790</v>
      </c>
      <c r="I7" s="110">
        <f t="shared" si="2"/>
        <v>0</v>
      </c>
      <c r="J7" s="122">
        <v>201</v>
      </c>
      <c r="K7" s="113">
        <f>IFERROR(Opex9[[#This Row],[Gas]]/Opex9[[#This Row],[Consumo (m3)]],0)</f>
        <v>904.42786069651743</v>
      </c>
      <c r="L7" s="123">
        <f>IFERROR(Opex9[[#This Row],[Gas]]/Opex9[[#This Row],[No. Días Arriendo]],0)</f>
        <v>0</v>
      </c>
      <c r="M7" s="109"/>
      <c r="N7" s="120">
        <f>IFERROR(Opex9[[#This Row],[Agua]]/Opex9[[#This Row],[No. Días Arriendo]],0)</f>
        <v>0</v>
      </c>
      <c r="O7" s="109"/>
      <c r="P7" s="109"/>
      <c r="Q7" s="110">
        <f t="shared" si="1"/>
        <v>0</v>
      </c>
      <c r="R7" s="232">
        <v>805</v>
      </c>
      <c r="S7" s="109">
        <f>IFERROR(Opex9[[#This Row],[Energia]]/Opex9[[#This Row],[Consumo
(KhW]],0)</f>
        <v>0</v>
      </c>
      <c r="T7" s="111"/>
      <c r="U7" s="126">
        <f>IFERROR(Opex9[[#This Row],[Energia]]/Opex9[[#This Row],[No. Días Arriendo]],0)</f>
        <v>0</v>
      </c>
    </row>
    <row r="8" spans="1:26" x14ac:dyDescent="0.2">
      <c r="B8" s="106" t="s">
        <v>334</v>
      </c>
      <c r="C8" s="106">
        <v>43806</v>
      </c>
      <c r="D8" s="107" t="str">
        <f t="shared" si="0"/>
        <v>diciembre</v>
      </c>
      <c r="E8" s="108">
        <v>1000000</v>
      </c>
      <c r="F8" s="110">
        <v>31</v>
      </c>
      <c r="G8" s="112">
        <f>IFERROR(Opex9[[#This Row],[Arriendo]]/Opex9[[#This Row],[No. Días Arriendo]],0)</f>
        <v>32258.064516129034</v>
      </c>
      <c r="H8" s="108">
        <v>161900</v>
      </c>
      <c r="I8" s="110">
        <f t="shared" si="2"/>
        <v>0</v>
      </c>
      <c r="J8" s="122">
        <v>187</v>
      </c>
      <c r="K8" s="113">
        <f>IFERROR(Opex9[[#This Row],[Gas]]/Opex9[[#This Row],[Consumo (m3)]],0)</f>
        <v>865.77540106951869</v>
      </c>
      <c r="L8" s="123">
        <f>IFERROR(Opex9[[#This Row],[Gas]]/Opex9[[#This Row],[No. Días Arriendo]],0)</f>
        <v>5222.5806451612907</v>
      </c>
      <c r="M8" s="109">
        <v>150000</v>
      </c>
      <c r="N8" s="120">
        <f>IFERROR(Opex9[[#This Row],[Agua]]/Opex9[[#This Row],[No. Días Arriendo]],0)</f>
        <v>4838.7096774193551</v>
      </c>
      <c r="O8" s="109">
        <v>0</v>
      </c>
      <c r="P8" s="109"/>
      <c r="Q8" s="110">
        <f t="shared" si="1"/>
        <v>29</v>
      </c>
      <c r="R8" s="232">
        <v>742</v>
      </c>
      <c r="S8" s="109">
        <f>IFERROR(Opex9[[#This Row],[Energia]]/Opex9[[#This Row],[Consumo
(KhW]],0)</f>
        <v>0</v>
      </c>
      <c r="T8" s="104" t="s">
        <v>320</v>
      </c>
      <c r="U8" s="126">
        <f>IFERROR(Opex9[[#This Row],[Energia]]/Opex9[[#This Row],[No. Días Arriendo]],0)</f>
        <v>0</v>
      </c>
      <c r="V8" s="28">
        <v>43790</v>
      </c>
      <c r="W8" s="28">
        <v>43819</v>
      </c>
      <c r="X8" s="98">
        <f t="shared" ref="X8:X20" si="3">+W8-V8</f>
        <v>29</v>
      </c>
      <c r="Z8" s="1">
        <f>+Opex9[[#This Row],[Día Energia]]+Opex9[[#This Row],[Día Gas]]+Opex9[[#This Row],[Día Arriendo]]</f>
        <v>37480.645161290326</v>
      </c>
    </row>
    <row r="9" spans="1:26" x14ac:dyDescent="0.2">
      <c r="B9" s="106" t="s">
        <v>334</v>
      </c>
      <c r="C9" s="106">
        <v>43839</v>
      </c>
      <c r="D9" s="107" t="str">
        <f t="shared" si="0"/>
        <v>enero</v>
      </c>
      <c r="E9" s="108">
        <v>1000000</v>
      </c>
      <c r="F9" s="110">
        <v>31</v>
      </c>
      <c r="G9" s="112">
        <f>IFERROR(Opex9[[#This Row],[Arriendo]]/Opex9[[#This Row],[No. Días Arriendo]],0)</f>
        <v>32258.064516129034</v>
      </c>
      <c r="H9" s="108">
        <v>152570</v>
      </c>
      <c r="I9" s="110">
        <f t="shared" si="2"/>
        <v>31</v>
      </c>
      <c r="J9" s="122">
        <v>168</v>
      </c>
      <c r="K9" s="113">
        <f>IFERROR(Opex9[[#This Row],[Gas]]/Opex9[[#This Row],[Consumo (m3)]],0)</f>
        <v>908.15476190476193</v>
      </c>
      <c r="L9" s="123">
        <f>IFERROR(Opex9[[#This Row],[Gas]]/Opex9[[#This Row],[No. Días Arriendo]],0)</f>
        <v>4921.6129032258068</v>
      </c>
      <c r="M9" s="109">
        <v>150000</v>
      </c>
      <c r="N9" s="120">
        <f>IFERROR(Opex9[[#This Row],[Agua]]/Opex9[[#This Row],[No. Días Arriendo]],0)</f>
        <v>4838.7096774193551</v>
      </c>
      <c r="O9" s="109">
        <v>0</v>
      </c>
      <c r="P9" s="109"/>
      <c r="Q9" s="110">
        <f t="shared" si="1"/>
        <v>33</v>
      </c>
      <c r="R9" s="232">
        <v>775</v>
      </c>
      <c r="S9" s="109">
        <f>IFERROR(Opex9[[#This Row],[Energia]]/Opex9[[#This Row],[Consumo
(KhW]],0)</f>
        <v>0</v>
      </c>
      <c r="T9" s="105" t="s">
        <v>321</v>
      </c>
      <c r="U9" s="126">
        <f>IFERROR(Opex9[[#This Row],[Energia]]/Opex9[[#This Row],[No. Días Arriendo]],0)</f>
        <v>0</v>
      </c>
      <c r="V9" s="28">
        <v>43819</v>
      </c>
      <c r="W9" s="28">
        <v>43852</v>
      </c>
      <c r="X9" s="98">
        <f t="shared" si="3"/>
        <v>33</v>
      </c>
      <c r="Z9" s="1">
        <f>+Opex9[[#This Row],[Día Energia]]+Opex9[[#This Row],[Día Gas]]+Opex9[[#This Row],[Día Arriendo]]</f>
        <v>37179.677419354841</v>
      </c>
    </row>
    <row r="10" spans="1:26" x14ac:dyDescent="0.2">
      <c r="B10" s="106" t="s">
        <v>334</v>
      </c>
      <c r="C10" s="106">
        <v>43868</v>
      </c>
      <c r="D10" s="107" t="str">
        <f>+TEXT(C10,"mmmm")</f>
        <v>febrero</v>
      </c>
      <c r="E10" s="108">
        <v>1000000</v>
      </c>
      <c r="F10" s="110">
        <v>29</v>
      </c>
      <c r="G10" s="112">
        <f>IFERROR(Opex9[[#This Row],[Arriendo]]/Opex9[[#This Row],[No. Días Arriendo]],0)</f>
        <v>34482.758620689652</v>
      </c>
      <c r="H10" s="108">
        <v>155100</v>
      </c>
      <c r="I10" s="110">
        <f t="shared" si="2"/>
        <v>31</v>
      </c>
      <c r="J10" s="122">
        <v>183</v>
      </c>
      <c r="K10" s="113">
        <f>IFERROR(Opex9[[#This Row],[Gas]]/Opex9[[#This Row],[Consumo (m3)]],0)</f>
        <v>847.54098360655735</v>
      </c>
      <c r="L10" s="123">
        <f>IFERROR(Opex9[[#This Row],[Gas]]/Opex9[[#This Row],[No. Días Arriendo]],0)</f>
        <v>5348.2758620689656</v>
      </c>
      <c r="M10" s="109">
        <v>150000</v>
      </c>
      <c r="N10" s="120">
        <f>IFERROR(Opex9[[#This Row],[Agua]]/Opex9[[#This Row],[No. Días Arriendo]],0)</f>
        <v>5172.4137931034484</v>
      </c>
      <c r="O10" s="109">
        <v>0</v>
      </c>
      <c r="P10" s="109"/>
      <c r="Q10" s="110">
        <f t="shared" si="1"/>
        <v>30</v>
      </c>
      <c r="R10" s="232">
        <v>521</v>
      </c>
      <c r="S10" s="109">
        <f>IFERROR(Opex9[[#This Row],[Energia]]/Opex9[[#This Row],[Consumo
(KhW]],0)</f>
        <v>0</v>
      </c>
      <c r="T10" s="104" t="s">
        <v>322</v>
      </c>
      <c r="U10" s="126">
        <f>IFERROR(Opex9[[#This Row],[Energia]]/Opex9[[#This Row],[No. Días Arriendo]],0)</f>
        <v>0</v>
      </c>
      <c r="V10" s="28">
        <v>43851</v>
      </c>
      <c r="W10" s="28">
        <v>43881</v>
      </c>
      <c r="X10" s="98">
        <f t="shared" si="3"/>
        <v>30</v>
      </c>
      <c r="Z10" s="1">
        <f>+Opex9[[#This Row],[Día Energia]]+Opex9[[#This Row],[Día Gas]]+Opex9[[#This Row],[Día Arriendo]]</f>
        <v>39831.034482758616</v>
      </c>
    </row>
    <row r="11" spans="1:26" x14ac:dyDescent="0.2">
      <c r="B11" s="106" t="s">
        <v>334</v>
      </c>
      <c r="C11" s="106">
        <v>43897</v>
      </c>
      <c r="D11" s="107" t="str">
        <f>+TEXT(C11,"mmmm")</f>
        <v>marzo</v>
      </c>
      <c r="E11" s="108">
        <v>1000000</v>
      </c>
      <c r="F11" s="110">
        <v>31</v>
      </c>
      <c r="G11" s="112">
        <f>IFERROR(Opex9[[#This Row],[Arriendo]]/Opex9[[#This Row],[No. Días Arriendo]],0)</f>
        <v>32258.064516129034</v>
      </c>
      <c r="H11" s="108">
        <v>224724</v>
      </c>
      <c r="I11" s="110">
        <f t="shared" si="2"/>
        <v>29</v>
      </c>
      <c r="J11" s="122">
        <v>239</v>
      </c>
      <c r="K11" s="113">
        <f>IFERROR(Opex9[[#This Row],[Gas]]/Opex9[[#This Row],[Consumo (m3)]],0)</f>
        <v>940.26778242677824</v>
      </c>
      <c r="L11" s="123">
        <f>IFERROR(Opex9[[#This Row],[Gas]]/Opex9[[#This Row],[No. Días Arriendo]],0)</f>
        <v>7249.1612903225805</v>
      </c>
      <c r="M11" s="109">
        <v>150000</v>
      </c>
      <c r="N11" s="120">
        <f>IFERROR(Opex9[[#This Row],[Agua]]/Opex9[[#This Row],[No. Días Arriendo]],0)</f>
        <v>4838.7096774193551</v>
      </c>
      <c r="O11" s="109">
        <v>0</v>
      </c>
      <c r="P11" s="109"/>
      <c r="Q11" s="110">
        <f>+X11</f>
        <v>28</v>
      </c>
      <c r="R11" s="232">
        <v>608</v>
      </c>
      <c r="S11" s="109">
        <f>IFERROR(Opex9[[#This Row],[Energia]]/Opex9[[#This Row],[Consumo
(KhW]],0)</f>
        <v>0</v>
      </c>
      <c r="T11" s="105" t="s">
        <v>323</v>
      </c>
      <c r="U11" s="126">
        <f>IFERROR(Opex9[[#This Row],[Energia]]/Opex9[[#This Row],[No. Días Arriendo]],0)</f>
        <v>0</v>
      </c>
      <c r="V11" s="28">
        <v>43881</v>
      </c>
      <c r="W11" s="28">
        <v>43909</v>
      </c>
      <c r="X11" s="98">
        <f t="shared" si="3"/>
        <v>28</v>
      </c>
      <c r="Z11" s="118">
        <f>+Opex9[[#This Row],[Día Energia]]+Opex9[[#This Row],[Día Gas]]+Opex9[[#This Row],[Día Arriendo]]</f>
        <v>39507.225806451614</v>
      </c>
    </row>
    <row r="12" spans="1:26" x14ac:dyDescent="0.2">
      <c r="B12" s="106" t="s">
        <v>334</v>
      </c>
      <c r="C12" s="106">
        <v>43928</v>
      </c>
      <c r="D12" s="107" t="str">
        <f>+TEXT(C12,"mmmm")</f>
        <v>abril</v>
      </c>
      <c r="E12" s="108">
        <v>500000</v>
      </c>
      <c r="F12" s="110">
        <v>30</v>
      </c>
      <c r="G12" s="112">
        <f>IFERROR(Opex9[[#This Row],[Arriendo]]/Opex9[[#This Row],[No. Días Arriendo]],0)</f>
        <v>16666.666666666668</v>
      </c>
      <c r="H12" s="108">
        <v>102730</v>
      </c>
      <c r="I12" s="110">
        <f>+F11</f>
        <v>31</v>
      </c>
      <c r="J12" s="122">
        <v>110</v>
      </c>
      <c r="K12" s="113">
        <f>IFERROR(Opex9[[#This Row],[Gas]]/Opex9[[#This Row],[Consumo (m3)]],0)</f>
        <v>933.90909090909088</v>
      </c>
      <c r="L12" s="123">
        <f>IFERROR(Opex9[[#This Row],[Gas]]/Opex9[[#This Row],[No. Días Arriendo]],0)</f>
        <v>3424.3333333333335</v>
      </c>
      <c r="M12" s="109">
        <v>150000</v>
      </c>
      <c r="N12" s="120">
        <f>IFERROR(Opex9[[#This Row],[Agua]]/Opex9[[#This Row],[No. Días Arriendo]],0)</f>
        <v>5000</v>
      </c>
      <c r="O12" s="109">
        <v>0</v>
      </c>
      <c r="P12" s="109"/>
      <c r="Q12" s="110">
        <f t="shared" si="1"/>
        <v>33</v>
      </c>
      <c r="R12" s="232">
        <v>757</v>
      </c>
      <c r="S12" s="109">
        <f>IFERROR(Opex9[[#This Row],[Energia]]/Opex9[[#This Row],[Consumo
(KhW]],0)</f>
        <v>0</v>
      </c>
      <c r="T12" s="104" t="s">
        <v>324</v>
      </c>
      <c r="U12" s="126">
        <f>IFERROR(Opex9[[#This Row],[Energia]]/Opex9[[#This Row],[No. Días Arriendo]],0)</f>
        <v>0</v>
      </c>
      <c r="V12" s="28">
        <v>43909</v>
      </c>
      <c r="W12" s="28">
        <v>43942</v>
      </c>
      <c r="X12" s="98">
        <f t="shared" si="3"/>
        <v>33</v>
      </c>
      <c r="Z12" s="1">
        <f>+Opex9[[#This Row],[Día Energia]]+Opex9[[#This Row],[Día Gas]]+Opex9[[#This Row],[Día Arriendo]]</f>
        <v>20091</v>
      </c>
    </row>
    <row r="13" spans="1:26" x14ac:dyDescent="0.2">
      <c r="B13" s="106" t="s">
        <v>334</v>
      </c>
      <c r="C13" s="131">
        <v>43959</v>
      </c>
      <c r="D13" s="132" t="str">
        <f>+TEXT(C13,"mmmm")</f>
        <v>mayo</v>
      </c>
      <c r="E13" s="133">
        <v>500000</v>
      </c>
      <c r="F13" s="134">
        <v>31</v>
      </c>
      <c r="G13" s="135">
        <f>IFERROR(Opex9[[#This Row],[Arriendo]]/Opex9[[#This Row],[No. Días Arriendo]],0)</f>
        <v>16129.032258064517</v>
      </c>
      <c r="H13" s="133">
        <v>220770</v>
      </c>
      <c r="I13" s="134">
        <f>+F12</f>
        <v>30</v>
      </c>
      <c r="J13" s="136">
        <v>221</v>
      </c>
      <c r="K13" s="137">
        <f>IFERROR(Opex9[[#This Row],[Gas]]/Opex9[[#This Row],[Consumo (m3)]],0)</f>
        <v>998.95927601809956</v>
      </c>
      <c r="L13" s="138">
        <f>IFERROR(Opex9[[#This Row],[Gas]]/Opex9[[#This Row],[No. Días Arriendo]],0)</f>
        <v>7121.6129032258068</v>
      </c>
      <c r="M13" s="139">
        <v>70000</v>
      </c>
      <c r="N13" s="140">
        <f>IFERROR(Opex9[[#This Row],[Agua]]/Opex9[[#This Row],[No. Días Arriendo]],0)</f>
        <v>2258.0645161290322</v>
      </c>
      <c r="O13" s="139">
        <v>0</v>
      </c>
      <c r="P13" s="139">
        <v>0</v>
      </c>
      <c r="Q13" s="134">
        <f t="shared" si="1"/>
        <v>29</v>
      </c>
      <c r="R13" s="233">
        <v>713</v>
      </c>
      <c r="S13" s="139">
        <f>IFERROR(Opex9[[#This Row],[Energia]]/Opex9[[#This Row],[Consumo
(KhW]],0)</f>
        <v>0</v>
      </c>
      <c r="T13" s="141" t="s">
        <v>325</v>
      </c>
      <c r="U13" s="142">
        <f>IFERROR(Opex9[[#This Row],[Energia]]/Opex9[[#This Row],[No. Días Arriendo]],0)</f>
        <v>0</v>
      </c>
      <c r="V13" s="28">
        <v>43942</v>
      </c>
      <c r="W13" s="28">
        <v>43971</v>
      </c>
      <c r="X13" s="98">
        <f t="shared" si="3"/>
        <v>29</v>
      </c>
      <c r="Z13" s="1">
        <f>+Opex9[[#This Row],[Día Energia]]+Opex9[[#This Row],[Día Gas]]+Opex9[[#This Row],[Día Arriendo]]</f>
        <v>23250.645161290326</v>
      </c>
    </row>
    <row r="14" spans="1:26" x14ac:dyDescent="0.2">
      <c r="B14" s="114" t="s">
        <v>196</v>
      </c>
      <c r="C14" s="114">
        <v>43990</v>
      </c>
      <c r="D14" s="114" t="str">
        <f>+TEXT(C14,"mmmm")</f>
        <v>junio</v>
      </c>
      <c r="E14" s="115">
        <v>500000</v>
      </c>
      <c r="F14" s="121">
        <v>30</v>
      </c>
      <c r="G14" s="112">
        <f>IFERROR(Opex9[[#This Row],[Arriendo]]/Opex9[[#This Row],[No. Días Arriendo]],0)</f>
        <v>16666.666666666668</v>
      </c>
      <c r="H14" s="115">
        <v>234638</v>
      </c>
      <c r="I14" s="116">
        <f>+F13</f>
        <v>31</v>
      </c>
      <c r="J14" s="116">
        <f>+AVERAGE(J11/I11,J12/I12,J13/I13)*Opex9[[#This Row],[No. Días Gas]]</f>
        <v>197.9498084291188</v>
      </c>
      <c r="K14" s="115">
        <f>+AVERAGE(K11:K13)</f>
        <v>957.71204978465619</v>
      </c>
      <c r="L14" s="123">
        <f>IFERROR(Opex9[[#This Row],[Gas]]/Opex9[[#This Row],[No. Días Arriendo]],0)</f>
        <v>7821.2666666666664</v>
      </c>
      <c r="M14" s="115">
        <v>70000</v>
      </c>
      <c r="N14" s="120">
        <f>IFERROR(Opex9[[#This Row],[Agua]]/Opex9[[#This Row],[No. Días Arriendo]],0)</f>
        <v>2333.3333333333335</v>
      </c>
      <c r="O14" s="115">
        <f>'[5]Análisis Energia'!$G$25</f>
        <v>220800</v>
      </c>
      <c r="P14" s="115">
        <f>'[5]Análisis Energia'!$G$24-'[5]Análisis Energia'!$G$25</f>
        <v>109770</v>
      </c>
      <c r="Q14" s="121">
        <f t="shared" si="1"/>
        <v>30</v>
      </c>
      <c r="R14" s="116" t="e">
        <f t="shared" ref="R14:R20" si="4">+AVERAGE($O$11/S11,$O$12/S12,$O$13/S13)</f>
        <v>#DIV/0!</v>
      </c>
      <c r="S14" s="115">
        <f t="shared" ref="S14:S19" si="5">+AVERAGE(S11:S13)</f>
        <v>0</v>
      </c>
      <c r="T14" s="114" t="s">
        <v>338</v>
      </c>
      <c r="U14" s="126">
        <f>IFERROR(Opex9[[#This Row],[Energia]]/Opex9[[#This Row],[No. Días Arriendo]],0)</f>
        <v>7360</v>
      </c>
      <c r="V14" s="28">
        <v>43971</v>
      </c>
      <c r="W14" s="28">
        <v>44001</v>
      </c>
      <c r="X14" s="98">
        <f t="shared" si="3"/>
        <v>30</v>
      </c>
      <c r="Z14" s="1">
        <f>+Opex9[[#This Row],[Día Energia]]+Opex9[[#This Row],[Día Gas]]+Opex9[[#This Row],[Día Arriendo]]</f>
        <v>31847.933333333334</v>
      </c>
    </row>
    <row r="15" spans="1:26" x14ac:dyDescent="0.2">
      <c r="B15" s="114" t="s">
        <v>196</v>
      </c>
      <c r="C15" s="106">
        <v>44020</v>
      </c>
      <c r="D15" s="106" t="str">
        <f t="shared" ref="D15:D20" si="6">+TEXT(C15,"mmmm")</f>
        <v>julio</v>
      </c>
      <c r="E15" s="108">
        <v>500000</v>
      </c>
      <c r="F15" s="122">
        <v>31</v>
      </c>
      <c r="G15" s="112">
        <f>IFERROR(Opex9[[#This Row],[Arriendo]]/Opex9[[#This Row],[No. Días Arriendo]],0)</f>
        <v>16129.032258064517</v>
      </c>
      <c r="H15" s="108">
        <f>+Opex9[[#This Row],[Consumo (m3)]]*Opex9[[#This Row],[Costo prom. Gas]]</f>
        <v>166695.25807223705</v>
      </c>
      <c r="I15" s="122">
        <f t="shared" ref="I15:I20" si="7">+F14</f>
        <v>30</v>
      </c>
      <c r="J15" s="110">
        <f>+AVERAGE(J12/I12,J13/I13,J14/I14)*Opex9[[#This Row],[No. Días Gas]]</f>
        <v>173.00531454702758</v>
      </c>
      <c r="K15" s="108">
        <f t="shared" ref="K15:K20" si="8">+AVERAGE(K12:K14)</f>
        <v>963.52680557061558</v>
      </c>
      <c r="L15" s="123">
        <f>IFERROR(Opex9[[#This Row],[Gas]]/Opex9[[#This Row],[No. Días Arriendo]],0)</f>
        <v>5377.2663894270017</v>
      </c>
      <c r="M15" s="108">
        <v>110000</v>
      </c>
      <c r="N15" s="120">
        <f>IFERROR(Opex9[[#This Row],[Agua]]/Opex9[[#This Row],[No. Días Arriendo]],0)</f>
        <v>3548.3870967741937</v>
      </c>
      <c r="O15" s="108">
        <f>'[5]Análisis Energia'!$G$25</f>
        <v>220800</v>
      </c>
      <c r="P15" s="108">
        <f>'[5]Análisis Energia'!$F$24/2</f>
        <v>367415</v>
      </c>
      <c r="Q15" s="122">
        <f t="shared" si="1"/>
        <v>30</v>
      </c>
      <c r="R15" s="110" t="e">
        <f t="shared" si="4"/>
        <v>#DIV/0!</v>
      </c>
      <c r="S15" s="109">
        <f t="shared" si="5"/>
        <v>0</v>
      </c>
      <c r="T15" s="124" t="s">
        <v>222</v>
      </c>
      <c r="U15" s="126">
        <f>IFERROR(Opex9[[#This Row],[Energia]]/Opex9[[#This Row],[No. Días Arriendo]],0)</f>
        <v>7122.5806451612907</v>
      </c>
      <c r="V15" s="28">
        <f t="shared" ref="V15:V21" si="9">+V14+30</f>
        <v>44001</v>
      </c>
      <c r="W15" s="28">
        <f t="shared" ref="W15:W20" si="10">+V16</f>
        <v>44031</v>
      </c>
      <c r="X15" s="98">
        <f t="shared" si="3"/>
        <v>30</v>
      </c>
      <c r="Z15" s="1">
        <f>+Opex9[[#This Row],[Día Energia]]+Opex9[[#This Row],[Día Gas]]+Opex9[[#This Row],[Día Arriendo]]</f>
        <v>28628.879292652811</v>
      </c>
    </row>
    <row r="16" spans="1:26" x14ac:dyDescent="0.2">
      <c r="B16" s="114" t="s">
        <v>196</v>
      </c>
      <c r="C16" s="114">
        <v>44051</v>
      </c>
      <c r="D16" s="114" t="str">
        <f t="shared" si="6"/>
        <v>agosto</v>
      </c>
      <c r="E16" s="115">
        <v>500000</v>
      </c>
      <c r="F16" s="121">
        <v>31</v>
      </c>
      <c r="G16" s="112">
        <f>IFERROR(Opex9[[#This Row],[Arriendo]]/Opex9[[#This Row],[No. Días Arriendo]],0)</f>
        <v>16129.032258064517</v>
      </c>
      <c r="H16" s="115">
        <f>+Opex9[[#This Row],[Consumo (m3)]]*Opex9[[#This Row],[Costo prom. Gas]]</f>
        <v>196330.96630535743</v>
      </c>
      <c r="I16" s="121">
        <f t="shared" si="7"/>
        <v>31</v>
      </c>
      <c r="J16" s="116">
        <f>+AVERAGE(J13/I13,J14/I14,J15/I15)*Opex9[[#This Row],[No. Días Gas]]</f>
        <v>201.69621115368241</v>
      </c>
      <c r="K16" s="115">
        <f t="shared" si="8"/>
        <v>973.39937712445715</v>
      </c>
      <c r="L16" s="123">
        <f>IFERROR(Opex9[[#This Row],[Gas]]/Opex9[[#This Row],[No. Días Arriendo]],0)</f>
        <v>6333.2569775921756</v>
      </c>
      <c r="M16" s="115">
        <v>110000</v>
      </c>
      <c r="N16" s="120">
        <f>IFERROR(Opex9[[#This Row],[Agua]]/Opex9[[#This Row],[No. Días Arriendo]],0)</f>
        <v>3548.3870967741937</v>
      </c>
      <c r="O16" s="115">
        <f>+O15</f>
        <v>220800</v>
      </c>
      <c r="P16" s="115">
        <f>'[5]Análisis Energia'!$F$24/2</f>
        <v>367415</v>
      </c>
      <c r="Q16" s="121">
        <f t="shared" si="1"/>
        <v>30</v>
      </c>
      <c r="R16" s="116" t="e">
        <f t="shared" si="4"/>
        <v>#DIV/0!</v>
      </c>
      <c r="S16" s="117">
        <f t="shared" si="5"/>
        <v>0</v>
      </c>
      <c r="T16" s="125" t="s">
        <v>222</v>
      </c>
      <c r="U16" s="126">
        <f>IFERROR(Opex9[[#This Row],[Energia]]/Opex9[[#This Row],[No. Días Arriendo]],0)</f>
        <v>7122.5806451612907</v>
      </c>
      <c r="V16" s="28">
        <f t="shared" si="9"/>
        <v>44031</v>
      </c>
      <c r="W16" s="28">
        <f t="shared" si="10"/>
        <v>44061</v>
      </c>
      <c r="X16" s="98">
        <f t="shared" si="3"/>
        <v>30</v>
      </c>
      <c r="Z16" s="1">
        <f>+Opex9[[#This Row],[Día Energia]]+Opex9[[#This Row],[Día Gas]]+Opex9[[#This Row],[Día Arriendo]]</f>
        <v>29584.869880817983</v>
      </c>
    </row>
    <row r="17" spans="2:26" x14ac:dyDescent="0.2">
      <c r="B17" s="114" t="s">
        <v>196</v>
      </c>
      <c r="C17" s="106">
        <v>44082</v>
      </c>
      <c r="D17" s="106" t="str">
        <f t="shared" si="6"/>
        <v>septiembre</v>
      </c>
      <c r="E17" s="108">
        <v>500000</v>
      </c>
      <c r="F17" s="122">
        <v>30</v>
      </c>
      <c r="G17" s="112">
        <f>IFERROR(Opex9[[#This Row],[Arriendo]]/Opex9[[#This Row],[No. Días Arriendo]],0)</f>
        <v>16666.666666666668</v>
      </c>
      <c r="H17" s="108">
        <f>+Opex9[[#This Row],[Consumo (m3)]]*Opex9[[#This Row],[Costo prom. Gas]]</f>
        <v>186034.59691663631</v>
      </c>
      <c r="I17" s="122">
        <f t="shared" si="7"/>
        <v>31</v>
      </c>
      <c r="J17" s="110">
        <f>+AVERAGE(J14/I14,J15/I15,J16/I16)*Opex9[[#This Row],[No. Días Gas]]</f>
        <v>192.80605931602102</v>
      </c>
      <c r="K17" s="108">
        <f t="shared" si="8"/>
        <v>964.87941082657642</v>
      </c>
      <c r="L17" s="123">
        <f>IFERROR(Opex9[[#This Row],[Gas]]/Opex9[[#This Row],[No. Días Arriendo]],0)</f>
        <v>6201.1532305545434</v>
      </c>
      <c r="M17" s="108">
        <v>110000</v>
      </c>
      <c r="N17" s="120">
        <f>IFERROR(Opex9[[#This Row],[Agua]]/Opex9[[#This Row],[No. Días Arriendo]],0)</f>
        <v>3666.6666666666665</v>
      </c>
      <c r="O17" s="108">
        <f>+O16</f>
        <v>220800</v>
      </c>
      <c r="P17" s="108">
        <v>0</v>
      </c>
      <c r="Q17" s="122">
        <f t="shared" si="1"/>
        <v>30</v>
      </c>
      <c r="R17" s="110" t="e">
        <f t="shared" si="4"/>
        <v>#DIV/0!</v>
      </c>
      <c r="S17" s="109">
        <f t="shared" si="5"/>
        <v>0</v>
      </c>
      <c r="T17" s="124" t="s">
        <v>222</v>
      </c>
      <c r="U17" s="126">
        <f>IFERROR(Opex9[[#This Row],[Energia]]/Opex9[[#This Row],[No. Días Arriendo]],0)</f>
        <v>7360</v>
      </c>
      <c r="V17" s="28">
        <f t="shared" si="9"/>
        <v>44061</v>
      </c>
      <c r="W17" s="28">
        <f t="shared" si="10"/>
        <v>44091</v>
      </c>
      <c r="X17" s="98">
        <f t="shared" si="3"/>
        <v>30</v>
      </c>
      <c r="Z17" s="1">
        <f>+Opex9[[#This Row],[Día Energia]]+Opex9[[#This Row],[Día Gas]]+Opex9[[#This Row],[Día Arriendo]]</f>
        <v>30227.819897221212</v>
      </c>
    </row>
    <row r="18" spans="2:26" x14ac:dyDescent="0.2">
      <c r="B18" s="114" t="s">
        <v>196</v>
      </c>
      <c r="C18" s="114">
        <v>44112</v>
      </c>
      <c r="D18" s="114" t="str">
        <f t="shared" si="6"/>
        <v>octubre</v>
      </c>
      <c r="E18" s="115">
        <v>500000</v>
      </c>
      <c r="F18" s="121">
        <v>31</v>
      </c>
      <c r="G18" s="112">
        <f>IFERROR(Opex9[[#This Row],[Arriendo]]/Opex9[[#This Row],[No. Días Arriendo]],0)</f>
        <v>16129.032258064517</v>
      </c>
      <c r="H18" s="115">
        <f>+Opex9[[#This Row],[Consumo (m3)]]*Opex9[[#This Row],[Costo prom. Gas]]</f>
        <v>178874.29507701407</v>
      </c>
      <c r="I18" s="121">
        <f t="shared" si="7"/>
        <v>30</v>
      </c>
      <c r="J18" s="116">
        <f>+AVERAGE(J15/I15,J16/I16,J17/I17)*Opex9[[#This Row],[No. Días Gas]]</f>
        <v>184.92723510805331</v>
      </c>
      <c r="K18" s="115">
        <f t="shared" si="8"/>
        <v>967.26853117388316</v>
      </c>
      <c r="L18" s="123">
        <f>IFERROR(Opex9[[#This Row],[Gas]]/Opex9[[#This Row],[No. Días Arriendo]],0)</f>
        <v>5770.138550871422</v>
      </c>
      <c r="M18" s="115">
        <v>110000</v>
      </c>
      <c r="N18" s="120">
        <f>IFERROR(Opex9[[#This Row],[Agua]]/Opex9[[#This Row],[No. Días Arriendo]],0)</f>
        <v>3548.3870967741937</v>
      </c>
      <c r="O18" s="115">
        <f>+O17</f>
        <v>220800</v>
      </c>
      <c r="P18" s="115">
        <v>0</v>
      </c>
      <c r="Q18" s="121">
        <f t="shared" si="1"/>
        <v>30</v>
      </c>
      <c r="R18" s="116" t="e">
        <f t="shared" si="4"/>
        <v>#DIV/0!</v>
      </c>
      <c r="S18" s="117">
        <f t="shared" si="5"/>
        <v>0</v>
      </c>
      <c r="T18" s="125" t="s">
        <v>222</v>
      </c>
      <c r="U18" s="126">
        <f>IFERROR(Opex9[[#This Row],[Energia]]/Opex9[[#This Row],[No. Días Arriendo]],0)</f>
        <v>7122.5806451612907</v>
      </c>
      <c r="V18" s="28">
        <f t="shared" si="9"/>
        <v>44091</v>
      </c>
      <c r="W18" s="28">
        <f t="shared" si="10"/>
        <v>44121</v>
      </c>
      <c r="X18" s="98">
        <f t="shared" si="3"/>
        <v>30</v>
      </c>
      <c r="Z18" s="1">
        <f>+Opex9[[#This Row],[Día Energia]]+Opex9[[#This Row],[Día Gas]]+Opex9[[#This Row],[Día Arriendo]]</f>
        <v>29021.75145409723</v>
      </c>
    </row>
    <row r="19" spans="2:26" x14ac:dyDescent="0.2">
      <c r="B19" s="114" t="s">
        <v>196</v>
      </c>
      <c r="C19" s="106">
        <v>44143</v>
      </c>
      <c r="D19" s="106" t="str">
        <f t="shared" si="6"/>
        <v>noviembre</v>
      </c>
      <c r="E19" s="108">
        <v>500000</v>
      </c>
      <c r="F19" s="122">
        <v>30</v>
      </c>
      <c r="G19" s="112">
        <f>IFERROR(Opex9[[#This Row],[Arriendo]]/Opex9[[#This Row],[No. Días Arriendo]],0)</f>
        <v>16666.666666666668</v>
      </c>
      <c r="H19" s="108">
        <f>+Opex9[[#This Row],[Consumo (m3)]]*Opex9[[#This Row],[Costo prom. Gas]]</f>
        <v>189052.26010667114</v>
      </c>
      <c r="I19" s="122">
        <f t="shared" si="7"/>
        <v>31</v>
      </c>
      <c r="J19" s="110">
        <f>+AVERAGE(J16/I16,J17/I17,J18/I18)*Opex9[[#This Row],[No. Días Gas]]</f>
        <v>195.19791558267508</v>
      </c>
      <c r="K19" s="108">
        <f t="shared" si="8"/>
        <v>968.51577304163891</v>
      </c>
      <c r="L19" s="123">
        <f>IFERROR(Opex9[[#This Row],[Gas]]/Opex9[[#This Row],[No. Días Arriendo]],0)</f>
        <v>6301.7420035557043</v>
      </c>
      <c r="M19" s="108">
        <v>110000</v>
      </c>
      <c r="N19" s="120">
        <f>IFERROR(Opex9[[#This Row],[Agua]]/Opex9[[#This Row],[No. Días Arriendo]],0)</f>
        <v>3666.6666666666665</v>
      </c>
      <c r="O19" s="108">
        <f>+O18</f>
        <v>220800</v>
      </c>
      <c r="P19" s="108">
        <v>0</v>
      </c>
      <c r="Q19" s="122">
        <f t="shared" si="1"/>
        <v>30</v>
      </c>
      <c r="R19" s="110" t="e">
        <f t="shared" si="4"/>
        <v>#DIV/0!</v>
      </c>
      <c r="S19" s="109">
        <f t="shared" si="5"/>
        <v>0</v>
      </c>
      <c r="T19" s="124" t="s">
        <v>222</v>
      </c>
      <c r="U19" s="126">
        <f>IFERROR(Opex9[[#This Row],[Energia]]/Opex9[[#This Row],[No. Días Arriendo]],0)</f>
        <v>7360</v>
      </c>
      <c r="V19" s="28">
        <f t="shared" si="9"/>
        <v>44121</v>
      </c>
      <c r="W19" s="28">
        <f t="shared" si="10"/>
        <v>44151</v>
      </c>
      <c r="X19" s="98">
        <f t="shared" si="3"/>
        <v>30</v>
      </c>
      <c r="Z19" s="1">
        <f>+Opex9[[#This Row],[Día Energia]]+Opex9[[#This Row],[Día Gas]]+Opex9[[#This Row],[Día Arriendo]]</f>
        <v>30328.408670222372</v>
      </c>
    </row>
    <row r="20" spans="2:26" x14ac:dyDescent="0.2">
      <c r="B20" s="114" t="s">
        <v>196</v>
      </c>
      <c r="C20" s="114">
        <v>44173</v>
      </c>
      <c r="D20" s="114" t="str">
        <f t="shared" si="6"/>
        <v>diciembre</v>
      </c>
      <c r="E20" s="115">
        <v>500000</v>
      </c>
      <c r="F20" s="121">
        <v>31</v>
      </c>
      <c r="G20" s="112">
        <f>IFERROR(Opex9[[#This Row],[Arriendo]]/Opex9[[#This Row],[No. Días Arriendo]],0)</f>
        <v>16129.032258064517</v>
      </c>
      <c r="H20" s="115">
        <f>+Opex9[[#This Row],[Consumo (m3)]]*Opex9[[#This Row],[Costo prom. Gas]]</f>
        <v>180619.47986829127</v>
      </c>
      <c r="I20" s="121">
        <f t="shared" si="7"/>
        <v>30</v>
      </c>
      <c r="J20" s="116">
        <f>+AVERAGE(J17/I17,J18/I18,J19/I19)*Opex9[[#This Row],[No. Días Gas]]</f>
        <v>186.80498425065093</v>
      </c>
      <c r="K20" s="115">
        <f t="shared" si="8"/>
        <v>966.88790501403275</v>
      </c>
      <c r="L20" s="123">
        <f>IFERROR(Opex9[[#This Row],[Gas]]/Opex9[[#This Row],[No. Días Arriendo]],0)</f>
        <v>5826.4348344610089</v>
      </c>
      <c r="M20" s="115">
        <v>110000</v>
      </c>
      <c r="N20" s="120">
        <f>IFERROR(Opex9[[#This Row],[Agua]]/Opex9[[#This Row],[No. Días Arriendo]],0)</f>
        <v>3548.3870967741937</v>
      </c>
      <c r="O20" s="115">
        <f>+O19</f>
        <v>220800</v>
      </c>
      <c r="P20" s="115">
        <f>'[4]Radicado Energia'!$C37</f>
        <v>0</v>
      </c>
      <c r="Q20" s="121">
        <f t="shared" si="1"/>
        <v>30</v>
      </c>
      <c r="R20" s="116" t="e">
        <f t="shared" si="4"/>
        <v>#DIV/0!</v>
      </c>
      <c r="S20" s="117">
        <f>+AVERAGE(S17:S19)</f>
        <v>0</v>
      </c>
      <c r="T20" s="125" t="s">
        <v>222</v>
      </c>
      <c r="U20" s="126">
        <f>IFERROR(Opex9[[#This Row],[Energia]]/Opex9[[#This Row],[No. Días Arriendo]],0)</f>
        <v>7122.5806451612907</v>
      </c>
      <c r="V20" s="28">
        <f t="shared" si="9"/>
        <v>44151</v>
      </c>
      <c r="W20" s="28">
        <f t="shared" si="10"/>
        <v>44181</v>
      </c>
      <c r="X20" s="98">
        <f t="shared" si="3"/>
        <v>30</v>
      </c>
      <c r="Z20" s="1">
        <f>+Opex9[[#This Row],[Día Energia]]+Opex9[[#This Row],[Día Gas]]+Opex9[[#This Row],[Día Arriendo]]</f>
        <v>29078.047737686815</v>
      </c>
    </row>
    <row r="21" spans="2:26" x14ac:dyDescent="0.2">
      <c r="V21" s="28">
        <f t="shared" si="9"/>
        <v>44181</v>
      </c>
      <c r="W21" s="28"/>
    </row>
    <row r="23" spans="2:26" x14ac:dyDescent="0.2">
      <c r="H23" s="147" t="s">
        <v>347</v>
      </c>
      <c r="I23" s="147">
        <v>240000</v>
      </c>
      <c r="J23" s="148">
        <f>20000*5</f>
        <v>100000</v>
      </c>
      <c r="K23" s="148">
        <f>+J23*4</f>
        <v>400000</v>
      </c>
      <c r="P23" s="230"/>
    </row>
  </sheetData>
  <conditionalFormatting sqref="K2:K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8:S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verticalDpi="300" r:id="rId1"/>
  <drawing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topLeftCell="A7" workbookViewId="0">
      <selection activeCell="G20" sqref="G20"/>
    </sheetView>
  </sheetViews>
  <sheetFormatPr baseColWidth="10" defaultRowHeight="14.25" x14ac:dyDescent="0.2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showGridLines="0" workbookViewId="0">
      <selection activeCell="A4" sqref="A4"/>
    </sheetView>
  </sheetViews>
  <sheetFormatPr baseColWidth="10" defaultRowHeight="14.25" x14ac:dyDescent="0.2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5:D12"/>
  <sheetViews>
    <sheetView showGridLines="0" workbookViewId="0">
      <selection activeCell="C13" sqref="C13"/>
    </sheetView>
  </sheetViews>
  <sheetFormatPr baseColWidth="10" defaultRowHeight="14.25" x14ac:dyDescent="0.2"/>
  <cols>
    <col min="3" max="3" width="37.25" bestFit="1" customWidth="1"/>
  </cols>
  <sheetData>
    <row r="5" spans="2:4" x14ac:dyDescent="0.2">
      <c r="C5" s="78" t="s">
        <v>233</v>
      </c>
      <c r="D5" t="s">
        <v>232</v>
      </c>
    </row>
    <row r="6" spans="2:4" x14ac:dyDescent="0.2">
      <c r="C6" t="s">
        <v>235</v>
      </c>
      <c r="D6" t="s">
        <v>234</v>
      </c>
    </row>
    <row r="7" spans="2:4" x14ac:dyDescent="0.2">
      <c r="B7" t="s">
        <v>248</v>
      </c>
      <c r="C7" t="s">
        <v>247</v>
      </c>
      <c r="D7" t="s">
        <v>246</v>
      </c>
    </row>
    <row r="8" spans="2:4" x14ac:dyDescent="0.2">
      <c r="C8" t="s">
        <v>256</v>
      </c>
      <c r="D8" s="3" t="s">
        <v>255</v>
      </c>
    </row>
    <row r="10" spans="2:4" x14ac:dyDescent="0.2">
      <c r="D10" s="79" t="s">
        <v>236</v>
      </c>
    </row>
    <row r="12" spans="2:4" x14ac:dyDescent="0.2">
      <c r="C12" t="s">
        <v>258</v>
      </c>
      <c r="D12" s="3" t="s">
        <v>257</v>
      </c>
    </row>
  </sheetData>
  <hyperlinks>
    <hyperlink ref="D8" r:id="rId1" location="/buscar-inscritos" display="https://linea.ccb.org.co/CertificadosElectronicosR/Index.html - /buscar-inscritos" xr:uid="{00000000-0004-0000-1100-000000000000}"/>
    <hyperlink ref="D12" r:id="rId2" xr:uid="{00000000-0004-0000-1100-000001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K7"/>
  <sheetViews>
    <sheetView showGridLines="0" zoomScale="25" zoomScaleNormal="25" workbookViewId="0">
      <selection activeCell="U5" sqref="U5"/>
    </sheetView>
  </sheetViews>
  <sheetFormatPr baseColWidth="10" defaultRowHeight="14.25" x14ac:dyDescent="0.2"/>
  <sheetData>
    <row r="1" spans="2:11" x14ac:dyDescent="0.2">
      <c r="B1" t="s">
        <v>237</v>
      </c>
      <c r="F1" t="s">
        <v>240</v>
      </c>
    </row>
    <row r="2" spans="2:11" x14ac:dyDescent="0.2">
      <c r="B2" s="80" t="s">
        <v>238</v>
      </c>
      <c r="C2" s="80"/>
      <c r="D2" s="80"/>
      <c r="E2" s="80"/>
    </row>
    <row r="3" spans="2:11" x14ac:dyDescent="0.2">
      <c r="B3" s="81" t="s">
        <v>243</v>
      </c>
      <c r="C3" s="81"/>
      <c r="D3" s="81"/>
      <c r="E3" s="81"/>
      <c r="F3" s="81"/>
      <c r="G3" s="81"/>
    </row>
    <row r="4" spans="2:11" x14ac:dyDescent="0.2">
      <c r="B4" s="81" t="s">
        <v>249</v>
      </c>
      <c r="C4" s="81"/>
      <c r="D4" s="81"/>
      <c r="E4" s="81"/>
      <c r="F4" s="81"/>
      <c r="G4" s="81"/>
    </row>
    <row r="5" spans="2:11" x14ac:dyDescent="0.2">
      <c r="B5" s="82" t="s">
        <v>250</v>
      </c>
      <c r="C5" s="82"/>
      <c r="D5" s="82"/>
      <c r="E5" s="82"/>
      <c r="F5" s="82"/>
      <c r="G5" s="82"/>
      <c r="H5" s="82"/>
      <c r="K5" s="79" t="s">
        <v>236</v>
      </c>
    </row>
    <row r="6" spans="2:11" x14ac:dyDescent="0.2">
      <c r="B6" t="s">
        <v>239</v>
      </c>
    </row>
    <row r="7" spans="2:11" x14ac:dyDescent="0.2">
      <c r="B7" s="80" t="s">
        <v>241</v>
      </c>
      <c r="C7" s="80"/>
      <c r="D7" s="80"/>
      <c r="E7" s="80"/>
      <c r="F7" t="s">
        <v>242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7"/>
  <dimension ref="A1:I45"/>
  <sheetViews>
    <sheetView topLeftCell="D1" workbookViewId="0">
      <selection activeCell="G1" sqref="G1"/>
    </sheetView>
  </sheetViews>
  <sheetFormatPr baseColWidth="10" defaultRowHeight="14.25" x14ac:dyDescent="0.2"/>
  <cols>
    <col min="1" max="1" width="10.375" customWidth="1"/>
    <col min="2" max="2" width="13.75" customWidth="1"/>
    <col min="3" max="3" width="13.75" style="7" customWidth="1"/>
    <col min="4" max="4" width="33.625" customWidth="1"/>
    <col min="5" max="5" width="40.5" customWidth="1"/>
    <col min="6" max="6" width="34.75" customWidth="1"/>
    <col min="7" max="7" width="33.625" customWidth="1"/>
    <col min="8" max="8" width="149" customWidth="1"/>
  </cols>
  <sheetData>
    <row r="1" spans="1:9" x14ac:dyDescent="0.2">
      <c r="A1" s="6" t="s">
        <v>3</v>
      </c>
      <c r="B1" s="4" t="s">
        <v>1</v>
      </c>
      <c r="C1" s="6" t="s">
        <v>2</v>
      </c>
      <c r="D1" s="4"/>
      <c r="G1" s="3" t="s">
        <v>105</v>
      </c>
    </row>
    <row r="2" spans="1:9" x14ac:dyDescent="0.2">
      <c r="A2" s="7">
        <v>3</v>
      </c>
      <c r="B2" s="4">
        <f>($H$3+250000)*A2</f>
        <v>3234348</v>
      </c>
      <c r="C2" s="7">
        <v>80</v>
      </c>
      <c r="D2" s="4">
        <f>+C2*$H$3</f>
        <v>66249280</v>
      </c>
      <c r="F2" s="5">
        <f>+B2/D2</f>
        <v>4.8820877751426128E-2</v>
      </c>
      <c r="H2" s="6" t="s">
        <v>2</v>
      </c>
    </row>
    <row r="3" spans="1:9" x14ac:dyDescent="0.2">
      <c r="A3" s="7">
        <v>5</v>
      </c>
      <c r="B3" s="4">
        <f>($H$3+250000)*A3</f>
        <v>5390580</v>
      </c>
      <c r="C3" s="7">
        <v>150</v>
      </c>
      <c r="D3" s="4">
        <f>+C3*$H$3</f>
        <v>124217400</v>
      </c>
      <c r="F3" s="5">
        <f>+B3/D3</f>
        <v>4.3396335779045447E-2</v>
      </c>
      <c r="H3" s="4">
        <v>828116</v>
      </c>
    </row>
    <row r="4" spans="1:9" x14ac:dyDescent="0.2">
      <c r="A4" s="7">
        <v>6</v>
      </c>
      <c r="B4" s="4">
        <f>($H$3+250000)*A4</f>
        <v>6468696</v>
      </c>
      <c r="C4" s="7">
        <v>180</v>
      </c>
      <c r="D4" s="4">
        <f>+C4*$H$3</f>
        <v>149060880</v>
      </c>
      <c r="F4" s="5">
        <f>+B4/D4</f>
        <v>4.3396335779045447E-2</v>
      </c>
      <c r="H4" t="s">
        <v>104</v>
      </c>
    </row>
    <row r="6" spans="1:9" x14ac:dyDescent="0.2">
      <c r="A6" t="s">
        <v>103</v>
      </c>
      <c r="B6" t="s">
        <v>4</v>
      </c>
      <c r="C6" t="s">
        <v>6</v>
      </c>
      <c r="D6" t="s">
        <v>23</v>
      </c>
      <c r="E6" t="s">
        <v>42</v>
      </c>
      <c r="F6" t="s">
        <v>44</v>
      </c>
      <c r="G6" t="s">
        <v>63</v>
      </c>
      <c r="H6" s="9" t="s">
        <v>102</v>
      </c>
    </row>
    <row r="7" spans="1:9" x14ac:dyDescent="0.2">
      <c r="A7">
        <v>1</v>
      </c>
      <c r="B7" t="s">
        <v>5</v>
      </c>
      <c r="C7" t="s">
        <v>98</v>
      </c>
      <c r="D7" t="s">
        <v>99</v>
      </c>
      <c r="E7" t="s">
        <v>43</v>
      </c>
      <c r="F7" t="s">
        <v>100</v>
      </c>
      <c r="G7" t="s">
        <v>101</v>
      </c>
    </row>
    <row r="8" spans="1:9" x14ac:dyDescent="0.2">
      <c r="A8">
        <f t="shared" ref="A8:A25" si="0">+A7+1</f>
        <v>2</v>
      </c>
      <c r="B8" t="s">
        <v>5</v>
      </c>
      <c r="C8" t="s">
        <v>7</v>
      </c>
      <c r="D8" t="s">
        <v>24</v>
      </c>
      <c r="E8" t="s">
        <v>43</v>
      </c>
      <c r="F8" t="s">
        <v>45</v>
      </c>
      <c r="G8" t="s">
        <v>64</v>
      </c>
      <c r="H8" s="9" t="s">
        <v>80</v>
      </c>
      <c r="I8" s="8"/>
    </row>
    <row r="9" spans="1:9" x14ac:dyDescent="0.2">
      <c r="A9">
        <f t="shared" si="0"/>
        <v>3</v>
      </c>
      <c r="B9" t="s">
        <v>5</v>
      </c>
      <c r="C9" t="s">
        <v>8</v>
      </c>
      <c r="D9" t="s">
        <v>25</v>
      </c>
      <c r="E9" t="s">
        <v>43</v>
      </c>
      <c r="F9" t="s">
        <v>46</v>
      </c>
      <c r="G9" t="s">
        <v>65</v>
      </c>
      <c r="H9" s="9" t="s">
        <v>81</v>
      </c>
    </row>
    <row r="10" spans="1:9" x14ac:dyDescent="0.2">
      <c r="A10">
        <f t="shared" si="0"/>
        <v>4</v>
      </c>
      <c r="B10" t="s">
        <v>5</v>
      </c>
      <c r="C10" t="s">
        <v>9</v>
      </c>
      <c r="D10" t="s">
        <v>26</v>
      </c>
      <c r="E10" t="s">
        <v>43</v>
      </c>
      <c r="F10" t="s">
        <v>47</v>
      </c>
      <c r="G10" t="s">
        <v>66</v>
      </c>
      <c r="H10" s="9" t="s">
        <v>82</v>
      </c>
    </row>
    <row r="11" spans="1:9" x14ac:dyDescent="0.2">
      <c r="A11">
        <f t="shared" si="0"/>
        <v>5</v>
      </c>
      <c r="B11" t="s">
        <v>5</v>
      </c>
      <c r="C11" t="s">
        <v>10</v>
      </c>
      <c r="D11" t="s">
        <v>27</v>
      </c>
      <c r="E11" t="s">
        <v>43</v>
      </c>
      <c r="F11" t="s">
        <v>48</v>
      </c>
      <c r="G11" t="s">
        <v>67</v>
      </c>
      <c r="H11" s="9" t="s">
        <v>83</v>
      </c>
    </row>
    <row r="12" spans="1:9" x14ac:dyDescent="0.2">
      <c r="A12">
        <f t="shared" si="0"/>
        <v>6</v>
      </c>
      <c r="B12" t="s">
        <v>5</v>
      </c>
      <c r="C12" t="s">
        <v>11</v>
      </c>
      <c r="D12" t="s">
        <v>28</v>
      </c>
      <c r="E12" t="s">
        <v>43</v>
      </c>
      <c r="F12" t="s">
        <v>49</v>
      </c>
      <c r="G12" t="s">
        <v>68</v>
      </c>
      <c r="H12" s="9" t="s">
        <v>84</v>
      </c>
    </row>
    <row r="13" spans="1:9" x14ac:dyDescent="0.2">
      <c r="A13">
        <f t="shared" si="0"/>
        <v>7</v>
      </c>
      <c r="B13" t="s">
        <v>5</v>
      </c>
      <c r="C13" t="s">
        <v>12</v>
      </c>
      <c r="D13" t="s">
        <v>29</v>
      </c>
      <c r="E13" t="s">
        <v>43</v>
      </c>
      <c r="F13" t="s">
        <v>50</v>
      </c>
      <c r="G13" t="s">
        <v>69</v>
      </c>
      <c r="H13" t="s">
        <v>85</v>
      </c>
    </row>
    <row r="14" spans="1:9" x14ac:dyDescent="0.2">
      <c r="A14">
        <f t="shared" si="0"/>
        <v>8</v>
      </c>
      <c r="B14" t="s">
        <v>5</v>
      </c>
      <c r="C14" t="s">
        <v>13</v>
      </c>
      <c r="D14" t="s">
        <v>30</v>
      </c>
      <c r="E14" t="s">
        <v>43</v>
      </c>
      <c r="F14" t="s">
        <v>51</v>
      </c>
      <c r="G14" t="s">
        <v>70</v>
      </c>
      <c r="H14" t="s">
        <v>86</v>
      </c>
    </row>
    <row r="15" spans="1:9" x14ac:dyDescent="0.2">
      <c r="A15">
        <f t="shared" si="0"/>
        <v>9</v>
      </c>
      <c r="B15" t="s">
        <v>5</v>
      </c>
      <c r="C15" t="s">
        <v>14</v>
      </c>
      <c r="D15" t="s">
        <v>31</v>
      </c>
      <c r="E15" t="s">
        <v>43</v>
      </c>
      <c r="F15" t="s">
        <v>52</v>
      </c>
      <c r="G15" t="s">
        <v>71</v>
      </c>
      <c r="H15" t="s">
        <v>87</v>
      </c>
    </row>
    <row r="16" spans="1:9" x14ac:dyDescent="0.2">
      <c r="A16">
        <f t="shared" si="0"/>
        <v>10</v>
      </c>
      <c r="B16" t="s">
        <v>5</v>
      </c>
      <c r="C16" t="s">
        <v>15</v>
      </c>
      <c r="D16" t="s">
        <v>32</v>
      </c>
      <c r="E16" t="s">
        <v>43</v>
      </c>
      <c r="F16" t="s">
        <v>53</v>
      </c>
      <c r="G16" t="s">
        <v>72</v>
      </c>
      <c r="H16" t="s">
        <v>88</v>
      </c>
    </row>
    <row r="17" spans="1:8" x14ac:dyDescent="0.2">
      <c r="A17">
        <f t="shared" si="0"/>
        <v>11</v>
      </c>
      <c r="B17" t="s">
        <v>5</v>
      </c>
      <c r="C17" t="s">
        <v>12</v>
      </c>
      <c r="D17" t="s">
        <v>33</v>
      </c>
      <c r="E17" t="s">
        <v>43</v>
      </c>
      <c r="F17" t="s">
        <v>54</v>
      </c>
      <c r="G17" t="s">
        <v>73</v>
      </c>
      <c r="H17" t="s">
        <v>89</v>
      </c>
    </row>
    <row r="18" spans="1:8" x14ac:dyDescent="0.2">
      <c r="A18">
        <f t="shared" si="0"/>
        <v>12</v>
      </c>
      <c r="B18" t="s">
        <v>5</v>
      </c>
      <c r="C18" t="s">
        <v>10</v>
      </c>
      <c r="D18" t="s">
        <v>34</v>
      </c>
      <c r="E18" t="s">
        <v>43</v>
      </c>
      <c r="F18" t="s">
        <v>55</v>
      </c>
      <c r="G18" t="s">
        <v>74</v>
      </c>
      <c r="H18" t="s">
        <v>90</v>
      </c>
    </row>
    <row r="19" spans="1:8" x14ac:dyDescent="0.2">
      <c r="A19">
        <f t="shared" si="0"/>
        <v>13</v>
      </c>
      <c r="B19" t="s">
        <v>5</v>
      </c>
      <c r="C19" t="s">
        <v>16</v>
      </c>
      <c r="D19" t="s">
        <v>35</v>
      </c>
      <c r="E19" t="s">
        <v>43</v>
      </c>
      <c r="F19" t="s">
        <v>56</v>
      </c>
      <c r="G19" t="s">
        <v>75</v>
      </c>
      <c r="H19" t="s">
        <v>91</v>
      </c>
    </row>
    <row r="20" spans="1:8" x14ac:dyDescent="0.2">
      <c r="A20">
        <f t="shared" si="0"/>
        <v>14</v>
      </c>
      <c r="B20" t="s">
        <v>5</v>
      </c>
      <c r="C20" t="s">
        <v>17</v>
      </c>
      <c r="D20" t="s">
        <v>36</v>
      </c>
      <c r="E20" t="s">
        <v>43</v>
      </c>
      <c r="F20" t="s">
        <v>57</v>
      </c>
      <c r="G20" t="s">
        <v>76</v>
      </c>
      <c r="H20" t="s">
        <v>92</v>
      </c>
    </row>
    <row r="21" spans="1:8" x14ac:dyDescent="0.2">
      <c r="A21">
        <f t="shared" si="0"/>
        <v>15</v>
      </c>
      <c r="B21" t="s">
        <v>5</v>
      </c>
      <c r="C21" t="s">
        <v>18</v>
      </c>
      <c r="D21" t="s">
        <v>37</v>
      </c>
      <c r="E21" t="s">
        <v>43</v>
      </c>
      <c r="F21" t="s">
        <v>58</v>
      </c>
      <c r="G21" t="s">
        <v>77</v>
      </c>
      <c r="H21" t="s">
        <v>93</v>
      </c>
    </row>
    <row r="22" spans="1:8" x14ac:dyDescent="0.2">
      <c r="A22">
        <f t="shared" si="0"/>
        <v>16</v>
      </c>
      <c r="B22" t="s">
        <v>5</v>
      </c>
      <c r="C22" t="s">
        <v>19</v>
      </c>
      <c r="D22" t="s">
        <v>38</v>
      </c>
      <c r="E22" t="s">
        <v>43</v>
      </c>
      <c r="F22" t="s">
        <v>59</v>
      </c>
      <c r="G22" t="s">
        <v>19</v>
      </c>
      <c r="H22" t="s">
        <v>94</v>
      </c>
    </row>
    <row r="23" spans="1:8" x14ac:dyDescent="0.2">
      <c r="A23">
        <f t="shared" si="0"/>
        <v>17</v>
      </c>
      <c r="B23" t="s">
        <v>5</v>
      </c>
      <c r="C23" t="s">
        <v>20</v>
      </c>
      <c r="D23" t="s">
        <v>39</v>
      </c>
      <c r="E23" t="s">
        <v>43</v>
      </c>
      <c r="F23" t="s">
        <v>60</v>
      </c>
      <c r="G23" t="s">
        <v>78</v>
      </c>
      <c r="H23" t="s">
        <v>95</v>
      </c>
    </row>
    <row r="24" spans="1:8" x14ac:dyDescent="0.2">
      <c r="A24">
        <f t="shared" si="0"/>
        <v>18</v>
      </c>
      <c r="B24" t="s">
        <v>5</v>
      </c>
      <c r="C24" t="s">
        <v>21</v>
      </c>
      <c r="D24" t="s">
        <v>40</v>
      </c>
      <c r="E24" t="s">
        <v>43</v>
      </c>
      <c r="F24" t="s">
        <v>61</v>
      </c>
      <c r="G24" t="s">
        <v>79</v>
      </c>
      <c r="H24" t="s">
        <v>96</v>
      </c>
    </row>
    <row r="25" spans="1:8" x14ac:dyDescent="0.2">
      <c r="A25">
        <f t="shared" si="0"/>
        <v>19</v>
      </c>
      <c r="B25" t="s">
        <v>5</v>
      </c>
      <c r="C25" t="s">
        <v>22</v>
      </c>
      <c r="D25" t="s">
        <v>41</v>
      </c>
      <c r="E25" t="s">
        <v>43</v>
      </c>
      <c r="F25" t="s">
        <v>62</v>
      </c>
      <c r="G25">
        <v>5461500</v>
      </c>
      <c r="H25" t="s">
        <v>97</v>
      </c>
    </row>
    <row r="26" spans="1:8" x14ac:dyDescent="0.2">
      <c r="C26"/>
    </row>
    <row r="27" spans="1:8" x14ac:dyDescent="0.2">
      <c r="C27"/>
    </row>
    <row r="28" spans="1:8" x14ac:dyDescent="0.2">
      <c r="C28"/>
    </row>
    <row r="29" spans="1:8" x14ac:dyDescent="0.2">
      <c r="C29"/>
    </row>
    <row r="30" spans="1:8" x14ac:dyDescent="0.2">
      <c r="C30"/>
    </row>
    <row r="31" spans="1:8" x14ac:dyDescent="0.2">
      <c r="C31"/>
    </row>
    <row r="32" spans="1:8" x14ac:dyDescent="0.2">
      <c r="C32"/>
    </row>
    <row r="33" spans="3:3" x14ac:dyDescent="0.2">
      <c r="C33"/>
    </row>
    <row r="34" spans="3:3" x14ac:dyDescent="0.2">
      <c r="C34"/>
    </row>
    <row r="35" spans="3:3" x14ac:dyDescent="0.2">
      <c r="C35"/>
    </row>
    <row r="36" spans="3:3" x14ac:dyDescent="0.2">
      <c r="C36"/>
    </row>
    <row r="37" spans="3:3" x14ac:dyDescent="0.2">
      <c r="C37"/>
    </row>
    <row r="38" spans="3:3" x14ac:dyDescent="0.2">
      <c r="C38"/>
    </row>
    <row r="39" spans="3:3" x14ac:dyDescent="0.2">
      <c r="C39"/>
    </row>
    <row r="40" spans="3:3" x14ac:dyDescent="0.2">
      <c r="C40"/>
    </row>
    <row r="41" spans="3:3" x14ac:dyDescent="0.2">
      <c r="C41"/>
    </row>
    <row r="42" spans="3:3" x14ac:dyDescent="0.2">
      <c r="C42"/>
    </row>
    <row r="43" spans="3:3" x14ac:dyDescent="0.2">
      <c r="C43"/>
    </row>
    <row r="44" spans="3:3" x14ac:dyDescent="0.2">
      <c r="C44"/>
    </row>
    <row r="45" spans="3:3" x14ac:dyDescent="0.2">
      <c r="C45"/>
    </row>
  </sheetData>
  <autoFilter ref="A6:H25" xr:uid="{00000000-0009-0000-0000-000013000000}"/>
  <hyperlinks>
    <hyperlink ref="G1" r:id="rId1" location="Cundinamarca" xr:uid="{00000000-0004-0000-1300-000000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E17582-FCB4-4579-86A8-9A39549FE84C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5</vt:i4>
      </vt:variant>
    </vt:vector>
  </HeadingPairs>
  <TitlesOfParts>
    <vt:vector size="25" baseType="lpstr">
      <vt:lpstr>maestro</vt:lpstr>
      <vt:lpstr>sales</vt:lpstr>
      <vt:lpstr>products</vt:lpstr>
      <vt:lpstr>egresos</vt:lpstr>
      <vt:lpstr>bolsas</vt:lpstr>
      <vt:lpstr>Opex</vt:lpstr>
      <vt:lpstr>Hoja3</vt:lpstr>
      <vt:lpstr>Inicio</vt:lpstr>
      <vt:lpstr>Activos</vt:lpstr>
      <vt:lpstr>Ingresos</vt:lpstr>
      <vt:lpstr>Cuentas x Pagar</vt:lpstr>
      <vt:lpstr>Cuentas x Cobrar</vt:lpstr>
      <vt:lpstr>Forecast</vt:lpstr>
      <vt:lpstr>Hoja1</vt:lpstr>
      <vt:lpstr>Opex (2)</vt:lpstr>
      <vt:lpstr>cc</vt:lpstr>
      <vt:lpstr>Misión y visión</vt:lpstr>
      <vt:lpstr>Aliados</vt:lpstr>
      <vt:lpstr>Servicios</vt:lpstr>
      <vt:lpstr>Fondo-Emprender</vt:lpstr>
      <vt:lpstr>Activos!Cuentas_x_pagar</vt:lpstr>
      <vt:lpstr>'Cuentas x Cobrar'!Cuentas_x_pagar</vt:lpstr>
      <vt:lpstr>egresos!Cuentas_x_pagar</vt:lpstr>
      <vt:lpstr>'Opex (2)'!Cuentas_x_pagar</vt:lpstr>
      <vt:lpstr>Cuentas_x_pagar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Edwin Torres</cp:lastModifiedBy>
  <dcterms:created xsi:type="dcterms:W3CDTF">2019-09-06T01:50:47Z</dcterms:created>
  <dcterms:modified xsi:type="dcterms:W3CDTF">2026-03-06T15:49:54Z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9b6d71cd-2b5e-4780-9b96-17447e341d22</vt:lpwstr>
  </property>
  <property fmtid="{D5CDD505-2E9C-101B-9397-08002B2CF9AE}" pid="3" name="ConnectionInfosStorage">
    <vt:lpwstr>WorkbookXmlParts</vt:lpwstr>
  </property>
</Properties>
</file>